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mc:AlternateContent xmlns:mc="http://schemas.openxmlformats.org/markup-compatibility/2006">
    <mc:Choice Requires="x15">
      <x15ac:absPath xmlns:x15ac="http://schemas.microsoft.com/office/spreadsheetml/2010/11/ac" url="C:\Users\diana.vivas\Downloads\"/>
    </mc:Choice>
  </mc:AlternateContent>
  <xr:revisionPtr revIDLastSave="0" documentId="8_{EE9410DE-8E04-44B4-927E-FAD7D177DCD3}" xr6:coauthVersionLast="36" xr6:coauthVersionMax="36" xr10:uidLastSave="{00000000-0000-0000-0000-000000000000}"/>
  <bookViews>
    <workbookView xWindow="0" yWindow="0" windowWidth="28800" windowHeight="11505" xr2:uid="{00000000-000D-0000-FFFF-FFFF00000000}"/>
  </bookViews>
  <sheets>
    <sheet name="Consolidado" sheetId="1" r:id="rId1"/>
    <sheet name="Avances" sheetId="5" r:id="rId2"/>
  </sheets>
  <definedNames>
    <definedName name="_xlnm._FilterDatabase" localSheetId="0" hidden="1">Consolidado!$A$15:$EN$569</definedName>
    <definedName name="_xlnm.Print_Area" localSheetId="1">Avances!$A$1:$B$95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M569" i="1" l="1"/>
  <c r="CL569" i="1"/>
  <c r="CM568" i="1"/>
  <c r="CL568" i="1"/>
  <c r="CN567" i="1"/>
  <c r="CM567" i="1"/>
  <c r="CL567" i="1"/>
  <c r="CN566" i="1"/>
  <c r="CM566" i="1"/>
  <c r="CL566" i="1"/>
  <c r="CN565" i="1"/>
  <c r="CM565" i="1"/>
  <c r="CL565" i="1"/>
  <c r="CM564" i="1"/>
  <c r="CL564" i="1"/>
  <c r="CN563" i="1"/>
  <c r="CM563" i="1"/>
  <c r="CL563" i="1"/>
  <c r="CN562" i="1"/>
  <c r="CM562" i="1"/>
  <c r="CL562" i="1"/>
  <c r="CN561" i="1"/>
  <c r="CM561" i="1"/>
  <c r="CL561" i="1"/>
  <c r="CN560" i="1"/>
  <c r="CM560" i="1"/>
  <c r="CL560" i="1"/>
  <c r="CN559" i="1"/>
  <c r="CM559" i="1"/>
  <c r="CL559" i="1"/>
  <c r="CN558" i="1"/>
  <c r="CM558" i="1"/>
  <c r="CL558" i="1"/>
  <c r="CN557" i="1"/>
  <c r="CM557" i="1"/>
  <c r="CL557" i="1"/>
  <c r="CM556" i="1"/>
  <c r="CL556" i="1"/>
  <c r="CN555" i="1"/>
  <c r="CM555" i="1"/>
  <c r="CL555" i="1"/>
  <c r="CN554" i="1"/>
  <c r="CM554" i="1"/>
  <c r="CL554" i="1"/>
  <c r="CM553" i="1"/>
  <c r="CL553" i="1"/>
  <c r="CN552" i="1"/>
  <c r="CM552" i="1"/>
  <c r="CL552" i="1"/>
  <c r="CN551" i="1"/>
  <c r="CM551" i="1"/>
  <c r="CL551" i="1"/>
  <c r="CN550" i="1"/>
  <c r="CM550" i="1"/>
  <c r="CL550" i="1"/>
  <c r="CN549" i="1"/>
  <c r="CM549" i="1"/>
  <c r="CL549" i="1"/>
  <c r="CM548" i="1"/>
  <c r="CL548" i="1"/>
  <c r="CN547" i="1"/>
  <c r="CM547" i="1"/>
  <c r="CL547" i="1"/>
  <c r="CN546" i="1"/>
  <c r="CM546" i="1"/>
  <c r="CL546" i="1"/>
  <c r="CM545" i="1"/>
  <c r="CL545" i="1"/>
  <c r="CN544" i="1"/>
  <c r="CM544" i="1"/>
  <c r="CL544" i="1"/>
  <c r="CN543" i="1"/>
  <c r="CM543" i="1"/>
  <c r="CL543" i="1"/>
  <c r="CN542" i="1"/>
  <c r="CM542" i="1"/>
  <c r="CL542" i="1"/>
  <c r="CN541" i="1"/>
  <c r="CM541" i="1"/>
  <c r="CL541" i="1"/>
  <c r="CN540" i="1"/>
  <c r="CM540" i="1"/>
  <c r="CL540" i="1"/>
  <c r="CN539" i="1"/>
  <c r="CM539" i="1"/>
  <c r="CL539" i="1"/>
  <c r="CN538" i="1"/>
  <c r="CM538" i="1"/>
  <c r="CL538" i="1"/>
  <c r="CN537" i="1"/>
  <c r="CM537" i="1"/>
  <c r="CL537" i="1"/>
  <c r="CN536" i="1"/>
  <c r="CM536" i="1"/>
  <c r="CL536" i="1"/>
  <c r="CN535" i="1"/>
  <c r="CM535" i="1"/>
  <c r="CL535" i="1"/>
  <c r="CN534" i="1"/>
  <c r="CM534" i="1"/>
  <c r="CL534" i="1"/>
  <c r="CN533" i="1"/>
  <c r="CM533" i="1"/>
  <c r="CL533" i="1"/>
  <c r="CN532" i="1"/>
  <c r="CM532" i="1"/>
  <c r="CL532" i="1"/>
  <c r="CN531" i="1"/>
  <c r="CM531" i="1"/>
  <c r="CL531" i="1"/>
  <c r="CN530" i="1"/>
  <c r="CM530" i="1"/>
  <c r="CL530" i="1"/>
  <c r="CN529" i="1"/>
  <c r="CM529" i="1"/>
  <c r="CL529" i="1"/>
  <c r="CN528" i="1"/>
  <c r="CM528" i="1"/>
  <c r="CL528" i="1"/>
  <c r="CN527" i="1"/>
  <c r="CM527" i="1"/>
  <c r="CL527" i="1"/>
  <c r="CN526" i="1"/>
  <c r="CM526" i="1"/>
  <c r="CL526" i="1"/>
  <c r="CN525" i="1"/>
  <c r="CM525" i="1"/>
  <c r="CL525" i="1"/>
  <c r="CN524" i="1"/>
  <c r="CM524" i="1"/>
  <c r="CL524" i="1"/>
  <c r="CN523" i="1"/>
  <c r="CM523" i="1"/>
  <c r="CL523" i="1"/>
  <c r="CN522" i="1"/>
  <c r="CM522" i="1"/>
  <c r="CL522" i="1"/>
  <c r="CN521" i="1"/>
  <c r="CM521" i="1"/>
  <c r="CL521" i="1"/>
  <c r="CN520" i="1"/>
  <c r="CM520" i="1"/>
  <c r="CL520" i="1"/>
  <c r="CN519" i="1"/>
  <c r="CM519" i="1"/>
  <c r="CL519" i="1"/>
  <c r="CL518" i="1"/>
  <c r="CN517" i="1"/>
  <c r="CM517" i="1"/>
  <c r="CL517" i="1"/>
  <c r="CN516" i="1"/>
  <c r="CM516" i="1"/>
  <c r="CL516" i="1"/>
  <c r="CN515" i="1"/>
  <c r="CM515" i="1"/>
  <c r="CL515" i="1"/>
  <c r="CN514" i="1"/>
  <c r="CM514" i="1"/>
  <c r="CL514" i="1"/>
  <c r="CN513" i="1"/>
  <c r="CM513" i="1"/>
  <c r="CL513" i="1"/>
  <c r="CN512" i="1"/>
  <c r="CM512" i="1"/>
  <c r="CL512" i="1"/>
  <c r="CN511" i="1"/>
  <c r="CM511" i="1"/>
  <c r="CL511" i="1"/>
  <c r="CN510" i="1"/>
  <c r="CM510" i="1"/>
  <c r="CL510" i="1"/>
  <c r="CL509" i="1"/>
  <c r="CN508" i="1"/>
  <c r="CM508" i="1"/>
  <c r="CL508" i="1"/>
  <c r="CN507" i="1"/>
  <c r="CM507" i="1"/>
  <c r="CL507" i="1"/>
  <c r="CN506" i="1"/>
  <c r="CM506" i="1"/>
  <c r="CL506" i="1"/>
  <c r="CN505" i="1"/>
  <c r="CM505" i="1"/>
  <c r="CL505" i="1"/>
  <c r="CN504" i="1"/>
  <c r="CM504" i="1"/>
  <c r="CL504" i="1"/>
  <c r="CN503" i="1"/>
  <c r="CM503" i="1"/>
  <c r="CL503" i="1"/>
  <c r="CN502" i="1"/>
  <c r="CM502" i="1"/>
  <c r="CL502" i="1"/>
  <c r="CN501" i="1"/>
  <c r="CM501" i="1"/>
  <c r="CL501" i="1"/>
  <c r="CN500" i="1"/>
  <c r="CM500" i="1"/>
  <c r="CL500" i="1"/>
  <c r="CN499" i="1"/>
  <c r="CM499" i="1"/>
  <c r="CL499" i="1"/>
  <c r="CN498" i="1"/>
  <c r="CM498" i="1"/>
  <c r="CL498" i="1"/>
  <c r="CN497" i="1"/>
  <c r="CM497" i="1"/>
  <c r="CL497" i="1"/>
  <c r="CN496" i="1"/>
  <c r="CM496" i="1"/>
  <c r="CL496" i="1"/>
  <c r="CN495" i="1"/>
  <c r="CM495" i="1"/>
  <c r="CL495" i="1"/>
  <c r="CN494" i="1"/>
  <c r="CM494" i="1"/>
  <c r="CL494" i="1"/>
  <c r="CN493" i="1"/>
  <c r="CM493" i="1"/>
  <c r="CL493" i="1"/>
  <c r="CN492" i="1"/>
  <c r="CM492" i="1"/>
  <c r="CL492" i="1"/>
  <c r="CN491" i="1"/>
  <c r="CM491" i="1"/>
  <c r="CL491" i="1"/>
  <c r="CN490" i="1"/>
  <c r="CM490" i="1"/>
  <c r="CL490" i="1"/>
  <c r="CN489" i="1"/>
  <c r="CM489" i="1"/>
  <c r="CL489" i="1"/>
  <c r="CN488" i="1"/>
  <c r="CM488" i="1"/>
  <c r="CL488" i="1"/>
  <c r="CN487" i="1"/>
  <c r="CM487" i="1"/>
  <c r="CL487" i="1"/>
  <c r="CN486" i="1"/>
  <c r="CM486" i="1"/>
  <c r="CL486" i="1"/>
  <c r="CN485" i="1"/>
  <c r="CM485" i="1"/>
  <c r="CL485" i="1"/>
  <c r="CN484" i="1"/>
  <c r="CM484" i="1"/>
  <c r="CL484" i="1"/>
  <c r="CN483" i="1"/>
  <c r="CM483" i="1"/>
  <c r="CL483" i="1"/>
  <c r="CN482" i="1"/>
  <c r="CM482" i="1"/>
  <c r="CL482" i="1"/>
  <c r="CN481" i="1"/>
  <c r="CM481" i="1"/>
  <c r="CL481" i="1"/>
  <c r="CN480" i="1"/>
  <c r="CM480" i="1"/>
  <c r="CL480" i="1"/>
  <c r="CN479" i="1"/>
  <c r="CM479" i="1"/>
  <c r="CL479" i="1"/>
  <c r="CN478" i="1"/>
  <c r="CM478" i="1"/>
  <c r="CL478" i="1"/>
  <c r="CN477" i="1"/>
  <c r="CM477" i="1"/>
  <c r="CL477" i="1"/>
  <c r="CN476" i="1"/>
  <c r="CM476" i="1"/>
  <c r="CL476" i="1"/>
  <c r="CN475" i="1"/>
  <c r="CM475" i="1"/>
  <c r="CL475" i="1"/>
  <c r="CN474" i="1"/>
  <c r="CM474" i="1"/>
  <c r="CL474" i="1"/>
  <c r="CN473" i="1"/>
  <c r="CM473" i="1"/>
  <c r="CL473" i="1"/>
  <c r="CN472" i="1"/>
  <c r="CM472" i="1"/>
  <c r="CL472" i="1"/>
  <c r="CN471" i="1"/>
  <c r="CM471" i="1"/>
  <c r="CL471" i="1"/>
  <c r="CN470" i="1"/>
  <c r="CM470" i="1"/>
  <c r="CL470" i="1"/>
  <c r="CN469" i="1"/>
  <c r="CM469" i="1"/>
  <c r="CL469" i="1"/>
  <c r="CN468" i="1"/>
  <c r="CM468" i="1"/>
  <c r="CL468" i="1"/>
  <c r="CN467" i="1"/>
  <c r="CM467" i="1"/>
  <c r="CL467" i="1"/>
  <c r="CN466" i="1"/>
  <c r="CM466" i="1"/>
  <c r="CL466" i="1"/>
  <c r="CN465" i="1"/>
  <c r="CM465" i="1"/>
  <c r="CL465" i="1"/>
  <c r="CN464" i="1"/>
  <c r="CM464" i="1"/>
  <c r="CL464" i="1"/>
  <c r="CN463" i="1"/>
  <c r="CM463" i="1"/>
  <c r="CL463" i="1"/>
  <c r="CN462" i="1"/>
  <c r="CM462" i="1"/>
  <c r="CL462" i="1"/>
  <c r="CN461" i="1"/>
  <c r="CM461" i="1"/>
  <c r="CL461" i="1"/>
  <c r="CN460" i="1"/>
  <c r="CM460" i="1"/>
  <c r="CL460" i="1"/>
  <c r="CN459" i="1"/>
  <c r="CM459" i="1"/>
  <c r="CL459" i="1"/>
  <c r="CN458" i="1"/>
  <c r="CM458" i="1"/>
  <c r="CL458" i="1"/>
  <c r="CN457" i="1"/>
  <c r="CM457" i="1"/>
  <c r="CL457" i="1"/>
  <c r="CN456" i="1"/>
  <c r="CM456" i="1"/>
  <c r="CL456" i="1"/>
  <c r="CN455" i="1"/>
  <c r="CM455" i="1"/>
  <c r="CL455" i="1"/>
  <c r="CN454" i="1"/>
  <c r="CM454" i="1"/>
  <c r="CL454" i="1"/>
  <c r="CN453" i="1"/>
  <c r="CM453" i="1"/>
  <c r="CL453" i="1"/>
  <c r="CN452" i="1"/>
  <c r="CM452" i="1"/>
  <c r="CL452" i="1"/>
  <c r="CN451" i="1"/>
  <c r="CM451" i="1"/>
  <c r="CL451" i="1"/>
  <c r="CN450" i="1"/>
  <c r="CM450" i="1"/>
  <c r="CL450" i="1"/>
  <c r="CN449" i="1"/>
  <c r="CM449" i="1"/>
  <c r="CL449" i="1"/>
  <c r="CN448" i="1"/>
  <c r="CM448" i="1"/>
  <c r="CL448" i="1"/>
  <c r="CN447" i="1"/>
  <c r="CM447" i="1"/>
  <c r="CL447" i="1"/>
  <c r="CN446" i="1"/>
  <c r="CM446" i="1"/>
  <c r="CL446" i="1"/>
  <c r="CN445" i="1"/>
  <c r="CM445" i="1"/>
  <c r="CL445" i="1"/>
  <c r="CN444" i="1"/>
  <c r="CM444" i="1"/>
  <c r="CL444" i="1"/>
  <c r="CN443" i="1"/>
  <c r="CM443" i="1"/>
  <c r="CL443" i="1"/>
  <c r="CN442" i="1"/>
  <c r="CM442" i="1"/>
  <c r="CL442" i="1"/>
  <c r="CN441" i="1"/>
  <c r="CM441" i="1"/>
  <c r="CL441" i="1"/>
  <c r="CN440" i="1"/>
  <c r="CM440" i="1"/>
  <c r="CL440" i="1"/>
  <c r="CN439" i="1"/>
  <c r="CM439" i="1"/>
  <c r="CL439" i="1"/>
  <c r="CN438" i="1"/>
  <c r="CM438" i="1"/>
  <c r="CL438" i="1"/>
  <c r="CN437" i="1"/>
  <c r="CM437" i="1"/>
  <c r="CL437" i="1"/>
  <c r="CN436" i="1"/>
  <c r="CM436" i="1"/>
  <c r="CL436" i="1"/>
  <c r="CN435" i="1"/>
  <c r="CM435" i="1"/>
  <c r="CL435" i="1"/>
  <c r="CN434" i="1"/>
  <c r="CM434" i="1"/>
  <c r="CL434" i="1"/>
  <c r="CN433" i="1"/>
  <c r="CM433" i="1"/>
  <c r="CL433" i="1"/>
  <c r="CN432" i="1"/>
  <c r="CM432" i="1"/>
  <c r="CL432" i="1"/>
  <c r="CN431" i="1"/>
  <c r="CM431" i="1"/>
  <c r="CL431" i="1"/>
  <c r="CN430" i="1"/>
  <c r="CM430" i="1"/>
  <c r="CL430" i="1"/>
  <c r="CN429" i="1"/>
  <c r="CM429" i="1"/>
  <c r="CL429" i="1"/>
  <c r="CN428" i="1"/>
  <c r="CM428" i="1"/>
  <c r="CL428" i="1"/>
  <c r="CN427" i="1"/>
  <c r="CM427" i="1"/>
  <c r="CL427" i="1"/>
  <c r="CN426" i="1"/>
  <c r="CM426" i="1"/>
  <c r="CL426" i="1"/>
  <c r="CN425" i="1"/>
  <c r="CM425" i="1"/>
  <c r="CL425" i="1"/>
  <c r="CN424" i="1"/>
  <c r="CM424" i="1"/>
  <c r="CL424" i="1"/>
  <c r="CN423" i="1"/>
  <c r="CM423" i="1"/>
  <c r="CL423" i="1"/>
  <c r="CN422" i="1"/>
  <c r="CM422" i="1"/>
  <c r="CL422" i="1"/>
  <c r="CN421" i="1"/>
  <c r="CM421" i="1"/>
  <c r="CL421" i="1"/>
  <c r="CN420" i="1"/>
  <c r="CM420" i="1"/>
  <c r="CL420" i="1"/>
  <c r="CN419" i="1"/>
  <c r="CM419" i="1"/>
  <c r="CL419" i="1"/>
  <c r="CN418" i="1"/>
  <c r="CM418" i="1"/>
  <c r="CL418" i="1"/>
  <c r="CN417" i="1"/>
  <c r="CM417" i="1"/>
  <c r="CL417" i="1"/>
  <c r="CN416" i="1"/>
  <c r="CM416" i="1"/>
  <c r="CL416" i="1"/>
  <c r="CN415" i="1"/>
  <c r="CM415" i="1"/>
  <c r="CL415" i="1"/>
  <c r="CN414" i="1"/>
  <c r="CM414" i="1"/>
  <c r="CL414" i="1"/>
  <c r="CN413" i="1"/>
  <c r="CM413" i="1"/>
  <c r="CL413" i="1"/>
  <c r="CN412" i="1"/>
  <c r="CM412" i="1"/>
  <c r="CL412" i="1"/>
  <c r="CN411" i="1"/>
  <c r="CM411" i="1"/>
  <c r="CL411" i="1"/>
  <c r="CN410" i="1"/>
  <c r="CM410" i="1"/>
  <c r="CL410" i="1"/>
  <c r="CN409" i="1"/>
  <c r="CM409" i="1"/>
  <c r="CL409" i="1"/>
  <c r="CN408" i="1"/>
  <c r="CM408" i="1"/>
  <c r="CL408" i="1"/>
  <c r="CN407" i="1"/>
  <c r="CM407" i="1"/>
  <c r="CL407" i="1"/>
  <c r="CN406" i="1"/>
  <c r="CM406" i="1"/>
  <c r="CL406" i="1"/>
  <c r="CN405" i="1"/>
  <c r="CM405" i="1"/>
  <c r="CL405" i="1"/>
  <c r="CN404" i="1"/>
  <c r="CM404" i="1"/>
  <c r="CL404" i="1"/>
  <c r="CN403" i="1"/>
  <c r="CM403" i="1"/>
  <c r="CL403" i="1"/>
  <c r="CN402" i="1"/>
  <c r="CM402" i="1"/>
  <c r="CL402" i="1"/>
  <c r="CN401" i="1"/>
  <c r="CM401" i="1"/>
  <c r="CL401" i="1"/>
  <c r="CN400" i="1"/>
  <c r="CM400" i="1"/>
  <c r="CL400" i="1"/>
  <c r="CN399" i="1"/>
  <c r="CM399" i="1"/>
  <c r="CL399" i="1"/>
  <c r="CN398" i="1"/>
  <c r="CM398" i="1"/>
  <c r="CL398" i="1"/>
  <c r="CN397" i="1"/>
  <c r="CM397" i="1"/>
  <c r="CL397" i="1"/>
  <c r="CN396" i="1"/>
  <c r="CM396" i="1"/>
  <c r="CL396" i="1"/>
  <c r="CN395" i="1"/>
  <c r="CM395" i="1"/>
  <c r="CL395" i="1"/>
  <c r="CN394" i="1"/>
  <c r="CM394" i="1"/>
  <c r="CL394" i="1"/>
  <c r="CN393" i="1"/>
  <c r="CM393" i="1"/>
  <c r="CL393" i="1"/>
  <c r="CN392" i="1"/>
  <c r="CM392" i="1"/>
  <c r="CL392" i="1"/>
  <c r="CN391" i="1"/>
  <c r="CM391" i="1"/>
  <c r="CL391" i="1"/>
  <c r="CN390" i="1"/>
  <c r="CM390" i="1"/>
  <c r="CL390" i="1"/>
  <c r="CN389" i="1"/>
  <c r="CM389" i="1"/>
  <c r="CL389" i="1"/>
  <c r="CN388" i="1"/>
  <c r="CM388" i="1"/>
  <c r="CL388" i="1"/>
  <c r="CN387" i="1"/>
  <c r="CM387" i="1"/>
  <c r="CL387" i="1"/>
  <c r="CN386" i="1"/>
  <c r="CM386" i="1"/>
  <c r="CL386" i="1"/>
  <c r="CN385" i="1"/>
  <c r="CM385" i="1"/>
  <c r="CL385" i="1"/>
  <c r="CN384" i="1"/>
  <c r="CM384" i="1"/>
  <c r="CL384" i="1"/>
  <c r="CN383" i="1"/>
  <c r="CM383" i="1"/>
  <c r="CL383" i="1"/>
  <c r="CN382" i="1"/>
  <c r="CM382" i="1"/>
  <c r="CL382" i="1"/>
  <c r="CN381" i="1"/>
  <c r="CM381" i="1"/>
  <c r="CL381" i="1"/>
  <c r="CN380" i="1"/>
  <c r="CM380" i="1"/>
  <c r="CL380" i="1"/>
  <c r="CN379" i="1"/>
  <c r="CM379" i="1"/>
  <c r="CL379" i="1"/>
  <c r="CN378" i="1"/>
  <c r="CM378" i="1"/>
  <c r="CL378" i="1"/>
  <c r="CN377" i="1"/>
  <c r="CM377" i="1"/>
  <c r="CL377" i="1"/>
  <c r="CN376" i="1"/>
  <c r="CM376" i="1"/>
  <c r="CL376" i="1"/>
  <c r="CN375" i="1"/>
  <c r="CM375" i="1"/>
  <c r="CL375" i="1"/>
  <c r="CN374" i="1"/>
  <c r="CM374" i="1"/>
  <c r="CL374" i="1"/>
  <c r="CN373" i="1"/>
  <c r="CM373" i="1"/>
  <c r="CL373" i="1"/>
  <c r="CN372" i="1"/>
  <c r="CM372" i="1"/>
  <c r="CL372" i="1"/>
  <c r="CN371" i="1"/>
  <c r="CM371" i="1"/>
  <c r="CL371" i="1"/>
  <c r="CN370" i="1"/>
  <c r="CM370" i="1"/>
  <c r="CL370" i="1"/>
  <c r="CN369" i="1"/>
  <c r="CM369" i="1"/>
  <c r="CL369" i="1"/>
  <c r="CM368" i="1"/>
  <c r="CL368" i="1"/>
  <c r="CN367" i="1"/>
  <c r="CM367" i="1"/>
  <c r="CL367" i="1"/>
  <c r="CN366" i="1"/>
  <c r="CM366" i="1"/>
  <c r="CL366" i="1"/>
  <c r="CN365" i="1"/>
  <c r="CM365" i="1"/>
  <c r="CL365" i="1"/>
  <c r="CN364" i="1"/>
  <c r="CM364" i="1"/>
  <c r="CL364" i="1"/>
  <c r="CN363" i="1"/>
  <c r="CM363" i="1"/>
  <c r="CL363" i="1"/>
  <c r="CN362" i="1"/>
  <c r="CM362" i="1"/>
  <c r="CL362" i="1"/>
  <c r="CN361" i="1"/>
  <c r="CM361" i="1"/>
  <c r="CL361" i="1"/>
  <c r="CN360" i="1"/>
  <c r="CM360" i="1"/>
  <c r="CL360" i="1"/>
  <c r="CM359" i="1"/>
  <c r="CL359" i="1"/>
  <c r="CN358" i="1"/>
  <c r="CM358" i="1"/>
  <c r="CL358" i="1"/>
  <c r="CN357" i="1"/>
  <c r="CM357" i="1"/>
  <c r="CL357" i="1"/>
  <c r="CN356" i="1"/>
  <c r="CM356" i="1"/>
  <c r="CL356" i="1"/>
  <c r="CN355" i="1"/>
  <c r="CM355" i="1"/>
  <c r="CL355" i="1"/>
  <c r="CN354" i="1"/>
  <c r="CM354" i="1"/>
  <c r="CL354" i="1"/>
  <c r="CN353" i="1"/>
  <c r="CM353" i="1"/>
  <c r="CL353" i="1"/>
  <c r="CN352" i="1"/>
  <c r="CM352" i="1"/>
  <c r="CL352" i="1"/>
  <c r="CM351" i="1"/>
  <c r="CL351" i="1"/>
  <c r="CN350" i="1"/>
  <c r="CM350" i="1"/>
  <c r="CL350" i="1"/>
  <c r="CN349" i="1"/>
  <c r="CM349" i="1"/>
  <c r="CL349" i="1"/>
  <c r="CN348" i="1"/>
  <c r="CM348" i="1"/>
  <c r="CL348" i="1"/>
  <c r="CN347" i="1"/>
  <c r="CM347" i="1"/>
  <c r="CL347" i="1"/>
  <c r="CN346" i="1"/>
  <c r="CM346" i="1"/>
  <c r="CL346" i="1"/>
  <c r="CM345" i="1"/>
  <c r="CL345" i="1"/>
  <c r="CN344" i="1"/>
  <c r="CM344" i="1"/>
  <c r="CL344" i="1"/>
  <c r="CN343" i="1"/>
  <c r="CM343" i="1"/>
  <c r="CL343" i="1"/>
  <c r="CN342" i="1"/>
  <c r="CM342" i="1"/>
  <c r="CL342" i="1"/>
  <c r="CN341" i="1"/>
  <c r="CM341" i="1"/>
  <c r="CL341" i="1"/>
  <c r="CN340" i="1"/>
  <c r="CM340" i="1"/>
  <c r="CL340" i="1"/>
  <c r="CN339" i="1"/>
  <c r="CM339" i="1"/>
  <c r="CL339" i="1"/>
  <c r="CM338" i="1"/>
  <c r="CL338" i="1"/>
  <c r="CN337" i="1"/>
  <c r="CM337" i="1"/>
  <c r="CL337" i="1"/>
  <c r="CN336" i="1"/>
  <c r="CM336" i="1"/>
  <c r="CL336" i="1"/>
  <c r="CN335" i="1"/>
  <c r="CM335" i="1"/>
  <c r="CL335" i="1"/>
  <c r="CN334" i="1"/>
  <c r="CM334" i="1"/>
  <c r="CL334" i="1"/>
  <c r="CN333" i="1"/>
  <c r="CL333" i="1"/>
  <c r="CN332" i="1"/>
  <c r="CM332" i="1"/>
  <c r="CL332" i="1"/>
  <c r="CM331" i="1"/>
  <c r="CL331" i="1"/>
  <c r="CN330" i="1"/>
  <c r="CM330" i="1"/>
  <c r="CL330" i="1"/>
  <c r="CM329" i="1"/>
  <c r="CL329" i="1"/>
  <c r="CN328" i="1"/>
  <c r="CM328" i="1"/>
  <c r="CL328" i="1"/>
  <c r="CN327" i="1"/>
  <c r="CM327" i="1"/>
  <c r="CL327" i="1"/>
  <c r="CN326" i="1"/>
  <c r="CM326" i="1"/>
  <c r="CL326" i="1"/>
  <c r="CL325" i="1"/>
  <c r="CN324" i="1"/>
  <c r="CM324" i="1"/>
  <c r="CL324" i="1"/>
  <c r="CN323" i="1"/>
  <c r="CM323" i="1"/>
  <c r="CL323" i="1"/>
  <c r="CN322" i="1"/>
  <c r="CM322" i="1"/>
  <c r="CL322" i="1"/>
  <c r="CM321" i="1"/>
  <c r="CL321" i="1"/>
  <c r="CM320" i="1"/>
  <c r="CL320" i="1"/>
  <c r="CM319" i="1"/>
  <c r="CL319" i="1"/>
  <c r="CL318" i="1"/>
  <c r="CL317" i="1"/>
  <c r="CN316" i="1"/>
  <c r="CM316" i="1"/>
  <c r="CL316" i="1"/>
  <c r="CN315" i="1"/>
  <c r="CM315" i="1"/>
  <c r="CL315" i="1"/>
  <c r="CN314" i="1"/>
  <c r="CM314" i="1"/>
  <c r="CL314" i="1"/>
  <c r="CM313" i="1"/>
  <c r="CL313" i="1"/>
  <c r="CM312" i="1"/>
  <c r="CL312" i="1"/>
  <c r="CM311" i="1"/>
  <c r="CL311" i="1"/>
  <c r="CM310" i="1"/>
  <c r="CL310" i="1"/>
  <c r="CN309" i="1"/>
  <c r="CM309" i="1"/>
  <c r="CL309" i="1"/>
  <c r="CN308" i="1"/>
  <c r="CM308" i="1"/>
  <c r="CL308" i="1"/>
  <c r="CN307" i="1"/>
  <c r="CM307" i="1"/>
  <c r="CL307" i="1"/>
  <c r="CN306" i="1"/>
  <c r="CM306" i="1"/>
  <c r="CL306" i="1"/>
  <c r="CN305" i="1"/>
  <c r="CM305" i="1"/>
  <c r="CL305" i="1"/>
  <c r="CM304" i="1"/>
  <c r="CL304" i="1"/>
  <c r="CN303" i="1"/>
  <c r="CM303" i="1"/>
  <c r="CL303" i="1"/>
  <c r="CM302" i="1"/>
  <c r="CL302" i="1"/>
  <c r="CN301" i="1"/>
  <c r="CM301" i="1"/>
  <c r="CL301" i="1"/>
  <c r="CM300" i="1"/>
  <c r="CL300" i="1"/>
  <c r="CN299" i="1"/>
  <c r="CM299" i="1"/>
  <c r="CL299" i="1"/>
  <c r="CN298" i="1"/>
  <c r="CM298" i="1"/>
  <c r="CL298" i="1"/>
  <c r="CN297" i="1"/>
  <c r="CM297" i="1"/>
  <c r="CL297" i="1"/>
  <c r="CN296" i="1"/>
  <c r="CM296" i="1"/>
  <c r="CL296" i="1"/>
  <c r="CM295" i="1"/>
  <c r="CL295" i="1"/>
  <c r="CM294" i="1"/>
  <c r="CL294" i="1"/>
  <c r="CM293" i="1"/>
  <c r="CL293" i="1"/>
  <c r="CM292" i="1"/>
  <c r="CL292" i="1"/>
  <c r="CN291" i="1"/>
  <c r="CM291" i="1"/>
  <c r="CL291" i="1"/>
  <c r="CN290" i="1"/>
  <c r="CM290" i="1"/>
  <c r="CL290" i="1"/>
  <c r="CM289" i="1"/>
  <c r="CL289" i="1"/>
  <c r="CN288" i="1"/>
  <c r="CM288" i="1"/>
  <c r="CL288" i="1"/>
  <c r="CN287" i="1"/>
  <c r="CM287" i="1"/>
  <c r="CL287" i="1"/>
  <c r="CN286" i="1"/>
  <c r="CM286" i="1"/>
  <c r="CL286" i="1"/>
  <c r="CN285" i="1"/>
  <c r="CM285" i="1"/>
  <c r="CL285" i="1"/>
  <c r="CN284" i="1"/>
  <c r="CM284" i="1"/>
  <c r="CL284" i="1"/>
  <c r="CN283" i="1"/>
  <c r="CM283" i="1"/>
  <c r="CL283" i="1"/>
  <c r="CN282" i="1"/>
  <c r="CM282" i="1"/>
  <c r="CL282" i="1"/>
  <c r="CN281" i="1"/>
  <c r="CM281" i="1"/>
  <c r="CL281" i="1"/>
  <c r="CM280" i="1"/>
  <c r="CL280" i="1"/>
  <c r="CN279" i="1"/>
  <c r="CM279" i="1"/>
  <c r="CL279" i="1"/>
  <c r="CN278" i="1"/>
  <c r="CM278" i="1"/>
  <c r="CL278" i="1"/>
  <c r="CN277" i="1"/>
  <c r="CM277" i="1"/>
  <c r="CL277" i="1"/>
  <c r="CN276" i="1"/>
  <c r="CM276" i="1"/>
  <c r="CL276" i="1"/>
  <c r="CN275" i="1"/>
  <c r="CM275" i="1"/>
  <c r="CL275" i="1"/>
  <c r="CN274" i="1"/>
  <c r="CM274" i="1"/>
  <c r="CL274" i="1"/>
  <c r="CN273" i="1"/>
  <c r="CM273" i="1"/>
  <c r="CL273" i="1"/>
  <c r="CN272" i="1"/>
  <c r="CM272" i="1"/>
  <c r="CL272" i="1"/>
  <c r="CM271" i="1"/>
  <c r="CL271" i="1"/>
  <c r="CN270" i="1"/>
  <c r="CM270" i="1"/>
  <c r="CL270" i="1"/>
  <c r="CN269" i="1"/>
  <c r="CM269" i="1"/>
  <c r="CL269" i="1"/>
  <c r="CM268" i="1"/>
  <c r="CL268" i="1"/>
  <c r="CN267" i="1"/>
  <c r="CM267" i="1"/>
  <c r="CL267" i="1"/>
  <c r="CN265" i="1"/>
  <c r="CM265" i="1"/>
  <c r="CL265" i="1"/>
  <c r="CN264" i="1"/>
  <c r="CM264" i="1"/>
  <c r="CL264" i="1"/>
  <c r="CN263" i="1"/>
  <c r="CM263" i="1"/>
  <c r="CL263" i="1"/>
  <c r="CN262" i="1"/>
  <c r="CM262" i="1"/>
  <c r="CL262" i="1"/>
  <c r="CN261" i="1"/>
  <c r="CM261" i="1"/>
  <c r="CL261" i="1"/>
  <c r="CN260" i="1"/>
  <c r="CM260" i="1"/>
  <c r="CL260" i="1"/>
  <c r="CN259" i="1"/>
  <c r="CM259" i="1"/>
  <c r="CL259" i="1"/>
  <c r="CN258" i="1"/>
  <c r="CM258" i="1"/>
  <c r="CL258" i="1"/>
  <c r="CN257" i="1"/>
  <c r="CM257" i="1"/>
  <c r="CL257" i="1"/>
  <c r="CN256" i="1"/>
  <c r="CM256" i="1"/>
  <c r="CL256" i="1"/>
  <c r="CN254" i="1"/>
  <c r="CM254" i="1"/>
  <c r="CL254" i="1"/>
  <c r="CN253" i="1"/>
  <c r="CM253" i="1"/>
  <c r="CL253" i="1"/>
  <c r="CN252" i="1"/>
  <c r="CM252" i="1"/>
  <c r="CL252" i="1"/>
  <c r="CN251" i="1"/>
  <c r="CM251" i="1"/>
  <c r="CL251" i="1"/>
  <c r="CN250" i="1"/>
  <c r="CM250" i="1"/>
  <c r="CL250" i="1"/>
  <c r="CN249" i="1"/>
  <c r="CM249" i="1"/>
  <c r="CL249" i="1"/>
  <c r="CN248" i="1"/>
  <c r="CM248" i="1"/>
  <c r="CL248" i="1"/>
  <c r="CN247" i="1"/>
  <c r="CM247" i="1"/>
  <c r="CL247" i="1"/>
  <c r="CN246" i="1"/>
  <c r="CM246" i="1"/>
  <c r="CL246" i="1"/>
  <c r="CN245" i="1"/>
  <c r="CM245" i="1"/>
  <c r="CL245" i="1"/>
  <c r="CN243" i="1"/>
  <c r="CM243" i="1"/>
  <c r="CL243" i="1"/>
  <c r="CN242" i="1"/>
  <c r="CM242" i="1"/>
  <c r="CL242" i="1"/>
  <c r="CN241" i="1"/>
  <c r="CM241" i="1"/>
  <c r="CL241" i="1"/>
  <c r="CN240" i="1"/>
  <c r="CM240" i="1"/>
  <c r="CL240" i="1"/>
  <c r="CN239" i="1"/>
  <c r="CM239" i="1"/>
  <c r="CL239" i="1"/>
  <c r="CN238" i="1"/>
  <c r="CM238" i="1"/>
  <c r="CL238" i="1"/>
  <c r="CN237" i="1"/>
  <c r="CM237" i="1"/>
  <c r="CL237" i="1"/>
  <c r="CN235" i="1"/>
  <c r="CM235" i="1"/>
  <c r="CL235" i="1"/>
  <c r="CN234" i="1"/>
  <c r="CM234" i="1"/>
  <c r="CL234" i="1"/>
  <c r="CN233" i="1"/>
  <c r="CM233" i="1"/>
  <c r="CL233" i="1"/>
  <c r="CN232" i="1"/>
  <c r="CM232" i="1"/>
  <c r="CL232" i="1"/>
  <c r="CN231" i="1"/>
  <c r="CM231" i="1"/>
  <c r="CL231" i="1"/>
  <c r="CN230" i="1"/>
  <c r="CM230" i="1"/>
  <c r="CL230" i="1"/>
  <c r="CN229" i="1"/>
  <c r="CM229" i="1"/>
  <c r="CL229" i="1"/>
  <c r="CN228" i="1"/>
  <c r="CM228" i="1"/>
  <c r="CL228" i="1"/>
  <c r="CN227" i="1"/>
  <c r="CM227" i="1"/>
  <c r="CL227" i="1"/>
  <c r="CN226" i="1"/>
  <c r="CM226" i="1"/>
  <c r="CL226" i="1"/>
  <c r="CN225" i="1"/>
  <c r="CM225" i="1"/>
  <c r="CL225" i="1"/>
  <c r="CN224" i="1"/>
  <c r="CM224" i="1"/>
  <c r="CL224" i="1"/>
  <c r="CN223" i="1"/>
  <c r="CM223" i="1"/>
  <c r="CL223" i="1"/>
  <c r="CN221" i="1"/>
  <c r="CM221" i="1"/>
  <c r="CL221" i="1"/>
  <c r="CN220" i="1"/>
  <c r="CM220" i="1"/>
  <c r="CL220" i="1"/>
  <c r="CN219" i="1"/>
  <c r="CM219" i="1"/>
  <c r="CL219" i="1"/>
  <c r="CN218" i="1"/>
  <c r="CM218" i="1"/>
  <c r="CL218" i="1"/>
  <c r="CN217" i="1"/>
  <c r="CM217" i="1"/>
  <c r="CL217" i="1"/>
  <c r="CN216" i="1"/>
  <c r="CM216" i="1"/>
  <c r="CL216" i="1"/>
  <c r="CN215" i="1"/>
  <c r="CM215" i="1"/>
  <c r="CL215" i="1"/>
  <c r="CN214" i="1"/>
  <c r="CM214" i="1"/>
  <c r="CL214" i="1"/>
  <c r="CN213" i="1"/>
  <c r="CM213" i="1"/>
  <c r="CL213" i="1"/>
  <c r="CN212" i="1"/>
  <c r="CM212" i="1"/>
  <c r="CL212" i="1"/>
  <c r="CN211" i="1"/>
  <c r="CM211" i="1"/>
  <c r="CL211" i="1"/>
  <c r="CN210" i="1"/>
  <c r="CM210" i="1"/>
  <c r="CL210" i="1"/>
  <c r="CN209" i="1"/>
  <c r="CM209" i="1"/>
  <c r="CL209" i="1"/>
  <c r="CN207" i="1"/>
  <c r="CM207" i="1"/>
  <c r="CL207" i="1"/>
  <c r="CN206" i="1"/>
  <c r="CM206" i="1"/>
  <c r="CL206" i="1"/>
  <c r="CN205" i="1"/>
  <c r="CM205" i="1"/>
  <c r="CL205" i="1"/>
  <c r="CN204" i="1"/>
  <c r="CM204" i="1"/>
  <c r="CL204" i="1"/>
  <c r="CN203" i="1"/>
  <c r="CM203" i="1"/>
  <c r="CL203" i="1"/>
  <c r="CN202" i="1"/>
  <c r="CM202" i="1"/>
  <c r="CL202" i="1"/>
  <c r="CN201" i="1"/>
  <c r="CM201" i="1"/>
  <c r="CL201" i="1"/>
  <c r="CN200" i="1"/>
  <c r="CM200" i="1"/>
  <c r="CL200" i="1"/>
  <c r="CN199" i="1"/>
  <c r="CM199" i="1"/>
  <c r="CL199" i="1"/>
  <c r="CN198" i="1"/>
  <c r="CM198" i="1"/>
  <c r="CL198" i="1"/>
  <c r="CN197" i="1"/>
  <c r="CM197" i="1"/>
  <c r="CL197" i="1"/>
  <c r="CM195" i="1"/>
  <c r="CL195" i="1"/>
  <c r="CN194" i="1"/>
  <c r="CM194" i="1"/>
  <c r="CL194" i="1"/>
  <c r="CN193" i="1"/>
  <c r="CM193" i="1"/>
  <c r="CL193" i="1"/>
  <c r="CN192" i="1"/>
  <c r="CM192" i="1"/>
  <c r="CL192" i="1"/>
  <c r="CN191" i="1"/>
  <c r="CM191" i="1"/>
  <c r="CL191" i="1"/>
  <c r="CN190" i="1"/>
  <c r="CM190" i="1"/>
  <c r="CL190" i="1"/>
  <c r="CN189" i="1"/>
  <c r="CM189" i="1"/>
  <c r="CL189" i="1"/>
  <c r="CN188" i="1"/>
  <c r="CM188" i="1"/>
  <c r="CL188" i="1"/>
  <c r="CN187" i="1"/>
  <c r="CM187" i="1"/>
  <c r="CL187" i="1"/>
  <c r="CN186" i="1"/>
  <c r="CM186" i="1"/>
  <c r="CL186" i="1"/>
  <c r="CN184" i="1"/>
  <c r="CM184" i="1"/>
  <c r="CL184" i="1"/>
  <c r="CN183" i="1"/>
  <c r="CM183" i="1"/>
  <c r="CL183" i="1"/>
  <c r="CN181" i="1"/>
  <c r="CM181" i="1"/>
  <c r="CL181" i="1"/>
  <c r="CN180" i="1"/>
  <c r="CM180" i="1"/>
  <c r="CL180" i="1"/>
  <c r="CN179" i="1"/>
  <c r="CM179" i="1"/>
  <c r="CL179" i="1"/>
  <c r="CN178" i="1"/>
  <c r="CM178" i="1"/>
  <c r="CL178" i="1"/>
  <c r="CM177" i="1"/>
  <c r="CL177" i="1"/>
  <c r="CN176" i="1"/>
  <c r="CM176" i="1"/>
  <c r="CL176" i="1"/>
  <c r="CL175" i="1"/>
  <c r="CN174" i="1"/>
  <c r="CM174" i="1"/>
  <c r="CL174" i="1"/>
  <c r="CL173" i="1"/>
  <c r="CN172" i="1"/>
  <c r="CM172" i="1"/>
  <c r="CL172" i="1"/>
  <c r="CN171" i="1"/>
  <c r="CM171" i="1"/>
  <c r="CL171" i="1"/>
  <c r="CN170" i="1"/>
  <c r="CM170" i="1"/>
  <c r="CL170" i="1"/>
  <c r="CN169" i="1"/>
  <c r="CM169" i="1"/>
  <c r="CL169" i="1"/>
  <c r="CM168" i="1"/>
  <c r="CL168" i="1"/>
  <c r="CN167" i="1"/>
  <c r="CM167" i="1"/>
  <c r="CL167" i="1"/>
  <c r="CN166" i="1"/>
  <c r="CM166" i="1"/>
  <c r="CL166" i="1"/>
  <c r="CM165" i="1"/>
  <c r="CL165" i="1"/>
  <c r="CN164" i="1"/>
  <c r="CM164" i="1"/>
  <c r="CL164" i="1"/>
  <c r="CN163" i="1"/>
  <c r="CM163" i="1"/>
  <c r="CL163" i="1"/>
  <c r="CN162" i="1"/>
  <c r="CM162" i="1"/>
  <c r="CL162" i="1"/>
  <c r="CN161" i="1"/>
  <c r="CM161" i="1"/>
  <c r="CL161" i="1"/>
  <c r="CN160" i="1"/>
  <c r="CM160" i="1"/>
  <c r="CL160" i="1"/>
  <c r="CN159" i="1"/>
  <c r="CM159" i="1"/>
  <c r="CL159" i="1"/>
  <c r="CN158" i="1"/>
  <c r="CM158" i="1"/>
  <c r="CL158" i="1"/>
  <c r="CN157" i="1"/>
  <c r="CM157" i="1"/>
  <c r="CL157" i="1"/>
  <c r="CN156" i="1"/>
  <c r="CM156" i="1"/>
  <c r="CL156" i="1"/>
  <c r="CN155" i="1"/>
  <c r="CM155" i="1"/>
  <c r="CL155" i="1"/>
  <c r="CN154" i="1"/>
  <c r="CM154" i="1"/>
  <c r="CL154" i="1"/>
  <c r="CN153" i="1"/>
  <c r="CM153" i="1"/>
  <c r="CL153" i="1"/>
  <c r="CN152" i="1"/>
  <c r="CM152" i="1"/>
  <c r="CL152" i="1"/>
  <c r="CN151" i="1"/>
  <c r="CM151" i="1"/>
  <c r="CL151" i="1"/>
  <c r="CN150" i="1"/>
  <c r="CM150" i="1"/>
  <c r="CL150" i="1"/>
  <c r="CN149" i="1"/>
  <c r="CL149" i="1"/>
  <c r="CN148" i="1"/>
  <c r="CM148" i="1"/>
  <c r="CL148" i="1"/>
  <c r="CN147" i="1"/>
  <c r="CM147" i="1"/>
  <c r="CL147" i="1"/>
  <c r="CN146" i="1"/>
  <c r="CM146" i="1"/>
  <c r="CL146" i="1"/>
  <c r="CN145" i="1"/>
  <c r="CM145" i="1"/>
  <c r="CL145" i="1"/>
  <c r="CN144" i="1"/>
  <c r="CM144" i="1"/>
  <c r="CL144" i="1"/>
  <c r="CN143" i="1"/>
  <c r="CM143" i="1"/>
  <c r="CL143" i="1"/>
  <c r="CN142" i="1"/>
  <c r="CM142" i="1"/>
  <c r="CL142" i="1"/>
  <c r="CN141" i="1"/>
  <c r="CM141" i="1"/>
  <c r="CL141" i="1"/>
  <c r="CN140" i="1"/>
  <c r="CM140" i="1"/>
  <c r="CL140" i="1"/>
  <c r="CN139" i="1"/>
  <c r="CM139" i="1"/>
  <c r="CL139" i="1"/>
  <c r="CN138" i="1"/>
  <c r="CM138" i="1"/>
  <c r="CL138" i="1"/>
  <c r="CN137" i="1"/>
  <c r="CM137" i="1"/>
  <c r="CL137" i="1"/>
  <c r="CN136" i="1"/>
  <c r="CM136" i="1"/>
  <c r="CL136" i="1"/>
  <c r="CN135" i="1"/>
  <c r="CM135" i="1"/>
  <c r="CL135" i="1"/>
  <c r="CN134" i="1"/>
  <c r="CM134" i="1"/>
  <c r="CL134" i="1"/>
  <c r="CN133" i="1"/>
  <c r="CM133" i="1"/>
  <c r="CL133" i="1"/>
  <c r="CN132" i="1"/>
  <c r="CM132" i="1"/>
  <c r="CL132" i="1"/>
  <c r="CN131" i="1"/>
  <c r="CM131" i="1"/>
  <c r="CL131" i="1"/>
  <c r="CN130" i="1"/>
  <c r="CM130" i="1"/>
  <c r="CL130" i="1"/>
  <c r="CN129" i="1"/>
  <c r="CM129" i="1"/>
  <c r="CL129" i="1"/>
  <c r="CN128" i="1"/>
  <c r="CM128" i="1"/>
  <c r="CL128" i="1"/>
  <c r="CN127" i="1"/>
  <c r="CM127" i="1"/>
  <c r="CL127" i="1"/>
  <c r="CN126" i="1"/>
  <c r="CM126" i="1"/>
  <c r="CL126" i="1"/>
  <c r="CN125" i="1"/>
  <c r="CM125" i="1"/>
  <c r="CL125" i="1"/>
  <c r="CN124" i="1"/>
  <c r="CM124" i="1"/>
  <c r="CL124" i="1"/>
  <c r="CN123" i="1"/>
  <c r="CM123" i="1"/>
  <c r="CL123" i="1"/>
  <c r="CN122" i="1"/>
  <c r="CM122" i="1"/>
  <c r="CL122" i="1"/>
  <c r="CN121" i="1"/>
  <c r="CM121" i="1"/>
  <c r="CL121" i="1"/>
  <c r="CN120" i="1"/>
  <c r="CM120" i="1"/>
  <c r="CL120" i="1"/>
  <c r="CM119" i="1"/>
  <c r="CL119" i="1"/>
  <c r="CM118" i="1"/>
  <c r="CL118" i="1"/>
  <c r="CN117" i="1"/>
  <c r="CM117" i="1"/>
  <c r="CL117" i="1"/>
  <c r="CN116" i="1"/>
  <c r="CM116" i="1"/>
  <c r="CL116" i="1"/>
  <c r="CN115" i="1"/>
  <c r="CM115" i="1"/>
  <c r="CL115" i="1"/>
  <c r="CN114" i="1"/>
  <c r="CM114" i="1"/>
  <c r="CL114" i="1"/>
  <c r="CN113" i="1"/>
  <c r="CM113" i="1"/>
  <c r="CL113" i="1"/>
  <c r="CN112" i="1"/>
  <c r="CM112" i="1"/>
  <c r="CL112" i="1"/>
  <c r="CM111" i="1"/>
  <c r="CL111" i="1"/>
  <c r="CN110" i="1"/>
  <c r="CM110" i="1"/>
  <c r="CL110" i="1"/>
  <c r="CN109" i="1"/>
  <c r="CM109" i="1"/>
  <c r="CL109" i="1"/>
  <c r="CN108" i="1"/>
  <c r="CM108" i="1"/>
  <c r="CL108" i="1"/>
  <c r="CN107" i="1"/>
  <c r="CM107" i="1"/>
  <c r="CL107" i="1"/>
  <c r="CN106" i="1"/>
  <c r="CM106" i="1"/>
  <c r="CL106" i="1"/>
  <c r="CN105" i="1"/>
  <c r="CM105" i="1"/>
  <c r="CL105" i="1"/>
  <c r="CN104" i="1"/>
  <c r="CM104" i="1"/>
  <c r="CL104" i="1"/>
  <c r="CN103" i="1"/>
  <c r="CM103" i="1"/>
  <c r="CL103" i="1"/>
  <c r="CL102" i="1"/>
  <c r="CN101" i="1"/>
  <c r="CM101" i="1"/>
  <c r="CL101" i="1"/>
  <c r="CN100" i="1"/>
  <c r="CM100" i="1"/>
  <c r="CL100" i="1"/>
  <c r="CN99" i="1"/>
  <c r="CM99" i="1"/>
  <c r="CL99" i="1"/>
  <c r="CM98" i="1"/>
  <c r="CL98" i="1"/>
  <c r="CM97" i="1"/>
  <c r="CL97" i="1"/>
  <c r="CN96" i="1"/>
  <c r="CM96" i="1"/>
  <c r="CL96" i="1"/>
  <c r="CN95" i="1"/>
  <c r="CM95" i="1"/>
  <c r="CL95" i="1"/>
  <c r="CN94" i="1"/>
  <c r="CM94" i="1"/>
  <c r="CL94" i="1"/>
  <c r="CN93" i="1"/>
  <c r="CM93" i="1"/>
  <c r="CL93" i="1"/>
  <c r="CM92" i="1"/>
  <c r="CL92" i="1"/>
  <c r="CN91" i="1"/>
  <c r="CM91" i="1"/>
  <c r="CL91" i="1"/>
  <c r="CN90" i="1"/>
  <c r="CM90" i="1"/>
  <c r="CL90" i="1"/>
  <c r="CN89" i="1"/>
  <c r="CM89" i="1"/>
  <c r="CL89" i="1"/>
  <c r="CM88" i="1"/>
  <c r="CL88" i="1"/>
  <c r="CN87" i="1"/>
  <c r="CM87" i="1"/>
  <c r="CL87" i="1"/>
  <c r="CN86" i="1"/>
  <c r="CL86" i="1"/>
  <c r="CN85" i="1"/>
  <c r="CM85" i="1"/>
  <c r="CL85" i="1"/>
  <c r="CN84" i="1"/>
  <c r="CM84" i="1"/>
  <c r="CL84" i="1"/>
  <c r="CN83" i="1"/>
  <c r="CM83" i="1"/>
  <c r="CL83" i="1"/>
  <c r="CN82" i="1"/>
  <c r="CM82" i="1"/>
  <c r="CL82" i="1"/>
  <c r="CM81" i="1"/>
  <c r="CL81" i="1"/>
  <c r="CN80" i="1"/>
  <c r="CM80" i="1"/>
  <c r="CL80" i="1"/>
  <c r="CN79" i="1"/>
  <c r="CM79" i="1"/>
  <c r="CL79" i="1"/>
  <c r="CN78" i="1"/>
  <c r="CM78" i="1"/>
  <c r="CL78" i="1"/>
  <c r="CN77" i="1"/>
  <c r="CM77" i="1"/>
  <c r="CL77" i="1"/>
  <c r="CN76" i="1"/>
  <c r="CM76" i="1"/>
  <c r="CL76" i="1"/>
  <c r="CM75" i="1"/>
  <c r="CL75" i="1"/>
  <c r="CN74" i="1"/>
  <c r="CM74" i="1"/>
  <c r="CL74" i="1"/>
  <c r="CN73" i="1"/>
  <c r="CM73" i="1"/>
  <c r="CL73" i="1"/>
  <c r="CN72" i="1"/>
  <c r="CM72" i="1"/>
  <c r="CL72" i="1"/>
  <c r="CN71" i="1"/>
  <c r="CM71" i="1"/>
  <c r="CL71" i="1"/>
  <c r="CN70" i="1"/>
  <c r="CM70" i="1"/>
  <c r="CL70" i="1"/>
  <c r="CN69" i="1"/>
  <c r="CM69" i="1"/>
  <c r="CL69" i="1"/>
  <c r="CN68" i="1"/>
  <c r="CM68" i="1"/>
  <c r="CL68" i="1"/>
  <c r="CN67" i="1"/>
  <c r="CM67" i="1"/>
  <c r="CL67" i="1"/>
  <c r="CN66" i="1"/>
  <c r="CM66" i="1"/>
  <c r="CL66" i="1"/>
  <c r="CN65" i="1"/>
  <c r="CM65" i="1"/>
  <c r="CL65" i="1"/>
  <c r="CN64" i="1"/>
  <c r="CM64" i="1"/>
  <c r="CL64" i="1"/>
  <c r="CN63" i="1"/>
  <c r="CM63" i="1"/>
  <c r="CL63" i="1"/>
  <c r="CN62" i="1"/>
  <c r="CM62" i="1"/>
  <c r="CL62" i="1"/>
  <c r="CN61" i="1"/>
  <c r="CM61" i="1"/>
  <c r="CL61" i="1"/>
  <c r="CM60" i="1"/>
  <c r="CL60" i="1"/>
  <c r="CN59" i="1"/>
  <c r="CM59" i="1"/>
  <c r="CL59" i="1"/>
  <c r="CN58" i="1"/>
  <c r="CM58" i="1"/>
  <c r="CL58" i="1"/>
  <c r="CM57" i="1"/>
  <c r="CL57" i="1"/>
  <c r="CN56" i="1"/>
  <c r="CM56" i="1"/>
  <c r="CL56" i="1"/>
  <c r="CN55" i="1"/>
  <c r="CM55" i="1"/>
  <c r="CL55" i="1"/>
  <c r="CN54" i="1"/>
  <c r="CM54" i="1"/>
  <c r="CL54" i="1"/>
  <c r="CN53" i="1"/>
  <c r="CM53" i="1"/>
  <c r="CL53" i="1"/>
  <c r="CN52" i="1"/>
  <c r="CM52" i="1"/>
  <c r="CL52" i="1"/>
  <c r="CN51" i="1"/>
  <c r="CM51" i="1"/>
  <c r="CL51" i="1"/>
  <c r="CM50" i="1"/>
  <c r="CL50" i="1"/>
  <c r="CN49" i="1"/>
  <c r="CM49" i="1"/>
  <c r="CL49" i="1"/>
  <c r="CM48" i="1"/>
  <c r="CL48" i="1"/>
  <c r="CN47" i="1"/>
  <c r="CM47" i="1"/>
  <c r="CL47" i="1"/>
  <c r="CN46" i="1"/>
  <c r="CM46" i="1"/>
  <c r="CL46" i="1"/>
  <c r="CN45" i="1"/>
  <c r="CM45" i="1"/>
  <c r="CL45" i="1"/>
  <c r="CN44" i="1"/>
  <c r="CM44" i="1"/>
  <c r="CL44" i="1"/>
  <c r="CN43" i="1"/>
  <c r="CM43" i="1"/>
  <c r="CL43" i="1"/>
  <c r="CN42" i="1"/>
  <c r="CM42" i="1"/>
  <c r="CL42" i="1"/>
  <c r="CN41" i="1"/>
  <c r="CM41" i="1"/>
  <c r="CL41" i="1"/>
  <c r="CN40" i="1"/>
  <c r="CM40" i="1"/>
  <c r="CL40" i="1"/>
  <c r="CN39" i="1"/>
  <c r="CM39" i="1"/>
  <c r="CL39" i="1"/>
  <c r="CM38" i="1"/>
  <c r="CL38" i="1"/>
  <c r="CN37" i="1"/>
  <c r="CM37" i="1"/>
  <c r="CL37" i="1"/>
  <c r="CN36" i="1"/>
  <c r="CM36" i="1"/>
  <c r="CL36" i="1"/>
  <c r="CN35" i="1"/>
  <c r="CM35" i="1"/>
  <c r="CL35" i="1"/>
  <c r="CM34" i="1"/>
  <c r="CL34" i="1"/>
  <c r="CN33" i="1"/>
  <c r="CM33" i="1"/>
  <c r="CL33" i="1"/>
  <c r="CN32" i="1"/>
  <c r="CM32" i="1"/>
  <c r="CL32" i="1"/>
  <c r="CN31" i="1"/>
  <c r="CM31" i="1"/>
  <c r="CL31" i="1"/>
  <c r="CN30" i="1"/>
  <c r="CM30" i="1"/>
  <c r="CL30" i="1"/>
  <c r="CN29" i="1"/>
  <c r="CM29" i="1"/>
  <c r="CL29" i="1"/>
  <c r="CM28" i="1"/>
  <c r="CL28" i="1"/>
  <c r="CN27" i="1"/>
  <c r="CM27" i="1"/>
  <c r="CL27" i="1"/>
  <c r="CN26" i="1"/>
  <c r="CM26" i="1"/>
  <c r="CL26" i="1"/>
  <c r="CN25" i="1"/>
  <c r="CM25" i="1"/>
  <c r="CL25" i="1"/>
  <c r="CN24" i="1"/>
  <c r="CM24" i="1"/>
  <c r="CL24" i="1"/>
  <c r="CM23" i="1"/>
  <c r="CL23" i="1"/>
  <c r="CN22" i="1"/>
  <c r="CM22" i="1"/>
  <c r="CL22" i="1"/>
  <c r="CN21" i="1"/>
  <c r="CM21" i="1"/>
  <c r="CL21" i="1"/>
  <c r="CN20" i="1"/>
  <c r="CM20" i="1"/>
  <c r="CL20" i="1"/>
  <c r="CN19" i="1"/>
  <c r="CM19" i="1"/>
  <c r="CL19" i="1"/>
  <c r="CN18" i="1"/>
  <c r="CM18" i="1"/>
  <c r="CL18" i="1"/>
  <c r="CN17" i="1"/>
  <c r="CM17" i="1"/>
  <c r="CL17" i="1"/>
  <c r="CN16" i="1"/>
  <c r="CM16" i="1"/>
  <c r="CL16" i="1"/>
  <c r="EM569" i="1"/>
  <c r="EL569" i="1"/>
  <c r="EL568" i="1"/>
  <c r="EL567" i="1"/>
  <c r="EL566" i="1"/>
  <c r="EL565" i="1"/>
  <c r="EL564" i="1"/>
  <c r="EL563" i="1"/>
  <c r="EL562" i="1"/>
  <c r="EL561" i="1"/>
  <c r="EM560" i="1"/>
  <c r="EL560" i="1"/>
  <c r="EM559" i="1"/>
  <c r="EL559" i="1"/>
  <c r="EM558" i="1"/>
  <c r="EL558" i="1"/>
  <c r="EM557" i="1"/>
  <c r="EL557" i="1"/>
  <c r="EM556" i="1"/>
  <c r="EL556" i="1"/>
  <c r="EM555" i="1"/>
  <c r="EL555" i="1"/>
  <c r="EM554" i="1"/>
  <c r="EL554" i="1"/>
  <c r="EM553" i="1"/>
  <c r="EL553" i="1"/>
  <c r="EM552" i="1"/>
  <c r="EL552" i="1"/>
  <c r="EM551" i="1"/>
  <c r="EL551" i="1"/>
  <c r="EM550" i="1"/>
  <c r="EL550" i="1"/>
  <c r="EM549" i="1"/>
  <c r="EL549" i="1"/>
  <c r="EM548" i="1"/>
  <c r="EL548" i="1"/>
  <c r="EM547" i="1"/>
  <c r="EL547" i="1"/>
  <c r="EM546" i="1"/>
  <c r="EL546" i="1"/>
  <c r="EM545" i="1"/>
  <c r="EL545" i="1"/>
  <c r="EM544" i="1"/>
  <c r="EL544" i="1"/>
  <c r="EM543" i="1"/>
  <c r="EL543" i="1"/>
  <c r="EM542" i="1"/>
  <c r="EL542" i="1"/>
  <c r="EM541" i="1"/>
  <c r="EL541" i="1"/>
  <c r="EM540" i="1"/>
  <c r="EL540" i="1"/>
  <c r="EM539" i="1"/>
  <c r="EL539" i="1"/>
  <c r="EM538" i="1"/>
  <c r="EL538" i="1"/>
  <c r="EM537" i="1"/>
  <c r="EL537" i="1"/>
  <c r="EM536" i="1"/>
  <c r="EL536" i="1"/>
  <c r="EM535" i="1"/>
  <c r="EL535" i="1"/>
  <c r="EM534" i="1"/>
  <c r="EL534" i="1"/>
  <c r="EM533" i="1"/>
  <c r="EL533" i="1"/>
  <c r="EM532" i="1"/>
  <c r="EL532" i="1"/>
  <c r="EM531" i="1"/>
  <c r="EL531" i="1"/>
  <c r="EM530" i="1"/>
  <c r="EL530" i="1"/>
  <c r="EM529" i="1"/>
  <c r="EL529" i="1"/>
  <c r="EM528" i="1"/>
  <c r="EL528" i="1"/>
  <c r="EM527" i="1"/>
  <c r="EL527" i="1"/>
  <c r="EM526" i="1"/>
  <c r="EL526" i="1"/>
  <c r="EM525" i="1"/>
  <c r="EL525" i="1"/>
  <c r="EM524" i="1"/>
  <c r="EL524" i="1"/>
  <c r="EM523" i="1"/>
  <c r="EL523" i="1"/>
  <c r="EM522" i="1"/>
  <c r="EL522" i="1"/>
  <c r="EM521" i="1"/>
  <c r="EL521" i="1"/>
  <c r="EM520" i="1"/>
  <c r="EL520" i="1"/>
  <c r="EM519" i="1"/>
  <c r="EL519" i="1"/>
  <c r="EM518" i="1"/>
  <c r="EL518" i="1"/>
  <c r="EM517" i="1"/>
  <c r="EL517" i="1"/>
  <c r="EM516" i="1"/>
  <c r="EL516" i="1"/>
  <c r="EM515" i="1"/>
  <c r="EL515" i="1"/>
  <c r="EM514" i="1"/>
  <c r="EL514" i="1"/>
  <c r="EM513" i="1"/>
  <c r="EL513" i="1"/>
  <c r="EM512" i="1"/>
  <c r="EL512" i="1"/>
  <c r="EM511" i="1"/>
  <c r="EL511" i="1"/>
  <c r="EM510" i="1"/>
  <c r="EL510" i="1"/>
  <c r="EM509" i="1"/>
  <c r="EL509" i="1"/>
  <c r="EM508" i="1"/>
  <c r="EL508" i="1"/>
  <c r="EM507" i="1"/>
  <c r="EL507" i="1"/>
  <c r="EM506" i="1"/>
  <c r="EL506" i="1"/>
  <c r="EM505" i="1"/>
  <c r="EL505" i="1"/>
  <c r="EM504" i="1"/>
  <c r="EL504" i="1"/>
  <c r="EM503" i="1"/>
  <c r="EL503" i="1"/>
  <c r="EM502" i="1"/>
  <c r="EL502" i="1"/>
  <c r="EM501" i="1"/>
  <c r="EL501" i="1"/>
  <c r="EM500" i="1"/>
  <c r="EL500" i="1"/>
  <c r="EM499" i="1"/>
  <c r="EL499" i="1"/>
  <c r="EM498" i="1"/>
  <c r="EL498" i="1"/>
  <c r="EM497" i="1"/>
  <c r="EL497" i="1"/>
  <c r="EM496" i="1"/>
  <c r="EL496" i="1"/>
  <c r="EM495" i="1"/>
  <c r="EL495" i="1"/>
  <c r="EM494" i="1"/>
  <c r="EL494" i="1"/>
  <c r="EM493" i="1"/>
  <c r="EL493" i="1"/>
  <c r="EM492" i="1"/>
  <c r="EL492" i="1"/>
  <c r="EM491" i="1"/>
  <c r="EL491" i="1"/>
  <c r="EM490" i="1"/>
  <c r="EL490" i="1"/>
  <c r="EM489" i="1"/>
  <c r="EL489" i="1"/>
  <c r="EM488" i="1"/>
  <c r="EL488" i="1"/>
  <c r="EM487" i="1"/>
  <c r="EL487" i="1"/>
  <c r="EM486" i="1"/>
  <c r="EL486" i="1"/>
  <c r="EM485" i="1"/>
  <c r="EL485" i="1"/>
  <c r="EM484" i="1"/>
  <c r="EL484" i="1"/>
  <c r="EM483" i="1"/>
  <c r="EL483" i="1"/>
  <c r="EM482" i="1"/>
  <c r="EL482" i="1"/>
  <c r="EM481" i="1"/>
  <c r="EL481" i="1"/>
  <c r="EM480" i="1"/>
  <c r="EL480" i="1"/>
  <c r="EM479" i="1"/>
  <c r="EL479" i="1"/>
  <c r="EM478" i="1"/>
  <c r="EL478" i="1"/>
  <c r="EM477" i="1"/>
  <c r="EL477" i="1"/>
  <c r="EM476" i="1"/>
  <c r="EL476" i="1"/>
  <c r="EM475" i="1"/>
  <c r="EL475" i="1"/>
  <c r="EM474" i="1"/>
  <c r="EL474" i="1"/>
  <c r="EM473" i="1"/>
  <c r="EL473" i="1"/>
  <c r="EM472" i="1"/>
  <c r="EL472" i="1"/>
  <c r="EM471" i="1"/>
  <c r="EL471" i="1"/>
  <c r="EM470" i="1"/>
  <c r="EL470" i="1"/>
  <c r="EM469" i="1"/>
  <c r="EL469" i="1"/>
  <c r="EM468" i="1"/>
  <c r="EL468" i="1"/>
  <c r="EM467" i="1"/>
  <c r="EL467" i="1"/>
  <c r="EM466" i="1"/>
  <c r="EL466" i="1"/>
  <c r="EM465" i="1"/>
  <c r="EL465" i="1"/>
  <c r="EM464" i="1"/>
  <c r="EL464" i="1"/>
  <c r="EM463" i="1"/>
  <c r="EL463" i="1"/>
  <c r="EM462" i="1"/>
  <c r="EL462" i="1"/>
  <c r="EM461" i="1"/>
  <c r="EL461" i="1"/>
  <c r="EM460" i="1"/>
  <c r="EL460" i="1"/>
  <c r="EM459" i="1"/>
  <c r="EL459" i="1"/>
  <c r="EM458" i="1"/>
  <c r="EL458" i="1"/>
  <c r="EM457" i="1"/>
  <c r="EL457" i="1"/>
  <c r="EM456" i="1"/>
  <c r="EL456" i="1"/>
  <c r="EM455" i="1"/>
  <c r="EL455" i="1"/>
  <c r="EM454" i="1"/>
  <c r="EL454" i="1"/>
  <c r="EM453" i="1"/>
  <c r="EL453" i="1"/>
  <c r="EM452" i="1"/>
  <c r="EL452" i="1"/>
  <c r="EM451" i="1"/>
  <c r="EL451" i="1"/>
  <c r="EM450" i="1"/>
  <c r="EL450" i="1"/>
  <c r="EM449" i="1"/>
  <c r="EL449" i="1"/>
  <c r="EL448" i="1"/>
  <c r="EL447" i="1"/>
  <c r="EM446" i="1"/>
  <c r="EL446" i="1"/>
  <c r="EM445" i="1"/>
  <c r="EL445" i="1"/>
  <c r="EL444" i="1"/>
  <c r="EL443" i="1"/>
  <c r="EM442" i="1"/>
  <c r="EL442" i="1"/>
  <c r="EM441" i="1"/>
  <c r="EL441" i="1"/>
  <c r="EM440" i="1"/>
  <c r="EL440" i="1"/>
  <c r="EM439" i="1"/>
  <c r="EL439" i="1"/>
  <c r="EM438" i="1"/>
  <c r="EL438" i="1"/>
  <c r="EL437" i="1"/>
  <c r="EM436" i="1"/>
  <c r="EL436" i="1"/>
  <c r="EM435" i="1"/>
  <c r="EL435" i="1"/>
  <c r="EL434" i="1"/>
  <c r="EL433" i="1"/>
  <c r="EM432" i="1"/>
  <c r="EL432" i="1"/>
  <c r="EM431" i="1"/>
  <c r="EL431" i="1"/>
  <c r="EM430" i="1"/>
  <c r="EL430" i="1"/>
  <c r="EM429" i="1"/>
  <c r="EL429" i="1"/>
  <c r="EM428" i="1"/>
  <c r="EL428" i="1"/>
  <c r="EM427" i="1"/>
  <c r="EL427" i="1"/>
  <c r="EM426" i="1"/>
  <c r="EL426" i="1"/>
  <c r="EM425" i="1"/>
  <c r="EL425" i="1"/>
  <c r="EM424" i="1"/>
  <c r="EL424" i="1"/>
  <c r="EM423" i="1"/>
  <c r="EL423" i="1"/>
  <c r="EM422" i="1"/>
  <c r="EL422" i="1"/>
  <c r="EM421" i="1"/>
  <c r="EL421" i="1"/>
  <c r="EM420" i="1"/>
  <c r="EL420" i="1"/>
  <c r="EM419" i="1"/>
  <c r="EL419" i="1"/>
  <c r="EM418" i="1"/>
  <c r="EL418" i="1"/>
  <c r="EM417" i="1"/>
  <c r="EL417" i="1"/>
  <c r="EM416" i="1"/>
  <c r="EL416" i="1"/>
  <c r="EM415" i="1"/>
  <c r="EL415" i="1"/>
  <c r="EM414" i="1"/>
  <c r="EL414" i="1"/>
  <c r="EM413" i="1"/>
  <c r="EL413" i="1"/>
  <c r="EM412" i="1"/>
  <c r="EL412" i="1"/>
  <c r="EM411" i="1"/>
  <c r="EL411" i="1"/>
  <c r="EL410" i="1"/>
  <c r="EM409" i="1"/>
  <c r="EL409" i="1"/>
  <c r="EL408" i="1"/>
  <c r="EM407" i="1"/>
  <c r="EL407" i="1"/>
  <c r="EL406" i="1"/>
  <c r="EM405" i="1"/>
  <c r="EL405" i="1"/>
  <c r="EM404" i="1"/>
  <c r="EL404" i="1"/>
  <c r="EM403" i="1"/>
  <c r="EL403" i="1"/>
  <c r="EM402" i="1"/>
  <c r="EL402" i="1"/>
  <c r="EL401" i="1"/>
  <c r="EM400" i="1"/>
  <c r="EL400" i="1"/>
  <c r="EL399" i="1"/>
  <c r="EL398" i="1"/>
  <c r="EL397" i="1"/>
  <c r="EM396" i="1"/>
  <c r="EL396" i="1"/>
  <c r="EL395" i="1"/>
  <c r="EM394" i="1"/>
  <c r="EL394" i="1"/>
  <c r="EM393" i="1"/>
  <c r="EL393" i="1"/>
  <c r="EM392" i="1"/>
  <c r="EL392" i="1"/>
  <c r="EL391" i="1"/>
  <c r="EM390" i="1"/>
  <c r="EL390" i="1"/>
  <c r="EM389" i="1"/>
  <c r="EL389" i="1"/>
  <c r="EM388" i="1"/>
  <c r="EL388" i="1"/>
  <c r="EM387" i="1"/>
  <c r="EL387" i="1"/>
  <c r="EM386" i="1"/>
  <c r="EL386" i="1"/>
  <c r="EL385" i="1"/>
  <c r="EM384" i="1"/>
  <c r="EL384" i="1"/>
  <c r="EM383" i="1"/>
  <c r="EL383" i="1"/>
  <c r="EM382" i="1"/>
  <c r="EL382" i="1"/>
  <c r="EM381" i="1"/>
  <c r="EL381" i="1"/>
  <c r="EL380" i="1"/>
  <c r="EM379" i="1"/>
  <c r="EL379" i="1"/>
  <c r="EM378" i="1"/>
  <c r="EL378" i="1"/>
  <c r="EM377" i="1"/>
  <c r="EL377" i="1"/>
  <c r="EM376" i="1"/>
  <c r="EL376" i="1"/>
  <c r="EM375" i="1"/>
  <c r="EL375" i="1"/>
  <c r="EM374" i="1"/>
  <c r="EL374" i="1"/>
  <c r="EL373" i="1"/>
  <c r="EL372" i="1"/>
  <c r="EL371" i="1"/>
  <c r="EM370" i="1"/>
  <c r="EL370" i="1"/>
  <c r="EM369" i="1"/>
  <c r="EL369" i="1"/>
  <c r="EM368" i="1"/>
  <c r="EL368" i="1"/>
  <c r="EM367" i="1"/>
  <c r="EL367" i="1"/>
  <c r="EL366" i="1"/>
  <c r="EL365" i="1"/>
  <c r="EL364" i="1"/>
  <c r="EM363" i="1"/>
  <c r="EL363" i="1"/>
  <c r="EL362" i="1"/>
  <c r="EL361" i="1"/>
  <c r="EM360" i="1"/>
  <c r="EL360" i="1"/>
  <c r="EM359" i="1"/>
  <c r="EL359" i="1"/>
  <c r="EM358" i="1"/>
  <c r="EL358" i="1"/>
  <c r="EM357" i="1"/>
  <c r="EL357" i="1"/>
  <c r="EL356" i="1"/>
  <c r="EL355" i="1"/>
  <c r="EL354" i="1"/>
  <c r="EL353" i="1"/>
  <c r="EL352" i="1"/>
  <c r="EL351" i="1"/>
  <c r="EL350" i="1"/>
  <c r="EL349" i="1"/>
  <c r="EM348" i="1"/>
  <c r="EL348" i="1"/>
  <c r="EL347" i="1"/>
  <c r="EL346" i="1"/>
  <c r="EL345" i="1"/>
  <c r="EL344" i="1"/>
  <c r="EL343" i="1"/>
  <c r="EL342" i="1"/>
  <c r="EL341" i="1"/>
  <c r="EL340" i="1"/>
  <c r="EL339" i="1"/>
  <c r="EL338" i="1"/>
  <c r="EL337" i="1"/>
  <c r="EL336" i="1"/>
  <c r="EL335" i="1"/>
  <c r="EL334" i="1"/>
  <c r="EL333" i="1"/>
  <c r="EM332" i="1"/>
  <c r="EL332" i="1"/>
  <c r="EL331" i="1"/>
  <c r="EL330" i="1"/>
  <c r="EM329" i="1"/>
  <c r="EL329" i="1"/>
  <c r="EL328" i="1"/>
  <c r="EM327" i="1"/>
  <c r="EL327" i="1"/>
  <c r="EL326" i="1"/>
  <c r="EL325" i="1"/>
  <c r="EM324" i="1"/>
  <c r="EL324" i="1"/>
  <c r="EL323" i="1"/>
  <c r="EL322" i="1"/>
  <c r="EL321" i="1"/>
  <c r="EM320" i="1"/>
  <c r="EL320" i="1"/>
  <c r="EM319" i="1"/>
  <c r="EL319" i="1"/>
  <c r="EL318" i="1"/>
  <c r="EL317" i="1"/>
  <c r="EL316" i="1"/>
  <c r="EM315" i="1"/>
  <c r="EL315" i="1"/>
  <c r="EM314" i="1"/>
  <c r="EL314" i="1"/>
  <c r="EL313" i="1"/>
  <c r="EM312" i="1"/>
  <c r="EL312" i="1"/>
  <c r="EM311" i="1"/>
  <c r="EL311" i="1"/>
  <c r="EM310" i="1"/>
  <c r="EL310" i="1"/>
  <c r="EL309" i="1"/>
  <c r="EM308" i="1"/>
  <c r="EL308" i="1"/>
  <c r="EL307" i="1"/>
  <c r="EM306" i="1"/>
  <c r="EL306" i="1"/>
  <c r="EM305" i="1"/>
  <c r="EL305" i="1"/>
  <c r="EM304" i="1"/>
  <c r="EL304" i="1"/>
  <c r="EM303" i="1"/>
  <c r="EL303" i="1"/>
  <c r="EM302" i="1"/>
  <c r="EL302" i="1"/>
  <c r="EM301" i="1"/>
  <c r="EL301" i="1"/>
  <c r="EM300" i="1"/>
  <c r="EL300" i="1"/>
  <c r="EM299" i="1"/>
  <c r="EL299" i="1"/>
  <c r="EM298" i="1"/>
  <c r="EL298" i="1"/>
  <c r="EM297" i="1"/>
  <c r="EL297" i="1"/>
  <c r="EL296" i="1"/>
  <c r="EM295" i="1"/>
  <c r="EL295" i="1"/>
  <c r="EM294" i="1"/>
  <c r="EL294" i="1"/>
  <c r="EM293" i="1"/>
  <c r="EL293" i="1"/>
  <c r="EM292" i="1"/>
  <c r="EL292" i="1"/>
  <c r="EM291" i="1"/>
  <c r="EL291" i="1"/>
  <c r="EM290" i="1"/>
  <c r="EL290" i="1"/>
  <c r="EM289" i="1"/>
  <c r="EL289" i="1"/>
  <c r="EM288" i="1"/>
  <c r="EL288" i="1"/>
  <c r="EM287" i="1"/>
  <c r="EL287" i="1"/>
  <c r="EM286" i="1"/>
  <c r="EL286" i="1"/>
  <c r="EM285" i="1"/>
  <c r="EL285" i="1"/>
  <c r="EM284" i="1"/>
  <c r="EL284" i="1"/>
  <c r="EM283" i="1"/>
  <c r="EL283" i="1"/>
  <c r="EL282" i="1"/>
  <c r="EM281" i="1"/>
  <c r="EL281" i="1"/>
  <c r="EM280" i="1"/>
  <c r="EL280" i="1"/>
  <c r="EL279" i="1"/>
  <c r="EL278" i="1"/>
  <c r="EL277" i="1"/>
  <c r="EL276" i="1"/>
  <c r="EM275" i="1"/>
  <c r="EL275" i="1"/>
  <c r="EM274" i="1"/>
  <c r="EL274" i="1"/>
  <c r="EM273" i="1"/>
  <c r="EL273" i="1"/>
  <c r="EM272" i="1"/>
  <c r="EL272" i="1"/>
  <c r="EM271" i="1"/>
  <c r="EL271" i="1"/>
  <c r="EL270" i="1"/>
  <c r="EL269" i="1"/>
  <c r="EL268" i="1"/>
  <c r="EL267" i="1"/>
  <c r="EL266" i="1"/>
  <c r="EM265" i="1"/>
  <c r="EL265" i="1"/>
  <c r="EM264" i="1"/>
  <c r="EL264" i="1"/>
  <c r="EL263" i="1"/>
  <c r="EL262" i="1"/>
  <c r="EL261" i="1"/>
  <c r="EL260" i="1"/>
  <c r="EL259" i="1"/>
  <c r="EL258" i="1"/>
  <c r="EL257" i="1"/>
  <c r="EL256" i="1"/>
  <c r="EL255" i="1"/>
  <c r="EL254" i="1"/>
  <c r="EL253" i="1"/>
  <c r="EL252" i="1"/>
  <c r="EL251" i="1"/>
  <c r="EL250" i="1"/>
  <c r="EL249" i="1"/>
  <c r="EL248" i="1"/>
  <c r="EL247" i="1"/>
  <c r="EL246" i="1"/>
  <c r="EL245" i="1"/>
  <c r="EL244" i="1"/>
  <c r="EL243" i="1"/>
  <c r="EM242" i="1"/>
  <c r="EL242" i="1"/>
  <c r="EL241" i="1"/>
  <c r="EL240" i="1"/>
  <c r="EL239" i="1"/>
  <c r="EL238" i="1"/>
  <c r="EL237" i="1"/>
  <c r="EL236" i="1"/>
  <c r="EL235" i="1"/>
  <c r="EL234" i="1"/>
  <c r="EL233" i="1"/>
  <c r="EM232" i="1"/>
  <c r="EL232" i="1"/>
  <c r="EL231" i="1"/>
  <c r="EL230" i="1"/>
  <c r="EL229" i="1"/>
  <c r="EL228" i="1"/>
  <c r="EL227" i="1"/>
  <c r="EL226" i="1"/>
  <c r="EL225" i="1"/>
  <c r="EL224" i="1"/>
  <c r="EM223" i="1"/>
  <c r="EL223" i="1"/>
  <c r="EL222" i="1"/>
  <c r="EL221" i="1"/>
  <c r="EL220" i="1"/>
  <c r="EM219" i="1"/>
  <c r="EL219" i="1"/>
  <c r="EL218" i="1"/>
  <c r="EL217" i="1"/>
  <c r="EL216" i="1"/>
  <c r="EL215" i="1"/>
  <c r="EL214" i="1"/>
  <c r="EL213" i="1"/>
  <c r="EM212" i="1"/>
  <c r="EL212" i="1"/>
  <c r="EL211" i="1"/>
  <c r="EL210" i="1"/>
  <c r="EL209" i="1"/>
  <c r="EL208" i="1"/>
  <c r="EL207" i="1"/>
  <c r="EL206" i="1"/>
  <c r="EL205" i="1"/>
  <c r="EL204" i="1"/>
  <c r="EL203" i="1"/>
  <c r="EL202" i="1"/>
  <c r="EL201" i="1"/>
  <c r="EL200" i="1"/>
  <c r="EL199" i="1"/>
  <c r="EL198" i="1"/>
  <c r="EL197" i="1"/>
  <c r="EL196" i="1"/>
  <c r="EL195" i="1"/>
  <c r="EL194" i="1"/>
  <c r="EM193" i="1"/>
  <c r="EL193" i="1"/>
  <c r="EM192" i="1"/>
  <c r="EL192" i="1"/>
  <c r="EL191" i="1"/>
  <c r="EL190" i="1"/>
  <c r="EL189" i="1"/>
  <c r="EL188" i="1"/>
  <c r="EL187" i="1"/>
  <c r="EL186" i="1"/>
  <c r="EL185" i="1"/>
  <c r="EL184" i="1"/>
  <c r="EL183" i="1"/>
  <c r="EL182" i="1"/>
  <c r="EM181" i="1"/>
  <c r="EL181" i="1"/>
  <c r="EM180" i="1"/>
  <c r="EL180" i="1"/>
  <c r="EM179" i="1"/>
  <c r="EL179" i="1"/>
  <c r="EM178" i="1"/>
  <c r="EL178" i="1"/>
  <c r="EM177" i="1"/>
  <c r="EL177" i="1"/>
  <c r="EL176" i="1"/>
  <c r="EL175" i="1"/>
  <c r="EL174" i="1"/>
  <c r="EL173" i="1"/>
  <c r="EM172" i="1"/>
  <c r="EL172" i="1"/>
  <c r="EM171" i="1"/>
  <c r="EL171" i="1"/>
  <c r="EM170" i="1"/>
  <c r="EL170" i="1"/>
  <c r="EM169" i="1"/>
  <c r="EL169" i="1"/>
  <c r="EM168" i="1"/>
  <c r="EL168" i="1"/>
  <c r="EM167" i="1"/>
  <c r="EL167" i="1"/>
  <c r="EM166" i="1"/>
  <c r="EL166" i="1"/>
  <c r="EM165" i="1"/>
  <c r="EL165" i="1"/>
  <c r="EM164" i="1"/>
  <c r="EL164" i="1"/>
  <c r="EM163" i="1"/>
  <c r="EL163" i="1"/>
  <c r="EM162" i="1"/>
  <c r="EL162" i="1"/>
  <c r="EM161" i="1"/>
  <c r="EL161" i="1"/>
  <c r="EM160" i="1"/>
  <c r="EL160" i="1"/>
  <c r="EM159" i="1"/>
  <c r="EL159" i="1"/>
  <c r="EM158" i="1"/>
  <c r="EL158" i="1"/>
  <c r="EM157" i="1"/>
  <c r="EL157" i="1"/>
  <c r="EL156" i="1"/>
  <c r="EL155" i="1"/>
  <c r="EL154" i="1"/>
  <c r="EL153" i="1"/>
  <c r="EM152" i="1"/>
  <c r="EL152" i="1"/>
  <c r="EL151" i="1"/>
  <c r="EL150" i="1"/>
  <c r="EL149" i="1"/>
  <c r="EM148" i="1"/>
  <c r="EL148" i="1"/>
  <c r="EM147" i="1"/>
  <c r="EL147" i="1"/>
  <c r="EM146" i="1"/>
  <c r="EL146" i="1"/>
  <c r="EM145" i="1"/>
  <c r="EL145" i="1"/>
  <c r="EM144" i="1"/>
  <c r="EL144" i="1"/>
  <c r="EM143" i="1"/>
  <c r="EL143" i="1"/>
  <c r="EM142" i="1"/>
  <c r="EL142" i="1"/>
  <c r="EM141" i="1"/>
  <c r="EL141" i="1"/>
  <c r="EM140" i="1"/>
  <c r="EL140" i="1"/>
  <c r="EM139" i="1"/>
  <c r="EL139" i="1"/>
  <c r="EM138" i="1"/>
  <c r="EL138" i="1"/>
  <c r="EM137" i="1"/>
  <c r="EL137" i="1"/>
  <c r="EM136" i="1"/>
  <c r="EL136" i="1"/>
  <c r="EM135" i="1"/>
  <c r="EL135" i="1"/>
  <c r="EM134" i="1"/>
  <c r="EL134" i="1"/>
  <c r="EM133" i="1"/>
  <c r="EL133" i="1"/>
  <c r="EM132" i="1"/>
  <c r="EL132" i="1"/>
  <c r="EM131" i="1"/>
  <c r="EL131" i="1"/>
  <c r="EM130" i="1"/>
  <c r="EL130" i="1"/>
  <c r="EM129" i="1"/>
  <c r="EL129" i="1"/>
  <c r="EM128" i="1"/>
  <c r="EL128" i="1"/>
  <c r="EM127" i="1"/>
  <c r="EL127" i="1"/>
  <c r="EM126" i="1"/>
  <c r="EL126" i="1"/>
  <c r="EM125" i="1"/>
  <c r="EL125" i="1"/>
  <c r="EM124" i="1"/>
  <c r="EL124" i="1"/>
  <c r="EM123" i="1"/>
  <c r="EL123" i="1"/>
  <c r="EL122" i="1"/>
  <c r="EM121" i="1"/>
  <c r="EL121" i="1"/>
  <c r="EM120" i="1"/>
  <c r="EL120" i="1"/>
  <c r="EM119" i="1"/>
  <c r="EL119" i="1"/>
  <c r="EM118" i="1"/>
  <c r="EL118" i="1"/>
  <c r="EM117" i="1"/>
  <c r="EL117" i="1"/>
  <c r="EM116" i="1"/>
  <c r="EL116" i="1"/>
  <c r="EM115" i="1"/>
  <c r="EL115" i="1"/>
  <c r="EM114" i="1"/>
  <c r="EL114" i="1"/>
  <c r="EM113" i="1"/>
  <c r="EL113" i="1"/>
  <c r="EM112" i="1"/>
  <c r="EL112" i="1"/>
  <c r="EM111" i="1"/>
  <c r="EL111" i="1"/>
  <c r="EL110" i="1"/>
  <c r="EL109" i="1"/>
  <c r="EL108" i="1"/>
  <c r="EL107" i="1"/>
  <c r="EL106" i="1"/>
  <c r="EL105" i="1"/>
  <c r="EL104" i="1"/>
  <c r="EL103" i="1"/>
  <c r="EM102" i="1"/>
  <c r="EL102" i="1"/>
  <c r="EM101" i="1"/>
  <c r="EL101" i="1"/>
  <c r="EM100" i="1"/>
  <c r="EL100" i="1"/>
  <c r="EM99" i="1"/>
  <c r="EL99" i="1"/>
  <c r="EM98" i="1"/>
  <c r="EL98" i="1"/>
  <c r="EM97" i="1"/>
  <c r="EL97" i="1"/>
  <c r="EM96" i="1"/>
  <c r="EL96" i="1"/>
  <c r="EM95" i="1"/>
  <c r="EL95" i="1"/>
  <c r="EM94" i="1"/>
  <c r="EL94" i="1"/>
  <c r="EL93" i="1"/>
  <c r="EL92" i="1"/>
  <c r="EL91" i="1"/>
  <c r="EL90" i="1"/>
  <c r="EL89" i="1"/>
  <c r="EL88" i="1"/>
  <c r="EL87" i="1"/>
  <c r="EL86" i="1"/>
  <c r="EM85" i="1"/>
  <c r="EL85" i="1"/>
  <c r="EM84" i="1"/>
  <c r="EL84" i="1"/>
  <c r="EL83" i="1"/>
  <c r="EM82" i="1"/>
  <c r="EL82" i="1"/>
  <c r="EM81" i="1"/>
  <c r="EL81" i="1"/>
  <c r="EM80" i="1"/>
  <c r="EL80" i="1"/>
  <c r="EM79" i="1"/>
  <c r="EL79" i="1"/>
  <c r="EM78" i="1"/>
  <c r="EL78" i="1"/>
  <c r="EM77" i="1"/>
  <c r="EL77" i="1"/>
  <c r="EM76" i="1"/>
  <c r="EL76" i="1"/>
  <c r="EM75" i="1"/>
  <c r="EL75" i="1"/>
  <c r="EM74" i="1"/>
  <c r="EL74" i="1"/>
  <c r="EM73" i="1"/>
  <c r="EL73" i="1"/>
  <c r="EL72" i="1"/>
  <c r="EM71" i="1"/>
  <c r="EL71" i="1"/>
  <c r="EL70" i="1"/>
  <c r="EM69" i="1"/>
  <c r="EL69" i="1"/>
  <c r="EM68" i="1"/>
  <c r="EL68" i="1"/>
  <c r="EM67" i="1"/>
  <c r="EL67" i="1"/>
  <c r="EM66" i="1"/>
  <c r="EL66" i="1"/>
  <c r="EL65" i="1"/>
  <c r="EM64" i="1"/>
  <c r="EL64" i="1"/>
  <c r="EM63" i="1"/>
  <c r="EL63" i="1"/>
  <c r="EM62" i="1"/>
  <c r="EL62" i="1"/>
  <c r="EM61" i="1"/>
  <c r="EL61" i="1"/>
  <c r="EM60" i="1"/>
  <c r="EL60" i="1"/>
  <c r="EM59" i="1"/>
  <c r="EL59" i="1"/>
  <c r="EM58" i="1"/>
  <c r="EL58" i="1"/>
  <c r="EM57" i="1"/>
  <c r="EL57" i="1"/>
  <c r="EM56" i="1"/>
  <c r="EL56" i="1"/>
  <c r="EM55" i="1"/>
  <c r="EL55" i="1"/>
  <c r="EM54" i="1"/>
  <c r="EL54" i="1"/>
  <c r="EM53" i="1"/>
  <c r="EL53" i="1"/>
  <c r="EM52" i="1"/>
  <c r="EL52" i="1"/>
  <c r="EM51" i="1"/>
  <c r="EL51" i="1"/>
  <c r="EM50" i="1"/>
  <c r="EL50" i="1"/>
  <c r="EM49" i="1"/>
  <c r="EL49" i="1"/>
  <c r="EM48" i="1"/>
  <c r="EL48" i="1"/>
  <c r="EM47" i="1"/>
  <c r="EL47" i="1"/>
  <c r="EL46" i="1"/>
  <c r="EM45" i="1"/>
  <c r="EL45" i="1"/>
  <c r="EL44" i="1"/>
  <c r="EM43" i="1"/>
  <c r="EL43" i="1"/>
  <c r="EM42" i="1"/>
  <c r="EL42" i="1"/>
  <c r="EM41" i="1"/>
  <c r="EL41" i="1"/>
  <c r="EM40" i="1"/>
  <c r="EL40" i="1"/>
  <c r="EM39" i="1"/>
  <c r="EL39" i="1"/>
  <c r="EM38" i="1"/>
  <c r="EL38" i="1"/>
  <c r="EM37" i="1"/>
  <c r="EL37" i="1"/>
  <c r="EM36" i="1"/>
  <c r="EL36" i="1"/>
  <c r="EL35" i="1"/>
  <c r="EL34" i="1"/>
  <c r="EL33" i="1"/>
  <c r="EL32" i="1"/>
  <c r="EL31" i="1"/>
  <c r="EM30" i="1"/>
  <c r="EL30" i="1"/>
  <c r="EM29" i="1"/>
  <c r="EL29" i="1"/>
  <c r="EM28" i="1"/>
  <c r="EL28" i="1"/>
  <c r="EM27" i="1"/>
  <c r="EL27" i="1"/>
  <c r="EL26" i="1"/>
  <c r="EM25" i="1"/>
  <c r="EL25" i="1"/>
  <c r="EM24" i="1"/>
  <c r="EL24" i="1"/>
  <c r="EM23" i="1"/>
  <c r="EL23" i="1"/>
  <c r="EM22" i="1"/>
  <c r="EL22" i="1"/>
  <c r="EM21" i="1"/>
  <c r="EL21" i="1"/>
  <c r="EM20" i="1"/>
  <c r="EL20" i="1"/>
  <c r="EM19" i="1"/>
  <c r="EL19" i="1"/>
  <c r="EM18" i="1"/>
  <c r="EL18" i="1"/>
  <c r="EM17" i="1"/>
  <c r="EL17" i="1"/>
  <c r="EL16" i="1"/>
  <c r="EM16" i="1"/>
  <c r="EP267" i="1" l="1"/>
  <c r="EO267" i="1"/>
  <c r="DD267" i="1"/>
  <c r="EM267" i="1" s="1"/>
  <c r="CK267" i="1"/>
  <c r="CJ267" i="1"/>
  <c r="EP266" i="1"/>
  <c r="EO266" i="1"/>
  <c r="DD266" i="1"/>
  <c r="EM266" i="1" s="1"/>
  <c r="CG266" i="1"/>
  <c r="CK266" i="1" s="1"/>
  <c r="AN266" i="1"/>
  <c r="AM266" i="1"/>
  <c r="AL266" i="1"/>
  <c r="AK266" i="1"/>
  <c r="CL266" i="1" s="1"/>
  <c r="AJ266" i="1"/>
  <c r="AE266" i="1"/>
  <c r="EP265" i="1"/>
  <c r="EO265" i="1"/>
  <c r="DD265" i="1"/>
  <c r="CK265" i="1"/>
  <c r="CJ265" i="1"/>
  <c r="EP264" i="1"/>
  <c r="EO264" i="1"/>
  <c r="DD264" i="1"/>
  <c r="CK264" i="1"/>
  <c r="CJ264" i="1"/>
  <c r="EP263" i="1"/>
  <c r="EO263" i="1"/>
  <c r="DD263" i="1"/>
  <c r="EM263" i="1" s="1"/>
  <c r="CK263" i="1"/>
  <c r="CJ263" i="1"/>
  <c r="EP262" i="1"/>
  <c r="EO262" i="1"/>
  <c r="DD262" i="1"/>
  <c r="EM262" i="1" s="1"/>
  <c r="CK262" i="1"/>
  <c r="CJ262" i="1"/>
  <c r="EP261" i="1"/>
  <c r="EO261" i="1"/>
  <c r="DD261" i="1"/>
  <c r="EM261" i="1" s="1"/>
  <c r="CK261" i="1"/>
  <c r="CJ261" i="1"/>
  <c r="EP260" i="1"/>
  <c r="EO260" i="1"/>
  <c r="DD260" i="1"/>
  <c r="EM260" i="1" s="1"/>
  <c r="CK260" i="1"/>
  <c r="CJ260" i="1"/>
  <c r="EP259" i="1"/>
  <c r="EO259" i="1"/>
  <c r="DD259" i="1"/>
  <c r="EM259" i="1" s="1"/>
  <c r="CK259" i="1"/>
  <c r="CJ259" i="1"/>
  <c r="DD258" i="1"/>
  <c r="EM258" i="1" s="1"/>
  <c r="EP257" i="1"/>
  <c r="EO257" i="1"/>
  <c r="DD257" i="1"/>
  <c r="EM257" i="1" s="1"/>
  <c r="CK257" i="1"/>
  <c r="CJ257" i="1"/>
  <c r="EP256" i="1"/>
  <c r="EO256" i="1"/>
  <c r="DD256" i="1"/>
  <c r="EM256" i="1" s="1"/>
  <c r="CK256" i="1"/>
  <c r="CJ256" i="1"/>
  <c r="EP255" i="1"/>
  <c r="EO255" i="1"/>
  <c r="DD255" i="1"/>
  <c r="EM255" i="1" s="1"/>
  <c r="CG255" i="1"/>
  <c r="CK255" i="1" s="1"/>
  <c r="BS255" i="1"/>
  <c r="BI255" i="1"/>
  <c r="AN255" i="1"/>
  <c r="AM255" i="1"/>
  <c r="AL255" i="1"/>
  <c r="AK255" i="1"/>
  <c r="CL255" i="1" s="1"/>
  <c r="AJ255" i="1"/>
  <c r="AE255" i="1"/>
  <c r="Z255" i="1"/>
  <c r="EP254" i="1"/>
  <c r="EO254" i="1"/>
  <c r="DD254" i="1"/>
  <c r="EM254" i="1" s="1"/>
  <c r="CK254" i="1"/>
  <c r="CJ254" i="1"/>
  <c r="EP253" i="1"/>
  <c r="EO253" i="1"/>
  <c r="DD253" i="1"/>
  <c r="EM253" i="1" s="1"/>
  <c r="CK253" i="1"/>
  <c r="CJ253" i="1"/>
  <c r="EP252" i="1"/>
  <c r="EO252" i="1"/>
  <c r="DD252" i="1"/>
  <c r="EM252" i="1" s="1"/>
  <c r="CK252" i="1"/>
  <c r="CJ252" i="1"/>
  <c r="EP251" i="1"/>
  <c r="EO251" i="1"/>
  <c r="DD251" i="1"/>
  <c r="EM251" i="1" s="1"/>
  <c r="CK251" i="1"/>
  <c r="CJ251" i="1"/>
  <c r="EP250" i="1"/>
  <c r="EO250" i="1"/>
  <c r="DD250" i="1"/>
  <c r="EM250" i="1" s="1"/>
  <c r="CK250" i="1"/>
  <c r="CJ250" i="1"/>
  <c r="EP249" i="1"/>
  <c r="EO249" i="1"/>
  <c r="DD249" i="1"/>
  <c r="EM249" i="1" s="1"/>
  <c r="CK249" i="1"/>
  <c r="CJ249" i="1"/>
  <c r="EP248" i="1"/>
  <c r="EO248" i="1"/>
  <c r="DC248" i="1"/>
  <c r="DB248" i="1"/>
  <c r="CZ248" i="1"/>
  <c r="DD248" i="1" s="1"/>
  <c r="EM248" i="1" s="1"/>
  <c r="CK248" i="1"/>
  <c r="CJ248" i="1"/>
  <c r="EP247" i="1"/>
  <c r="EO247" i="1"/>
  <c r="DC247" i="1"/>
  <c r="DB247" i="1"/>
  <c r="DA247" i="1"/>
  <c r="CZ247" i="1"/>
  <c r="AK244" i="1" s="1"/>
  <c r="CL244" i="1" s="1"/>
  <c r="CK247" i="1"/>
  <c r="CJ247" i="1"/>
  <c r="EP246" i="1"/>
  <c r="EO246" i="1"/>
  <c r="DD246" i="1"/>
  <c r="EM246" i="1" s="1"/>
  <c r="CK246" i="1"/>
  <c r="CJ246" i="1"/>
  <c r="EP245" i="1"/>
  <c r="EO245" i="1"/>
  <c r="DD245" i="1"/>
  <c r="EM245" i="1" s="1"/>
  <c r="CK245" i="1"/>
  <c r="CJ245" i="1"/>
  <c r="EP244" i="1"/>
  <c r="EO244" i="1"/>
  <c r="DD244" i="1"/>
  <c r="EM244" i="1" s="1"/>
  <c r="CG244" i="1"/>
  <c r="CK244" i="1" s="1"/>
  <c r="BO244" i="1"/>
  <c r="BM244" i="1"/>
  <c r="BI244" i="1"/>
  <c r="AY244" i="1"/>
  <c r="AN244" i="1"/>
  <c r="AM244" i="1"/>
  <c r="AL244" i="1"/>
  <c r="AJ244" i="1"/>
  <c r="AE244" i="1"/>
  <c r="Z244" i="1"/>
  <c r="EP243" i="1"/>
  <c r="EO243" i="1"/>
  <c r="DD243" i="1"/>
  <c r="EM243" i="1" s="1"/>
  <c r="CK243" i="1"/>
  <c r="CJ243" i="1"/>
  <c r="EP242" i="1"/>
  <c r="EO242" i="1"/>
  <c r="CK242" i="1"/>
  <c r="CJ242" i="1"/>
  <c r="EP241" i="1"/>
  <c r="EO241" i="1"/>
  <c r="DD241" i="1"/>
  <c r="EM241" i="1" s="1"/>
  <c r="CK241" i="1"/>
  <c r="CJ241" i="1"/>
  <c r="EP240" i="1"/>
  <c r="EO240" i="1"/>
  <c r="DD240" i="1"/>
  <c r="EM240" i="1" s="1"/>
  <c r="CK240" i="1"/>
  <c r="CJ240" i="1"/>
  <c r="EP239" i="1"/>
  <c r="EO239" i="1"/>
  <c r="DD239" i="1"/>
  <c r="EM239" i="1" s="1"/>
  <c r="CK239" i="1"/>
  <c r="CJ239" i="1"/>
  <c r="EP238" i="1"/>
  <c r="EO238" i="1"/>
  <c r="DD238" i="1"/>
  <c r="EM238" i="1" s="1"/>
  <c r="CK238" i="1"/>
  <c r="CJ238" i="1"/>
  <c r="EP237" i="1"/>
  <c r="EO237" i="1"/>
  <c r="DD237" i="1"/>
  <c r="EM237" i="1" s="1"/>
  <c r="CK237" i="1"/>
  <c r="CJ237" i="1"/>
  <c r="EP236" i="1"/>
  <c r="EO236" i="1"/>
  <c r="DD236" i="1"/>
  <c r="EM236" i="1" s="1"/>
  <c r="CG236" i="1"/>
  <c r="CK236" i="1" s="1"/>
  <c r="BO236" i="1"/>
  <c r="BM236" i="1"/>
  <c r="BI236" i="1"/>
  <c r="AY236" i="1"/>
  <c r="AN236" i="1"/>
  <c r="AM236" i="1"/>
  <c r="AL236" i="1"/>
  <c r="AK236" i="1"/>
  <c r="CL236" i="1" s="1"/>
  <c r="AJ236" i="1"/>
  <c r="AE236" i="1"/>
  <c r="Z236" i="1"/>
  <c r="EP235" i="1"/>
  <c r="EO235" i="1"/>
  <c r="DD235" i="1"/>
  <c r="EM235" i="1" s="1"/>
  <c r="CK235" i="1"/>
  <c r="CJ235" i="1"/>
  <c r="EP234" i="1"/>
  <c r="EO234" i="1"/>
  <c r="DD234" i="1"/>
  <c r="EM234" i="1" s="1"/>
  <c r="CK234" i="1"/>
  <c r="CJ234" i="1"/>
  <c r="EP233" i="1"/>
  <c r="EO233" i="1"/>
  <c r="DD233" i="1"/>
  <c r="EM233" i="1" s="1"/>
  <c r="CK233" i="1"/>
  <c r="CJ233" i="1"/>
  <c r="EP232" i="1"/>
  <c r="EO232" i="1"/>
  <c r="CG232" i="1"/>
  <c r="CJ232" i="1" s="1"/>
  <c r="BO232" i="1"/>
  <c r="BM232" i="1"/>
  <c r="BK232" i="1"/>
  <c r="BG232" i="1"/>
  <c r="BE232" i="1"/>
  <c r="BC232" i="1"/>
  <c r="BA232" i="1"/>
  <c r="AY232" i="1"/>
  <c r="AW232" i="1"/>
  <c r="AU232" i="1"/>
  <c r="AS232" i="1"/>
  <c r="AQ232" i="1"/>
  <c r="EP231" i="1"/>
  <c r="EO231" i="1"/>
  <c r="DD231" i="1"/>
  <c r="EM231" i="1" s="1"/>
  <c r="CK231" i="1"/>
  <c r="CJ231" i="1"/>
  <c r="EP230" i="1"/>
  <c r="EO230" i="1"/>
  <c r="DD230" i="1"/>
  <c r="EM230" i="1" s="1"/>
  <c r="CK230" i="1"/>
  <c r="CJ230" i="1"/>
  <c r="EP229" i="1"/>
  <c r="EO229" i="1"/>
  <c r="DD229" i="1"/>
  <c r="EM229" i="1" s="1"/>
  <c r="CK229" i="1"/>
  <c r="CJ229" i="1"/>
  <c r="EP228" i="1"/>
  <c r="EO228" i="1"/>
  <c r="DD228" i="1"/>
  <c r="EM228" i="1" s="1"/>
  <c r="CK228" i="1"/>
  <c r="CJ228" i="1"/>
  <c r="EP227" i="1"/>
  <c r="EO227" i="1"/>
  <c r="DD227" i="1"/>
  <c r="EM227" i="1" s="1"/>
  <c r="CK227" i="1"/>
  <c r="CJ227" i="1"/>
  <c r="DD226" i="1"/>
  <c r="EM226" i="1" s="1"/>
  <c r="EP225" i="1"/>
  <c r="EO225" i="1"/>
  <c r="DD225" i="1"/>
  <c r="EM225" i="1" s="1"/>
  <c r="CG225" i="1"/>
  <c r="CJ225" i="1" s="1"/>
  <c r="BO225" i="1"/>
  <c r="BM225" i="1"/>
  <c r="BK225" i="1"/>
  <c r="BG225" i="1"/>
  <c r="BE225" i="1"/>
  <c r="BC225" i="1"/>
  <c r="BA225" i="1"/>
  <c r="AU225" i="1"/>
  <c r="AS225" i="1"/>
  <c r="AQ225" i="1"/>
  <c r="EP224" i="1"/>
  <c r="EO224" i="1"/>
  <c r="DD224" i="1"/>
  <c r="EM224" i="1" s="1"/>
  <c r="CK224" i="1"/>
  <c r="CJ224" i="1"/>
  <c r="EP223" i="1"/>
  <c r="EO223" i="1"/>
  <c r="CK223" i="1"/>
  <c r="CJ223" i="1"/>
  <c r="EP222" i="1"/>
  <c r="EO222" i="1"/>
  <c r="DD222" i="1"/>
  <c r="EM222" i="1" s="1"/>
  <c r="CG222" i="1"/>
  <c r="CJ222" i="1" s="1"/>
  <c r="BK222" i="1"/>
  <c r="BS222" i="1" s="1"/>
  <c r="AY222" i="1"/>
  <c r="AN222" i="1"/>
  <c r="AM222" i="1"/>
  <c r="AL222" i="1"/>
  <c r="AK222" i="1"/>
  <c r="CL222" i="1" s="1"/>
  <c r="AJ222" i="1"/>
  <c r="AE222" i="1"/>
  <c r="Z222" i="1"/>
  <c r="EP221" i="1"/>
  <c r="EO221" i="1"/>
  <c r="DD221" i="1"/>
  <c r="EM221" i="1" s="1"/>
  <c r="CK221" i="1"/>
  <c r="CJ221" i="1"/>
  <c r="EP220" i="1"/>
  <c r="EO220" i="1"/>
  <c r="DD220" i="1"/>
  <c r="EM220" i="1" s="1"/>
  <c r="CK220" i="1"/>
  <c r="CJ220" i="1"/>
  <c r="EP219" i="1"/>
  <c r="EO219" i="1"/>
  <c r="CK219" i="1"/>
  <c r="CJ219" i="1"/>
  <c r="EP218" i="1"/>
  <c r="EO218" i="1"/>
  <c r="DD218" i="1"/>
  <c r="EM218" i="1" s="1"/>
  <c r="CK218" i="1"/>
  <c r="CJ218" i="1"/>
  <c r="EP217" i="1"/>
  <c r="EO217" i="1"/>
  <c r="DD217" i="1"/>
  <c r="EM217" i="1" s="1"/>
  <c r="CK217" i="1"/>
  <c r="CJ217" i="1"/>
  <c r="EP216" i="1"/>
  <c r="EO216" i="1"/>
  <c r="DD216" i="1"/>
  <c r="EM216" i="1" s="1"/>
  <c r="CK216" i="1"/>
  <c r="CJ216" i="1"/>
  <c r="EP215" i="1"/>
  <c r="EO215" i="1"/>
  <c r="DD215" i="1"/>
  <c r="EM215" i="1" s="1"/>
  <c r="CK215" i="1"/>
  <c r="CJ215" i="1"/>
  <c r="EP214" i="1"/>
  <c r="EO214" i="1"/>
  <c r="DD214" i="1"/>
  <c r="EM214" i="1" s="1"/>
  <c r="CK214" i="1"/>
  <c r="CJ214" i="1"/>
  <c r="EP213" i="1"/>
  <c r="EO213" i="1"/>
  <c r="DD213" i="1"/>
  <c r="EM213" i="1" s="1"/>
  <c r="CK213" i="1"/>
  <c r="CJ213" i="1"/>
  <c r="EP212" i="1"/>
  <c r="EO212" i="1"/>
  <c r="CG212" i="1"/>
  <c r="CK212" i="1" s="1"/>
  <c r="BO212" i="1"/>
  <c r="BM212" i="1"/>
  <c r="BK212" i="1"/>
  <c r="BG212" i="1"/>
  <c r="BE212" i="1"/>
  <c r="BC212" i="1"/>
  <c r="BA212" i="1"/>
  <c r="AY212" i="1"/>
  <c r="AW212" i="1"/>
  <c r="AU212" i="1"/>
  <c r="AS212" i="1"/>
  <c r="AQ212" i="1"/>
  <c r="EP211" i="1"/>
  <c r="EO211" i="1"/>
  <c r="DD211" i="1"/>
  <c r="EM211" i="1" s="1"/>
  <c r="CK211" i="1"/>
  <c r="CJ211" i="1"/>
  <c r="AY211" i="1"/>
  <c r="AW211" i="1"/>
  <c r="AU211" i="1"/>
  <c r="AS211" i="1"/>
  <c r="AQ211" i="1"/>
  <c r="EP210" i="1"/>
  <c r="EO210" i="1"/>
  <c r="DD210" i="1"/>
  <c r="EM210" i="1" s="1"/>
  <c r="CK210" i="1"/>
  <c r="CJ210" i="1"/>
  <c r="EP209" i="1"/>
  <c r="EO209" i="1"/>
  <c r="DD209" i="1"/>
  <c r="EM209" i="1" s="1"/>
  <c r="CK209" i="1"/>
  <c r="CJ209" i="1"/>
  <c r="EP208" i="1"/>
  <c r="EO208" i="1"/>
  <c r="DD208" i="1"/>
  <c r="EM208" i="1" s="1"/>
  <c r="CG208" i="1"/>
  <c r="CK208" i="1" s="1"/>
  <c r="BO208" i="1"/>
  <c r="BM208" i="1"/>
  <c r="BK208" i="1"/>
  <c r="AY208" i="1"/>
  <c r="AN208" i="1"/>
  <c r="AM208" i="1"/>
  <c r="AL208" i="1"/>
  <c r="AK208" i="1"/>
  <c r="CL208" i="1" s="1"/>
  <c r="AJ208" i="1"/>
  <c r="Z208" i="1"/>
  <c r="EP207" i="1"/>
  <c r="EO207" i="1"/>
  <c r="DD207" i="1"/>
  <c r="EM207" i="1" s="1"/>
  <c r="CK207" i="1"/>
  <c r="CJ207" i="1"/>
  <c r="EP206" i="1"/>
  <c r="EO206" i="1"/>
  <c r="DD206" i="1"/>
  <c r="EM206" i="1" s="1"/>
  <c r="CK206" i="1"/>
  <c r="CJ206" i="1"/>
  <c r="EP205" i="1"/>
  <c r="EO205" i="1"/>
  <c r="DD205" i="1"/>
  <c r="EM205" i="1" s="1"/>
  <c r="CK205" i="1"/>
  <c r="CJ205" i="1"/>
  <c r="EP204" i="1"/>
  <c r="EO204" i="1"/>
  <c r="DD204" i="1"/>
  <c r="EM204" i="1" s="1"/>
  <c r="CK204" i="1"/>
  <c r="CJ204" i="1"/>
  <c r="EP203" i="1"/>
  <c r="EO203" i="1"/>
  <c r="DD203" i="1"/>
  <c r="EM203" i="1" s="1"/>
  <c r="CK203" i="1"/>
  <c r="CJ203" i="1"/>
  <c r="EP202" i="1"/>
  <c r="EO202" i="1"/>
  <c r="DD202" i="1"/>
  <c r="EM202" i="1" s="1"/>
  <c r="CK202" i="1"/>
  <c r="CJ202" i="1"/>
  <c r="EP201" i="1"/>
  <c r="EO201" i="1"/>
  <c r="DD201" i="1"/>
  <c r="EM201" i="1" s="1"/>
  <c r="CK201" i="1"/>
  <c r="CJ201" i="1"/>
  <c r="EP200" i="1"/>
  <c r="EO200" i="1"/>
  <c r="DD200" i="1"/>
  <c r="EM200" i="1" s="1"/>
  <c r="CK200" i="1"/>
  <c r="CJ200" i="1"/>
  <c r="EP199" i="1"/>
  <c r="EO199" i="1"/>
  <c r="DD199" i="1"/>
  <c r="EM199" i="1" s="1"/>
  <c r="CK199" i="1"/>
  <c r="CJ199" i="1"/>
  <c r="EP198" i="1"/>
  <c r="EO198" i="1"/>
  <c r="DD198" i="1"/>
  <c r="EM198" i="1" s="1"/>
  <c r="CK198" i="1"/>
  <c r="CJ198" i="1"/>
  <c r="EP197" i="1"/>
  <c r="EO197" i="1"/>
  <c r="DD197" i="1"/>
  <c r="EM197" i="1" s="1"/>
  <c r="CK197" i="1"/>
  <c r="CJ197" i="1"/>
  <c r="EP196" i="1"/>
  <c r="EO196" i="1"/>
  <c r="DD196" i="1"/>
  <c r="EM196" i="1" s="1"/>
  <c r="CG196" i="1"/>
  <c r="CK196" i="1" s="1"/>
  <c r="BO196" i="1"/>
  <c r="BS196" i="1" s="1"/>
  <c r="AY196" i="1"/>
  <c r="AN196" i="1"/>
  <c r="AM196" i="1"/>
  <c r="AL196" i="1"/>
  <c r="AK196" i="1"/>
  <c r="CL196" i="1" s="1"/>
  <c r="AJ196" i="1"/>
  <c r="AE196" i="1"/>
  <c r="Z196" i="1"/>
  <c r="EP195" i="1"/>
  <c r="EO195" i="1"/>
  <c r="DD195" i="1"/>
  <c r="EM195" i="1" s="1"/>
  <c r="CK195" i="1"/>
  <c r="CJ195" i="1"/>
  <c r="AY195" i="1"/>
  <c r="AP195" i="1"/>
  <c r="CN195" i="1" s="1"/>
  <c r="AN195" i="1"/>
  <c r="AM195" i="1"/>
  <c r="AL195" i="1"/>
  <c r="AK195" i="1"/>
  <c r="AI195" i="1"/>
  <c r="AH195" i="1"/>
  <c r="AG195" i="1"/>
  <c r="AF195" i="1"/>
  <c r="EP194" i="1"/>
  <c r="EO194" i="1"/>
  <c r="DD194" i="1"/>
  <c r="EM194" i="1" s="1"/>
  <c r="CK194" i="1"/>
  <c r="CJ194" i="1"/>
  <c r="EP193" i="1"/>
  <c r="EO193" i="1"/>
  <c r="CK193" i="1"/>
  <c r="CJ193" i="1"/>
  <c r="EP192" i="1"/>
  <c r="EO192" i="1"/>
  <c r="CK192" i="1"/>
  <c r="CJ192" i="1"/>
  <c r="EP191" i="1"/>
  <c r="EO191" i="1"/>
  <c r="DD191" i="1"/>
  <c r="EM191" i="1" s="1"/>
  <c r="CG191" i="1"/>
  <c r="CJ191" i="1" s="1"/>
  <c r="BO191" i="1"/>
  <c r="BM191" i="1"/>
  <c r="BK191" i="1"/>
  <c r="BG191" i="1"/>
  <c r="BE191" i="1"/>
  <c r="BC191" i="1"/>
  <c r="BA191" i="1"/>
  <c r="AY191" i="1"/>
  <c r="AW191" i="1"/>
  <c r="AU191" i="1"/>
  <c r="AS191" i="1"/>
  <c r="AQ191" i="1"/>
  <c r="Y191" i="1"/>
  <c r="X191" i="1"/>
  <c r="W191" i="1"/>
  <c r="EP190" i="1"/>
  <c r="EO190" i="1"/>
  <c r="DD190" i="1"/>
  <c r="EM190" i="1" s="1"/>
  <c r="CK190" i="1"/>
  <c r="CJ190" i="1"/>
  <c r="EP189" i="1"/>
  <c r="EO189" i="1"/>
  <c r="DD189" i="1"/>
  <c r="EM189" i="1" s="1"/>
  <c r="CK189" i="1"/>
  <c r="CJ189" i="1"/>
  <c r="EP188" i="1"/>
  <c r="EO188" i="1"/>
  <c r="DD188" i="1"/>
  <c r="EM188" i="1" s="1"/>
  <c r="CG188" i="1"/>
  <c r="CJ188" i="1" s="1"/>
  <c r="BO188" i="1"/>
  <c r="BS188" i="1" s="1"/>
  <c r="BM188" i="1"/>
  <c r="BK188" i="1"/>
  <c r="BG188" i="1"/>
  <c r="BE188" i="1"/>
  <c r="BC188" i="1"/>
  <c r="BA188" i="1"/>
  <c r="AY188" i="1"/>
  <c r="AW188" i="1"/>
  <c r="AU188" i="1"/>
  <c r="AS188" i="1"/>
  <c r="AQ188" i="1"/>
  <c r="EP187" i="1"/>
  <c r="EO187" i="1"/>
  <c r="DD187" i="1"/>
  <c r="EM187" i="1" s="1"/>
  <c r="CK187" i="1"/>
  <c r="CJ187" i="1"/>
  <c r="EP186" i="1"/>
  <c r="EO186" i="1"/>
  <c r="DD186" i="1"/>
  <c r="EM186" i="1" s="1"/>
  <c r="CK186" i="1"/>
  <c r="CJ186" i="1"/>
  <c r="EP185" i="1"/>
  <c r="EO185" i="1"/>
  <c r="DD185" i="1"/>
  <c r="EM185" i="1" s="1"/>
  <c r="CG185" i="1"/>
  <c r="CK185" i="1" s="1"/>
  <c r="BO185" i="1"/>
  <c r="BM185" i="1"/>
  <c r="BI185" i="1"/>
  <c r="AY185" i="1"/>
  <c r="AN185" i="1"/>
  <c r="AM185" i="1"/>
  <c r="AL185" i="1"/>
  <c r="AK185" i="1"/>
  <c r="CL185" i="1" s="1"/>
  <c r="AJ185" i="1"/>
  <c r="AE185" i="1"/>
  <c r="Z185" i="1"/>
  <c r="EP184" i="1"/>
  <c r="EO184" i="1"/>
  <c r="DD184" i="1"/>
  <c r="EM184" i="1" s="1"/>
  <c r="CK184" i="1"/>
  <c r="CJ184" i="1"/>
  <c r="EP183" i="1"/>
  <c r="EO183" i="1"/>
  <c r="DD183" i="1"/>
  <c r="EM183" i="1" s="1"/>
  <c r="CK183" i="1"/>
  <c r="CJ183" i="1"/>
  <c r="EP182" i="1"/>
  <c r="EO182" i="1"/>
  <c r="DD182" i="1"/>
  <c r="EM182" i="1" s="1"/>
  <c r="CG182" i="1"/>
  <c r="CK182" i="1" s="1"/>
  <c r="BO182" i="1"/>
  <c r="BK182" i="1"/>
  <c r="BI182" i="1"/>
  <c r="AY182" i="1"/>
  <c r="AN182" i="1"/>
  <c r="AM182" i="1"/>
  <c r="AL182" i="1"/>
  <c r="AK182" i="1"/>
  <c r="CL182" i="1" s="1"/>
  <c r="AJ182" i="1"/>
  <c r="AE182" i="1"/>
  <c r="Z182" i="1"/>
  <c r="BS185" i="1" l="1"/>
  <c r="CE185" i="1" s="1"/>
  <c r="BS182" i="1"/>
  <c r="CE182" i="1" s="1"/>
  <c r="AO185" i="1"/>
  <c r="BS208" i="1"/>
  <c r="CJ266" i="1"/>
  <c r="AO266" i="1"/>
  <c r="AO182" i="1"/>
  <c r="AO236" i="1"/>
  <c r="CK232" i="1"/>
  <c r="BS244" i="1"/>
  <c r="CK191" i="1"/>
  <c r="CK188" i="1"/>
  <c r="CK222" i="1"/>
  <c r="AO255" i="1"/>
  <c r="AO196" i="1"/>
  <c r="AO222" i="1"/>
  <c r="CJ255" i="1"/>
  <c r="BS236" i="1"/>
  <c r="AO208" i="1"/>
  <c r="AO244" i="1"/>
  <c r="CJ182" i="1"/>
  <c r="CJ185" i="1"/>
  <c r="CJ208" i="1"/>
  <c r="CK225" i="1"/>
  <c r="CJ244" i="1"/>
  <c r="CJ196" i="1"/>
  <c r="CJ212" i="1"/>
  <c r="DD247" i="1"/>
  <c r="EM247" i="1" s="1"/>
  <c r="CJ236" i="1"/>
  <c r="AP196" i="1" l="1"/>
  <c r="CN196" i="1" s="1"/>
  <c r="CM196" i="1"/>
  <c r="AP182" i="1"/>
  <c r="CN182" i="1" s="1"/>
  <c r="CM182" i="1"/>
  <c r="AP244" i="1"/>
  <c r="CN244" i="1" s="1"/>
  <c r="CM244" i="1"/>
  <c r="AP222" i="1"/>
  <c r="CN222" i="1" s="1"/>
  <c r="CM222" i="1"/>
  <c r="AP255" i="1"/>
  <c r="CN255" i="1" s="1"/>
  <c r="CM255" i="1"/>
  <c r="AP208" i="1"/>
  <c r="CN208" i="1" s="1"/>
  <c r="CM208" i="1"/>
  <c r="AP185" i="1"/>
  <c r="CN185" i="1" s="1"/>
  <c r="CM185" i="1"/>
  <c r="AP236" i="1"/>
  <c r="CN236" i="1" s="1"/>
  <c r="CM236" i="1"/>
  <c r="AP266" i="1"/>
  <c r="CN266" i="1" s="1"/>
  <c r="CM266" i="1"/>
  <c r="AO518" i="1"/>
  <c r="CM518" i="1" s="1"/>
  <c r="AJ518" i="1"/>
  <c r="AE509" i="1"/>
  <c r="Z509" i="1"/>
  <c r="AO509" i="1"/>
  <c r="CM509" i="1" s="1"/>
  <c r="CK324" i="1" l="1"/>
  <c r="CJ324" i="1"/>
  <c r="DD323" i="1"/>
  <c r="EM323" i="1" s="1"/>
  <c r="CK323" i="1"/>
  <c r="CJ323" i="1"/>
  <c r="DD322" i="1"/>
  <c r="EM322" i="1" s="1"/>
  <c r="CK322" i="1"/>
  <c r="CJ322" i="1"/>
  <c r="DD321" i="1"/>
  <c r="EM321" i="1" s="1"/>
  <c r="CG321" i="1"/>
  <c r="CK321" i="1" s="1"/>
  <c r="BO321" i="1"/>
  <c r="BM321" i="1"/>
  <c r="BI321" i="1"/>
  <c r="AJ321" i="1"/>
  <c r="AP321" i="1" s="1"/>
  <c r="AE321" i="1"/>
  <c r="Z321" i="1"/>
  <c r="CK320" i="1"/>
  <c r="CJ320" i="1"/>
  <c r="BI320" i="1"/>
  <c r="AP320" i="1"/>
  <c r="CN320" i="1" s="1"/>
  <c r="CK319" i="1"/>
  <c r="CJ319" i="1"/>
  <c r="BI319" i="1"/>
  <c r="AP319" i="1"/>
  <c r="CN319" i="1" s="1"/>
  <c r="DD318" i="1"/>
  <c r="EM318" i="1" s="1"/>
  <c r="CG318" i="1"/>
  <c r="CK318" i="1" s="1"/>
  <c r="BM318" i="1"/>
  <c r="BS318" i="1" s="1"/>
  <c r="AO318" i="1"/>
  <c r="DD317" i="1"/>
  <c r="EM317" i="1" s="1"/>
  <c r="CG317" i="1"/>
  <c r="CK317" i="1" s="1"/>
  <c r="BS317" i="1"/>
  <c r="BI317" i="1"/>
  <c r="AO317" i="1"/>
  <c r="CM317" i="1" s="1"/>
  <c r="AJ317" i="1"/>
  <c r="DD316" i="1"/>
  <c r="EM316" i="1" s="1"/>
  <c r="CK316" i="1"/>
  <c r="CJ316" i="1"/>
  <c r="CK315" i="1"/>
  <c r="CJ315" i="1"/>
  <c r="CK314" i="1"/>
  <c r="CJ314" i="1"/>
  <c r="DD313" i="1"/>
  <c r="EM313" i="1" s="1"/>
  <c r="CG313" i="1"/>
  <c r="CK313" i="1" s="1"/>
  <c r="BO313" i="1"/>
  <c r="BM313" i="1"/>
  <c r="BI313" i="1"/>
  <c r="CK312" i="1"/>
  <c r="CJ312" i="1"/>
  <c r="AY312" i="1"/>
  <c r="AP312" i="1"/>
  <c r="CN312" i="1" s="1"/>
  <c r="CK311" i="1"/>
  <c r="CJ311" i="1"/>
  <c r="AY311" i="1"/>
  <c r="AP311" i="1"/>
  <c r="CN311" i="1" s="1"/>
  <c r="CK310" i="1"/>
  <c r="CJ310" i="1"/>
  <c r="AY310" i="1"/>
  <c r="AP310" i="1"/>
  <c r="CN310" i="1" s="1"/>
  <c r="DD309" i="1"/>
  <c r="EM309" i="1" s="1"/>
  <c r="CK309" i="1"/>
  <c r="CJ309" i="1"/>
  <c r="CK308" i="1"/>
  <c r="CJ308" i="1"/>
  <c r="DD307" i="1"/>
  <c r="EM307" i="1" s="1"/>
  <c r="CK307" i="1"/>
  <c r="CJ307" i="1"/>
  <c r="CK306" i="1"/>
  <c r="CJ306" i="1"/>
  <c r="CK305" i="1"/>
  <c r="CJ305" i="1"/>
  <c r="CG304" i="1"/>
  <c r="CK304" i="1" s="1"/>
  <c r="BO304" i="1"/>
  <c r="CE304" i="1" s="1"/>
  <c r="CN304" i="1" s="1"/>
  <c r="BM304" i="1"/>
  <c r="BK304" i="1"/>
  <c r="CG302" i="1"/>
  <c r="CJ302" i="1" s="1"/>
  <c r="BO302" i="1"/>
  <c r="BM302" i="1"/>
  <c r="BK302" i="1"/>
  <c r="CK301" i="1"/>
  <c r="CJ301" i="1"/>
  <c r="CG300" i="1"/>
  <c r="CK300" i="1" s="1"/>
  <c r="BO300" i="1"/>
  <c r="BS300" i="1" s="1"/>
  <c r="CE300" i="1" s="1"/>
  <c r="CN300" i="1" s="1"/>
  <c r="BM300" i="1"/>
  <c r="BK300" i="1"/>
  <c r="DH299" i="1"/>
  <c r="CG295" i="1" s="1"/>
  <c r="CK299" i="1"/>
  <c r="CJ299" i="1"/>
  <c r="CK298" i="1"/>
  <c r="CJ298" i="1"/>
  <c r="CK297" i="1"/>
  <c r="CJ297" i="1"/>
  <c r="DD296" i="1"/>
  <c r="EM296" i="1" s="1"/>
  <c r="CK296" i="1"/>
  <c r="CJ296" i="1"/>
  <c r="BO295" i="1"/>
  <c r="BM295" i="1"/>
  <c r="BK295" i="1"/>
  <c r="CK294" i="1"/>
  <c r="CJ294" i="1"/>
  <c r="AY294" i="1"/>
  <c r="AP294" i="1"/>
  <c r="CN294" i="1" s="1"/>
  <c r="CK293" i="1"/>
  <c r="CJ293" i="1"/>
  <c r="AP293" i="1"/>
  <c r="CN293" i="1" s="1"/>
  <c r="CK292" i="1"/>
  <c r="CJ292" i="1"/>
  <c r="AY292" i="1"/>
  <c r="AP292" i="1"/>
  <c r="CN292" i="1" s="1"/>
  <c r="CK291" i="1"/>
  <c r="CJ291" i="1"/>
  <c r="CK290" i="1"/>
  <c r="CJ290" i="1"/>
  <c r="CG289" i="1"/>
  <c r="CJ289" i="1" s="1"/>
  <c r="BO289" i="1"/>
  <c r="BS289" i="1" s="1"/>
  <c r="CE289" i="1" s="1"/>
  <c r="CN289" i="1" s="1"/>
  <c r="BM289" i="1"/>
  <c r="BK289" i="1"/>
  <c r="CK288" i="1"/>
  <c r="CJ288" i="1"/>
  <c r="CK287" i="1"/>
  <c r="CJ287" i="1"/>
  <c r="CK286" i="1"/>
  <c r="CJ286" i="1"/>
  <c r="CK285" i="1"/>
  <c r="CJ285" i="1"/>
  <c r="DH284" i="1"/>
  <c r="CK284" i="1"/>
  <c r="CJ284" i="1"/>
  <c r="DH283" i="1"/>
  <c r="CG280" i="1" s="1"/>
  <c r="CK283" i="1"/>
  <c r="CJ283" i="1"/>
  <c r="DD282" i="1"/>
  <c r="EM282" i="1" s="1"/>
  <c r="CK282" i="1"/>
  <c r="CJ282" i="1"/>
  <c r="CK281" i="1"/>
  <c r="CJ281" i="1"/>
  <c r="BO280" i="1"/>
  <c r="BM280" i="1"/>
  <c r="BK280" i="1"/>
  <c r="BI280" i="1"/>
  <c r="AY280" i="1"/>
  <c r="AP318" i="1" l="1"/>
  <c r="CM318" i="1"/>
  <c r="BS280" i="1"/>
  <c r="CE280" i="1" s="1"/>
  <c r="CN280" i="1" s="1"/>
  <c r="BS295" i="1"/>
  <c r="CE295" i="1" s="1"/>
  <c r="CN295" i="1" s="1"/>
  <c r="BS321" i="1"/>
  <c r="CE321" i="1" s="1"/>
  <c r="CN321" i="1" s="1"/>
  <c r="CE317" i="1"/>
  <c r="CK302" i="1"/>
  <c r="CE318" i="1"/>
  <c r="CJ304" i="1"/>
  <c r="AP317" i="1"/>
  <c r="CK280" i="1"/>
  <c r="CJ280" i="1"/>
  <c r="CK295" i="1"/>
  <c r="CJ295" i="1"/>
  <c r="CJ300" i="1"/>
  <c r="BS313" i="1"/>
  <c r="CJ317" i="1"/>
  <c r="CK289" i="1"/>
  <c r="BS302" i="1"/>
  <c r="BS304" i="1"/>
  <c r="CJ321" i="1"/>
  <c r="CJ313" i="1"/>
  <c r="CJ318" i="1"/>
  <c r="CN318" i="1" l="1"/>
  <c r="CN317" i="1"/>
  <c r="CE313" i="1"/>
  <c r="CN313" i="1" s="1"/>
  <c r="CE302" i="1"/>
  <c r="CN302" i="1" s="1"/>
  <c r="EP164" i="1" l="1"/>
  <c r="EO164" i="1"/>
  <c r="CK164" i="1"/>
  <c r="CJ164" i="1"/>
  <c r="EP163" i="1"/>
  <c r="EO163" i="1"/>
  <c r="CK163" i="1"/>
  <c r="CJ163" i="1"/>
  <c r="EP162" i="1"/>
  <c r="EO162" i="1"/>
  <c r="CK162" i="1"/>
  <c r="CJ162" i="1"/>
  <c r="EP161" i="1"/>
  <c r="EO161" i="1"/>
  <c r="CK161" i="1"/>
  <c r="CJ161" i="1"/>
  <c r="BS161" i="1"/>
  <c r="BO161" i="1"/>
  <c r="BM161" i="1"/>
  <c r="BK161" i="1"/>
  <c r="BI161" i="1"/>
  <c r="BG161" i="1"/>
  <c r="BE161" i="1"/>
  <c r="BC161" i="1"/>
  <c r="BA161" i="1"/>
  <c r="EP160" i="1"/>
  <c r="EO160" i="1"/>
  <c r="CK160" i="1"/>
  <c r="CJ160" i="1"/>
  <c r="EP159" i="1"/>
  <c r="EO159" i="1"/>
  <c r="CK159" i="1"/>
  <c r="CJ159" i="1"/>
  <c r="EP158" i="1"/>
  <c r="EO158" i="1"/>
  <c r="DH158" i="1"/>
  <c r="CG157" i="1" s="1"/>
  <c r="CJ157" i="1" s="1"/>
  <c r="CK158" i="1"/>
  <c r="CJ158" i="1"/>
  <c r="EP157" i="1"/>
  <c r="EO157" i="1"/>
  <c r="BS157" i="1"/>
  <c r="BO157" i="1"/>
  <c r="BM157" i="1"/>
  <c r="BK157" i="1"/>
  <c r="BG157" i="1"/>
  <c r="BE157" i="1"/>
  <c r="BI157" i="1" s="1"/>
  <c r="BC157" i="1"/>
  <c r="BA157" i="1"/>
  <c r="EP156" i="1"/>
  <c r="EO156" i="1"/>
  <c r="DD156" i="1"/>
  <c r="EM156" i="1" s="1"/>
  <c r="CK156" i="1"/>
  <c r="CJ156" i="1"/>
  <c r="BG156" i="1"/>
  <c r="EP155" i="1"/>
  <c r="EO155" i="1"/>
  <c r="DD155" i="1"/>
  <c r="EM155" i="1" s="1"/>
  <c r="CK155" i="1"/>
  <c r="CJ155" i="1"/>
  <c r="BG155" i="1"/>
  <c r="EP154" i="1"/>
  <c r="EO154" i="1"/>
  <c r="DD154" i="1"/>
  <c r="EM154" i="1" s="1"/>
  <c r="CK154" i="1"/>
  <c r="CJ154" i="1"/>
  <c r="BG154" i="1"/>
  <c r="EP153" i="1"/>
  <c r="EO153" i="1"/>
  <c r="DD153" i="1"/>
  <c r="EM153" i="1" s="1"/>
  <c r="CK153" i="1"/>
  <c r="CJ153" i="1"/>
  <c r="BG153" i="1"/>
  <c r="EP152" i="1"/>
  <c r="EO152" i="1"/>
  <c r="CK152" i="1"/>
  <c r="CJ152" i="1"/>
  <c r="EP151" i="1"/>
  <c r="EO151" i="1"/>
  <c r="DD151" i="1"/>
  <c r="EM151" i="1" s="1"/>
  <c r="CK151" i="1"/>
  <c r="CJ151" i="1"/>
  <c r="EP150" i="1"/>
  <c r="EO150" i="1"/>
  <c r="DD150" i="1"/>
  <c r="EM150" i="1" s="1"/>
  <c r="CK150" i="1"/>
  <c r="CJ150" i="1"/>
  <c r="EP149" i="1"/>
  <c r="EO149" i="1"/>
  <c r="DD149" i="1"/>
  <c r="EM149" i="1" s="1"/>
  <c r="CG149" i="1"/>
  <c r="BS149" i="1"/>
  <c r="BO149" i="1"/>
  <c r="BM149" i="1"/>
  <c r="BK149" i="1"/>
  <c r="BG149" i="1"/>
  <c r="BE149" i="1"/>
  <c r="BC149" i="1"/>
  <c r="BA149" i="1"/>
  <c r="AO149" i="1"/>
  <c r="CM149" i="1" s="1"/>
  <c r="CJ149" i="1" l="1"/>
  <c r="CK149" i="1"/>
  <c r="CK157" i="1"/>
  <c r="CK47" i="1" l="1"/>
  <c r="CJ47" i="1"/>
  <c r="DD46" i="1"/>
  <c r="EM46" i="1" s="1"/>
  <c r="CK46" i="1"/>
  <c r="CJ46" i="1"/>
  <c r="CK45" i="1"/>
  <c r="CJ45" i="1"/>
  <c r="DD44" i="1"/>
  <c r="EM44" i="1" s="1"/>
  <c r="CK44" i="1"/>
  <c r="CJ44" i="1"/>
  <c r="CK43" i="1"/>
  <c r="CJ43" i="1"/>
  <c r="EP42" i="1"/>
  <c r="EO42" i="1"/>
  <c r="DH42" i="1"/>
  <c r="CK42" i="1"/>
  <c r="CJ42" i="1"/>
  <c r="EP41" i="1"/>
  <c r="EO41" i="1"/>
  <c r="DH41" i="1"/>
  <c r="CK41" i="1"/>
  <c r="CJ41" i="1"/>
  <c r="EP40" i="1"/>
  <c r="EO40" i="1"/>
  <c r="DH40" i="1"/>
  <c r="CK40" i="1"/>
  <c r="CJ40" i="1"/>
  <c r="EP39" i="1"/>
  <c r="EO39" i="1"/>
  <c r="CK39" i="1"/>
  <c r="CJ39" i="1"/>
  <c r="EP38" i="1"/>
  <c r="EO38" i="1"/>
  <c r="DH38" i="1"/>
  <c r="BO38" i="1"/>
  <c r="BM38" i="1"/>
  <c r="BK38" i="1"/>
  <c r="BI38" i="1"/>
  <c r="BG38" i="1"/>
  <c r="BE38" i="1"/>
  <c r="BC38" i="1"/>
  <c r="BA38" i="1"/>
  <c r="EP37" i="1"/>
  <c r="EO37" i="1"/>
  <c r="CK37" i="1"/>
  <c r="CJ37" i="1"/>
  <c r="CK36" i="1"/>
  <c r="CJ36" i="1"/>
  <c r="EP35" i="1"/>
  <c r="EO35" i="1"/>
  <c r="DD35" i="1"/>
  <c r="EM35" i="1" s="1"/>
  <c r="CK35" i="1"/>
  <c r="CJ35" i="1"/>
  <c r="EP34" i="1"/>
  <c r="EO34" i="1"/>
  <c r="DD34" i="1"/>
  <c r="EM34" i="1" s="1"/>
  <c r="CG34" i="1"/>
  <c r="CK34" i="1" s="1"/>
  <c r="BO34" i="1"/>
  <c r="BM34" i="1"/>
  <c r="BK34" i="1"/>
  <c r="BI34" i="1"/>
  <c r="BG34" i="1"/>
  <c r="BE34" i="1"/>
  <c r="BC34" i="1"/>
  <c r="BA34" i="1"/>
  <c r="AY34" i="1"/>
  <c r="AW34" i="1"/>
  <c r="AU34" i="1"/>
  <c r="AS34" i="1"/>
  <c r="AQ34" i="1"/>
  <c r="DD33" i="1"/>
  <c r="EM33" i="1" s="1"/>
  <c r="CK33" i="1"/>
  <c r="CJ33" i="1"/>
  <c r="EP32" i="1"/>
  <c r="EO32" i="1"/>
  <c r="DD32" i="1"/>
  <c r="EM32" i="1" s="1"/>
  <c r="CK32" i="1"/>
  <c r="CJ32" i="1"/>
  <c r="EP31" i="1"/>
  <c r="EO31" i="1"/>
  <c r="DC31" i="1"/>
  <c r="DB31" i="1"/>
  <c r="DA31" i="1"/>
  <c r="CZ31" i="1"/>
  <c r="CK31" i="1"/>
  <c r="CJ31" i="1"/>
  <c r="EP30" i="1"/>
  <c r="EO30" i="1"/>
  <c r="CK30" i="1"/>
  <c r="CJ30" i="1"/>
  <c r="EP29" i="1"/>
  <c r="EO29" i="1"/>
  <c r="CK29" i="1"/>
  <c r="CJ29" i="1"/>
  <c r="EP28" i="1"/>
  <c r="EO28" i="1"/>
  <c r="CG28" i="1"/>
  <c r="CK28" i="1" s="1"/>
  <c r="BO28" i="1"/>
  <c r="BM28" i="1"/>
  <c r="BK28" i="1"/>
  <c r="BI28" i="1"/>
  <c r="BG28" i="1"/>
  <c r="BE28" i="1"/>
  <c r="BC28" i="1"/>
  <c r="BA28" i="1"/>
  <c r="AY28" i="1"/>
  <c r="AW28" i="1"/>
  <c r="AU28" i="1"/>
  <c r="AS28" i="1"/>
  <c r="AQ28" i="1"/>
  <c r="CK27" i="1"/>
  <c r="CJ27" i="1"/>
  <c r="DD26" i="1"/>
  <c r="EM26" i="1" s="1"/>
  <c r="CK26" i="1"/>
  <c r="CJ26" i="1"/>
  <c r="CK25" i="1"/>
  <c r="CJ25" i="1"/>
  <c r="EP24" i="1"/>
  <c r="EO24" i="1"/>
  <c r="CK24" i="1"/>
  <c r="CJ24" i="1"/>
  <c r="EP23" i="1"/>
  <c r="EO23" i="1"/>
  <c r="CG23" i="1"/>
  <c r="BO23" i="1"/>
  <c r="BS23" i="1" s="1"/>
  <c r="CE23" i="1" s="1"/>
  <c r="CN23" i="1" s="1"/>
  <c r="BM23" i="1"/>
  <c r="BK23" i="1"/>
  <c r="BI23" i="1"/>
  <c r="BG23" i="1"/>
  <c r="AY23" i="1"/>
  <c r="AW23" i="1"/>
  <c r="CK23" i="1" l="1"/>
  <c r="CG38" i="1"/>
  <c r="CK38" i="1" s="1"/>
  <c r="DD31" i="1"/>
  <c r="EM31" i="1" s="1"/>
  <c r="BS28" i="1"/>
  <c r="CJ28" i="1"/>
  <c r="CJ34" i="1"/>
  <c r="BS38" i="1"/>
  <c r="CJ23" i="1"/>
  <c r="BS34" i="1"/>
  <c r="CJ38" i="1" l="1"/>
  <c r="CE28" i="1"/>
  <c r="CN28" i="1" s="1"/>
  <c r="CE34" i="1"/>
  <c r="CN34" i="1" s="1"/>
  <c r="CE38" i="1"/>
  <c r="CN38" i="1" s="1"/>
  <c r="EP102" i="1" l="1"/>
  <c r="EO102" i="1"/>
  <c r="CK102" i="1"/>
  <c r="CJ102" i="1"/>
  <c r="BI102" i="1"/>
  <c r="AO102" i="1"/>
  <c r="CM102" i="1" s="1"/>
  <c r="AJ102" i="1"/>
  <c r="AE102" i="1"/>
  <c r="EP101" i="1"/>
  <c r="EO101" i="1"/>
  <c r="CK101" i="1"/>
  <c r="CJ101" i="1"/>
  <c r="EP100" i="1"/>
  <c r="EO100" i="1"/>
  <c r="CK100" i="1"/>
  <c r="CJ100" i="1"/>
  <c r="EP99" i="1"/>
  <c r="EO99" i="1"/>
  <c r="CK99" i="1"/>
  <c r="CJ99" i="1"/>
  <c r="EP98" i="1"/>
  <c r="EO98" i="1"/>
  <c r="CG98" i="1"/>
  <c r="CJ98" i="1" s="1"/>
  <c r="BM98" i="1"/>
  <c r="BI98" i="1"/>
  <c r="AP98" i="1"/>
  <c r="CN98" i="1" s="1"/>
  <c r="EP97" i="1"/>
  <c r="EO97" i="1"/>
  <c r="CG97" i="1"/>
  <c r="BI97" i="1"/>
  <c r="AJ97" i="1"/>
  <c r="AE97" i="1"/>
  <c r="EP96" i="1"/>
  <c r="EO96" i="1"/>
  <c r="CK96" i="1"/>
  <c r="CJ96" i="1"/>
  <c r="BI96" i="1"/>
  <c r="AE96" i="1"/>
  <c r="EP95" i="1"/>
  <c r="EO95" i="1"/>
  <c r="CK95" i="1"/>
  <c r="CJ95" i="1"/>
  <c r="CK97" i="1" l="1"/>
  <c r="AP97" i="1"/>
  <c r="CN97" i="1" s="1"/>
  <c r="AP102" i="1"/>
  <c r="CN102" i="1" s="1"/>
  <c r="CK98" i="1"/>
  <c r="CJ97" i="1"/>
  <c r="EP337" i="1" l="1"/>
  <c r="EO337" i="1"/>
  <c r="DD337" i="1"/>
  <c r="EM337" i="1" s="1"/>
  <c r="CK337" i="1"/>
  <c r="CJ337" i="1"/>
  <c r="AO337" i="1"/>
  <c r="AD337" i="1"/>
  <c r="AC337" i="1"/>
  <c r="AB337" i="1"/>
  <c r="AA337" i="1"/>
  <c r="EP336" i="1"/>
  <c r="EO336" i="1"/>
  <c r="DD336" i="1"/>
  <c r="EM336" i="1" s="1"/>
  <c r="CK336" i="1"/>
  <c r="CJ336" i="1"/>
  <c r="AO336" i="1"/>
  <c r="AD336" i="1"/>
  <c r="AC336" i="1"/>
  <c r="AB336" i="1"/>
  <c r="AA336" i="1"/>
  <c r="EP335" i="1"/>
  <c r="EO335" i="1"/>
  <c r="DD335" i="1"/>
  <c r="EM335" i="1" s="1"/>
  <c r="CK335" i="1"/>
  <c r="CJ335" i="1"/>
  <c r="AO335" i="1"/>
  <c r="AD335" i="1"/>
  <c r="AC335" i="1"/>
  <c r="AB335" i="1"/>
  <c r="AA335" i="1"/>
  <c r="EP334" i="1"/>
  <c r="EO334" i="1"/>
  <c r="DD334" i="1"/>
  <c r="EM334" i="1" s="1"/>
  <c r="CK334" i="1"/>
  <c r="CJ334" i="1"/>
  <c r="AO334" i="1"/>
  <c r="AD334" i="1"/>
  <c r="AC334" i="1"/>
  <c r="AB334" i="1"/>
  <c r="AA334" i="1"/>
  <c r="EP333" i="1"/>
  <c r="EO333" i="1"/>
  <c r="DD333" i="1"/>
  <c r="EM333" i="1" s="1"/>
  <c r="CG333" i="1"/>
  <c r="BM333" i="1"/>
  <c r="BK333" i="1"/>
  <c r="BI333" i="1"/>
  <c r="AO333" i="1"/>
  <c r="CM333" i="1" s="1"/>
  <c r="AI333" i="1"/>
  <c r="AH333" i="1"/>
  <c r="AG333" i="1"/>
  <c r="AF333" i="1"/>
  <c r="AD333" i="1"/>
  <c r="AC333" i="1"/>
  <c r="AB333" i="1"/>
  <c r="AA333" i="1"/>
  <c r="CK333" i="1" l="1"/>
  <c r="CJ333" i="1"/>
  <c r="EP544" i="1" l="1"/>
  <c r="EO544" i="1"/>
  <c r="CG544" i="1"/>
  <c r="CJ544" i="1" s="1"/>
  <c r="BM544" i="1"/>
  <c r="BE544" i="1"/>
  <c r="EP543" i="1"/>
  <c r="EO543" i="1"/>
  <c r="CK543" i="1"/>
  <c r="CJ543" i="1"/>
  <c r="EP542" i="1"/>
  <c r="EO542" i="1"/>
  <c r="CG542" i="1"/>
  <c r="CK542" i="1" s="1"/>
  <c r="EP541" i="1"/>
  <c r="EO541" i="1"/>
  <c r="DH541" i="1"/>
  <c r="CG538" i="1" s="1"/>
  <c r="CK538" i="1" s="1"/>
  <c r="CK541" i="1"/>
  <c r="CJ541" i="1"/>
  <c r="EP540" i="1"/>
  <c r="EO540" i="1"/>
  <c r="CK540" i="1"/>
  <c r="CJ540" i="1"/>
  <c r="EP539" i="1"/>
  <c r="EO539" i="1"/>
  <c r="CK539" i="1"/>
  <c r="CJ539" i="1"/>
  <c r="EP538" i="1"/>
  <c r="EO538" i="1"/>
  <c r="BM538" i="1"/>
  <c r="BE538" i="1"/>
  <c r="BA538" i="1"/>
  <c r="EP537" i="1"/>
  <c r="EO537" i="1"/>
  <c r="CG537" i="1"/>
  <c r="CJ537" i="1" s="1"/>
  <c r="BM537" i="1"/>
  <c r="BI537" i="1"/>
  <c r="BE537" i="1"/>
  <c r="BC537" i="1"/>
  <c r="BA537" i="1"/>
  <c r="EP536" i="1"/>
  <c r="EO536" i="1"/>
  <c r="CK536" i="1"/>
  <c r="CJ536" i="1"/>
  <c r="EP535" i="1"/>
  <c r="EO535" i="1"/>
  <c r="CG535" i="1"/>
  <c r="CJ535" i="1" s="1"/>
  <c r="EP534" i="1"/>
  <c r="EO534" i="1"/>
  <c r="CK534" i="1"/>
  <c r="CJ534" i="1"/>
  <c r="EP533" i="1"/>
  <c r="EO533" i="1"/>
  <c r="CG533" i="1"/>
  <c r="CK533" i="1" s="1"/>
  <c r="BE533" i="1"/>
  <c r="EP532" i="1"/>
  <c r="EO532" i="1"/>
  <c r="CG532" i="1"/>
  <c r="CK532" i="1" s="1"/>
  <c r="BM532" i="1"/>
  <c r="BE532" i="1"/>
  <c r="BA532" i="1"/>
  <c r="EP531" i="1"/>
  <c r="EO531" i="1"/>
  <c r="CK531" i="1"/>
  <c r="CJ531" i="1"/>
  <c r="EP530" i="1"/>
  <c r="EO530" i="1"/>
  <c r="CK530" i="1"/>
  <c r="CJ530" i="1"/>
  <c r="EP529" i="1"/>
  <c r="EO529" i="1"/>
  <c r="CK529" i="1"/>
  <c r="CJ529" i="1"/>
  <c r="EP528" i="1"/>
  <c r="EO528" i="1"/>
  <c r="CK528" i="1"/>
  <c r="CJ528" i="1"/>
  <c r="EP527" i="1"/>
  <c r="EO527" i="1"/>
  <c r="CK527" i="1"/>
  <c r="CJ527" i="1"/>
  <c r="EP526" i="1"/>
  <c r="EO526" i="1"/>
  <c r="CG526" i="1"/>
  <c r="CJ526" i="1" s="1"/>
  <c r="EP525" i="1"/>
  <c r="EO525" i="1"/>
  <c r="CK525" i="1"/>
  <c r="CJ525" i="1"/>
  <c r="EP524" i="1"/>
  <c r="EO524" i="1"/>
  <c r="CK524" i="1"/>
  <c r="CJ524" i="1"/>
  <c r="EP523" i="1"/>
  <c r="EO523" i="1"/>
  <c r="CG523" i="1"/>
  <c r="CK523" i="1" s="1"/>
  <c r="EP522" i="1"/>
  <c r="EO522" i="1"/>
  <c r="CK522" i="1"/>
  <c r="CJ522" i="1"/>
  <c r="EP521" i="1"/>
  <c r="EO521" i="1"/>
  <c r="CG521" i="1"/>
  <c r="CK521" i="1" s="1"/>
  <c r="BE521" i="1"/>
  <c r="BA521" i="1"/>
  <c r="EP520" i="1"/>
  <c r="EO520" i="1"/>
  <c r="CK520" i="1"/>
  <c r="CJ520" i="1"/>
  <c r="EP519" i="1"/>
  <c r="EO519" i="1"/>
  <c r="CG519" i="1"/>
  <c r="CK519" i="1" s="1"/>
  <c r="BM519" i="1"/>
  <c r="BE519" i="1"/>
  <c r="BA519" i="1"/>
  <c r="EP518" i="1"/>
  <c r="EO518" i="1"/>
  <c r="CG518" i="1"/>
  <c r="CK518" i="1" s="1"/>
  <c r="BI518" i="1"/>
  <c r="AP518" i="1"/>
  <c r="CN518" i="1" s="1"/>
  <c r="EP517" i="1"/>
  <c r="EO517" i="1"/>
  <c r="CK517" i="1"/>
  <c r="CJ517" i="1"/>
  <c r="EP516" i="1"/>
  <c r="EO516" i="1"/>
  <c r="CK516" i="1"/>
  <c r="CJ516" i="1"/>
  <c r="EP515" i="1"/>
  <c r="EO515" i="1"/>
  <c r="CK515" i="1"/>
  <c r="CJ515" i="1"/>
  <c r="EP514" i="1"/>
  <c r="EO514" i="1"/>
  <c r="CK514" i="1"/>
  <c r="CJ514" i="1"/>
  <c r="EP513" i="1"/>
  <c r="EO513" i="1"/>
  <c r="CK513" i="1"/>
  <c r="CJ513" i="1"/>
  <c r="EP512" i="1"/>
  <c r="EO512" i="1"/>
  <c r="CK512" i="1"/>
  <c r="CJ512" i="1"/>
  <c r="EP511" i="1"/>
  <c r="EO511" i="1"/>
  <c r="CK511" i="1"/>
  <c r="CJ511" i="1"/>
  <c r="EP510" i="1"/>
  <c r="EO510" i="1"/>
  <c r="CK510" i="1"/>
  <c r="CJ510" i="1"/>
  <c r="EP509" i="1"/>
  <c r="EO509" i="1"/>
  <c r="CG509" i="1"/>
  <c r="BE509" i="1"/>
  <c r="BI509" i="1" s="1"/>
  <c r="AP509" i="1"/>
  <c r="CN509" i="1" s="1"/>
  <c r="CJ509" i="1" l="1"/>
  <c r="CJ518" i="1"/>
  <c r="CJ538" i="1"/>
  <c r="CJ519" i="1"/>
  <c r="CK526" i="1"/>
  <c r="CJ523" i="1"/>
  <c r="CJ521" i="1"/>
  <c r="CJ533" i="1"/>
  <c r="CK535" i="1"/>
  <c r="CK537" i="1"/>
  <c r="CK544" i="1"/>
  <c r="CJ532" i="1"/>
  <c r="CJ542" i="1"/>
  <c r="CK509" i="1"/>
  <c r="EP74" i="1"/>
  <c r="EO74" i="1"/>
  <c r="CK74" i="1"/>
  <c r="CJ74" i="1"/>
  <c r="EP73" i="1"/>
  <c r="EO73" i="1"/>
  <c r="CG73" i="1"/>
  <c r="CK73" i="1" s="1"/>
  <c r="BS73" i="1"/>
  <c r="BO73" i="1"/>
  <c r="BM73" i="1"/>
  <c r="BK73" i="1"/>
  <c r="BI73" i="1"/>
  <c r="BG73" i="1"/>
  <c r="BC73" i="1"/>
  <c r="BA73" i="1"/>
  <c r="AY73" i="1"/>
  <c r="AW73" i="1"/>
  <c r="AU73" i="1"/>
  <c r="AS73" i="1"/>
  <c r="AQ73" i="1"/>
  <c r="EP72" i="1"/>
  <c r="EO72" i="1"/>
  <c r="DD72" i="1"/>
  <c r="EM72" i="1" s="1"/>
  <c r="CK72" i="1"/>
  <c r="CJ72" i="1"/>
  <c r="EP71" i="1"/>
  <c r="EO71" i="1"/>
  <c r="CK71" i="1"/>
  <c r="CJ71" i="1"/>
  <c r="EP70" i="1"/>
  <c r="EO70" i="1"/>
  <c r="DD70" i="1"/>
  <c r="EM70" i="1" s="1"/>
  <c r="CK70" i="1"/>
  <c r="CJ70" i="1"/>
  <c r="EP69" i="1"/>
  <c r="EO69" i="1"/>
  <c r="CG69" i="1"/>
  <c r="CK69" i="1" s="1"/>
  <c r="BS69" i="1"/>
  <c r="BO69" i="1"/>
  <c r="BM69" i="1"/>
  <c r="BK69" i="1"/>
  <c r="BI69" i="1"/>
  <c r="BG69" i="1"/>
  <c r="BE69" i="1"/>
  <c r="BC69" i="1"/>
  <c r="BA69" i="1"/>
  <c r="AY69" i="1"/>
  <c r="AW69" i="1"/>
  <c r="AU69" i="1"/>
  <c r="AS69" i="1"/>
  <c r="AQ69" i="1"/>
  <c r="EP68" i="1"/>
  <c r="EO68" i="1"/>
  <c r="CG68" i="1"/>
  <c r="CJ68" i="1" s="1"/>
  <c r="BS68" i="1"/>
  <c r="BO68" i="1"/>
  <c r="BM68" i="1"/>
  <c r="BK68" i="1"/>
  <c r="BI68" i="1"/>
  <c r="BG68" i="1"/>
  <c r="BC68" i="1"/>
  <c r="BA68" i="1"/>
  <c r="AY68" i="1"/>
  <c r="AW68" i="1"/>
  <c r="AS68" i="1"/>
  <c r="Z68" i="1"/>
  <c r="Y68" i="1"/>
  <c r="X68" i="1"/>
  <c r="W68" i="1"/>
  <c r="EP67" i="1"/>
  <c r="EO67" i="1"/>
  <c r="CK67" i="1"/>
  <c r="CJ67" i="1"/>
  <c r="AJ67" i="1"/>
  <c r="AI67" i="1"/>
  <c r="AH67" i="1"/>
  <c r="AG67" i="1"/>
  <c r="AF67" i="1"/>
  <c r="AE67" i="1"/>
  <c r="AD67" i="1"/>
  <c r="AC67" i="1"/>
  <c r="AB67" i="1"/>
  <c r="AA67" i="1"/>
  <c r="Z67" i="1"/>
  <c r="Y67" i="1"/>
  <c r="X67" i="1"/>
  <c r="W67" i="1"/>
  <c r="V67" i="1"/>
  <c r="EP66" i="1"/>
  <c r="EO66" i="1"/>
  <c r="CG66" i="1"/>
  <c r="CJ66" i="1" s="1"/>
  <c r="BS66" i="1"/>
  <c r="BO66" i="1"/>
  <c r="BM66" i="1"/>
  <c r="BK66" i="1"/>
  <c r="BI66" i="1"/>
  <c r="BG66" i="1"/>
  <c r="BE66" i="1"/>
  <c r="BC66" i="1"/>
  <c r="BA66" i="1"/>
  <c r="AY66" i="1"/>
  <c r="AW66" i="1"/>
  <c r="AU66" i="1"/>
  <c r="AS66" i="1"/>
  <c r="AQ66" i="1"/>
  <c r="AP66" i="1"/>
  <c r="AJ66" i="1"/>
  <c r="AI66" i="1"/>
  <c r="AH66" i="1"/>
  <c r="AG66" i="1"/>
  <c r="AF66" i="1"/>
  <c r="AE66" i="1"/>
  <c r="AD66" i="1"/>
  <c r="AC66" i="1"/>
  <c r="AB66" i="1"/>
  <c r="AA66" i="1"/>
  <c r="Z66" i="1"/>
  <c r="Y66" i="1"/>
  <c r="X66" i="1"/>
  <c r="W66" i="1"/>
  <c r="V66" i="1"/>
  <c r="EP65" i="1"/>
  <c r="EO65" i="1"/>
  <c r="DD65" i="1"/>
  <c r="EM65" i="1" s="1"/>
  <c r="CG65" i="1"/>
  <c r="BI65" i="1"/>
  <c r="BG65" i="1"/>
  <c r="BC65" i="1"/>
  <c r="BA65" i="1"/>
  <c r="CK65" i="1" l="1"/>
  <c r="CJ65" i="1"/>
  <c r="CK66" i="1"/>
  <c r="CK68" i="1"/>
  <c r="CJ73" i="1"/>
  <c r="CJ69" i="1"/>
  <c r="CK64" i="1" l="1"/>
  <c r="CJ64" i="1"/>
  <c r="EP63" i="1"/>
  <c r="EO63" i="1"/>
  <c r="CK63" i="1"/>
  <c r="CJ63" i="1"/>
  <c r="EP62" i="1"/>
  <c r="EO62" i="1"/>
  <c r="CK62" i="1"/>
  <c r="CJ62" i="1"/>
  <c r="EP61" i="1"/>
  <c r="EO61" i="1"/>
  <c r="CK61" i="1"/>
  <c r="CJ61" i="1"/>
  <c r="EP60" i="1"/>
  <c r="EO60" i="1"/>
  <c r="CG60" i="1"/>
  <c r="CJ60" i="1" s="1"/>
  <c r="BO60" i="1"/>
  <c r="BM60" i="1"/>
  <c r="BK60" i="1"/>
  <c r="AY60" i="1"/>
  <c r="AW60" i="1"/>
  <c r="AU60" i="1"/>
  <c r="AS60" i="1"/>
  <c r="AQ60" i="1"/>
  <c r="EP59" i="1"/>
  <c r="EO59" i="1"/>
  <c r="CK59" i="1"/>
  <c r="CJ59" i="1"/>
  <c r="EP58" i="1"/>
  <c r="EO58" i="1"/>
  <c r="CK58" i="1"/>
  <c r="CJ58" i="1"/>
  <c r="EP57" i="1"/>
  <c r="EO57" i="1"/>
  <c r="CG57" i="1"/>
  <c r="CJ57" i="1" s="1"/>
  <c r="BO57" i="1"/>
  <c r="BM57" i="1"/>
  <c r="BK57" i="1"/>
  <c r="AY57" i="1"/>
  <c r="AW57" i="1"/>
  <c r="AU57" i="1"/>
  <c r="AQ57" i="1"/>
  <c r="EP56" i="1"/>
  <c r="EO56" i="1"/>
  <c r="CK56" i="1"/>
  <c r="CJ56" i="1"/>
  <c r="AY56" i="1"/>
  <c r="AW56" i="1"/>
  <c r="AU56" i="1"/>
  <c r="AS56" i="1"/>
  <c r="AQ56" i="1"/>
  <c r="EP55" i="1"/>
  <c r="EO55" i="1"/>
  <c r="DH55" i="1"/>
  <c r="CK55" i="1"/>
  <c r="CJ55" i="1"/>
  <c r="EP54" i="1"/>
  <c r="EO54" i="1"/>
  <c r="DH54" i="1"/>
  <c r="CG50" i="1" s="1"/>
  <c r="CJ50" i="1" s="1"/>
  <c r="CK54" i="1"/>
  <c r="CJ54" i="1"/>
  <c r="EP53" i="1"/>
  <c r="EO53" i="1"/>
  <c r="CK53" i="1"/>
  <c r="CJ53" i="1"/>
  <c r="EP52" i="1"/>
  <c r="EO52" i="1"/>
  <c r="CK52" i="1"/>
  <c r="CJ52" i="1"/>
  <c r="EP51" i="1"/>
  <c r="EO51" i="1"/>
  <c r="CK51" i="1"/>
  <c r="CJ51" i="1"/>
  <c r="EP50" i="1"/>
  <c r="EO50" i="1"/>
  <c r="BO50" i="1"/>
  <c r="BM50" i="1"/>
  <c r="BK50" i="1"/>
  <c r="AY50" i="1"/>
  <c r="AW50" i="1"/>
  <c r="EP49" i="1"/>
  <c r="EO49" i="1"/>
  <c r="CK49" i="1"/>
  <c r="CJ49" i="1"/>
  <c r="EP48" i="1"/>
  <c r="EO48" i="1"/>
  <c r="CG48" i="1"/>
  <c r="BO48" i="1"/>
  <c r="BM48" i="1"/>
  <c r="BK48" i="1"/>
  <c r="AY48" i="1"/>
  <c r="AW48" i="1"/>
  <c r="AU48" i="1"/>
  <c r="AS48" i="1"/>
  <c r="AQ48" i="1"/>
  <c r="CJ48" i="1" l="1"/>
  <c r="CK57" i="1"/>
  <c r="BS48" i="1"/>
  <c r="CE48" i="1" s="1"/>
  <c r="CN48" i="1" s="1"/>
  <c r="BS57" i="1"/>
  <c r="CE57" i="1" s="1"/>
  <c r="CN57" i="1" s="1"/>
  <c r="BS60" i="1"/>
  <c r="CE60" i="1" s="1"/>
  <c r="CN60" i="1" s="1"/>
  <c r="CK60" i="1"/>
  <c r="CK48" i="1"/>
  <c r="CK50" i="1"/>
  <c r="BS50" i="1"/>
  <c r="CE50" i="1" l="1"/>
  <c r="CN50" i="1" s="1"/>
  <c r="EP569" i="1" l="1"/>
  <c r="EO569" i="1"/>
  <c r="DB569" i="1"/>
  <c r="DA569" i="1"/>
  <c r="CZ569" i="1"/>
  <c r="CG569" i="1"/>
  <c r="CJ569" i="1" s="1"/>
  <c r="BO569" i="1"/>
  <c r="BM569" i="1"/>
  <c r="BK569" i="1"/>
  <c r="BI569" i="1"/>
  <c r="BG569" i="1"/>
  <c r="BE569" i="1"/>
  <c r="BC569" i="1"/>
  <c r="BA569" i="1"/>
  <c r="AW569" i="1"/>
  <c r="AU569" i="1"/>
  <c r="AS569" i="1"/>
  <c r="AQ569" i="1"/>
  <c r="AO569" i="1"/>
  <c r="AA569" i="1"/>
  <c r="Z569" i="1"/>
  <c r="EP568" i="1"/>
  <c r="EO568" i="1"/>
  <c r="DD568" i="1"/>
  <c r="EM568" i="1" s="1"/>
  <c r="CG568" i="1"/>
  <c r="CK568" i="1" s="1"/>
  <c r="BO568" i="1"/>
  <c r="BI568" i="1"/>
  <c r="AJ568" i="1"/>
  <c r="AE568" i="1"/>
  <c r="EP567" i="1"/>
  <c r="EO567" i="1"/>
  <c r="DD567" i="1"/>
  <c r="EM567" i="1" s="1"/>
  <c r="CK567" i="1"/>
  <c r="CJ567" i="1"/>
  <c r="EP566" i="1"/>
  <c r="EO566" i="1"/>
  <c r="DD566" i="1"/>
  <c r="EM566" i="1" s="1"/>
  <c r="CG566" i="1"/>
  <c r="CK566" i="1" s="1"/>
  <c r="BS566" i="1"/>
  <c r="BO566" i="1"/>
  <c r="BM566" i="1"/>
  <c r="BK566" i="1"/>
  <c r="BI566" i="1"/>
  <c r="BG566" i="1"/>
  <c r="BE566" i="1"/>
  <c r="BC566" i="1"/>
  <c r="BA566" i="1"/>
  <c r="AW566" i="1"/>
  <c r="AU566" i="1"/>
  <c r="AQ566" i="1"/>
  <c r="EP565" i="1"/>
  <c r="EO565" i="1"/>
  <c r="DD565" i="1"/>
  <c r="EM565" i="1" s="1"/>
  <c r="CK565" i="1"/>
  <c r="CJ565" i="1"/>
  <c r="EP564" i="1"/>
  <c r="EO564" i="1"/>
  <c r="DD564" i="1"/>
  <c r="EM564" i="1" s="1"/>
  <c r="CG564" i="1"/>
  <c r="CJ564" i="1" s="1"/>
  <c r="AE564" i="1"/>
  <c r="AP564" i="1" s="1"/>
  <c r="CN564" i="1" s="1"/>
  <c r="EP563" i="1"/>
  <c r="EO563" i="1"/>
  <c r="DD563" i="1"/>
  <c r="EM563" i="1" s="1"/>
  <c r="CK563" i="1"/>
  <c r="CJ563" i="1"/>
  <c r="EP562" i="1"/>
  <c r="EO562" i="1"/>
  <c r="DD562" i="1"/>
  <c r="EM562" i="1" s="1"/>
  <c r="CG562" i="1"/>
  <c r="CK562" i="1" s="1"/>
  <c r="BS562" i="1"/>
  <c r="BO562" i="1"/>
  <c r="BM562" i="1"/>
  <c r="BK562" i="1"/>
  <c r="BI562" i="1"/>
  <c r="BG562" i="1"/>
  <c r="BE562" i="1"/>
  <c r="BC562" i="1"/>
  <c r="BA562" i="1"/>
  <c r="AW562" i="1"/>
  <c r="AU562" i="1"/>
  <c r="AS562" i="1"/>
  <c r="AN562" i="1"/>
  <c r="AM562" i="1"/>
  <c r="AL562" i="1"/>
  <c r="AK562" i="1"/>
  <c r="AI562" i="1"/>
  <c r="AH562" i="1"/>
  <c r="AG562" i="1"/>
  <c r="AF562" i="1"/>
  <c r="AA562" i="1"/>
  <c r="Z562" i="1"/>
  <c r="AY562" i="1" s="1"/>
  <c r="R562" i="1"/>
  <c r="EP561" i="1"/>
  <c r="EO561" i="1"/>
  <c r="DD561" i="1"/>
  <c r="EM561" i="1" s="1"/>
  <c r="CG561" i="1"/>
  <c r="CK561" i="1" s="1"/>
  <c r="BS561" i="1"/>
  <c r="BO561" i="1"/>
  <c r="BM561" i="1"/>
  <c r="BK561" i="1"/>
  <c r="BI561" i="1"/>
  <c r="BG561" i="1"/>
  <c r="BE561" i="1"/>
  <c r="BC561" i="1"/>
  <c r="BA561" i="1"/>
  <c r="AW561" i="1"/>
  <c r="AU561" i="1"/>
  <c r="AS561" i="1"/>
  <c r="AQ561" i="1"/>
  <c r="AN561" i="1"/>
  <c r="AM561" i="1"/>
  <c r="AL561" i="1"/>
  <c r="AK561" i="1"/>
  <c r="AJ561" i="1"/>
  <c r="AI561" i="1"/>
  <c r="AH561" i="1"/>
  <c r="AG561" i="1"/>
  <c r="AF561" i="1"/>
  <c r="AE561" i="1"/>
  <c r="AD561" i="1"/>
  <c r="AC561" i="1"/>
  <c r="AB561" i="1"/>
  <c r="AA561" i="1"/>
  <c r="EP560" i="1"/>
  <c r="EO560" i="1"/>
  <c r="CK560" i="1"/>
  <c r="CJ560" i="1"/>
  <c r="EP559" i="1"/>
  <c r="EO559" i="1"/>
  <c r="CG559" i="1"/>
  <c r="BO559" i="1"/>
  <c r="BM559" i="1"/>
  <c r="BK559" i="1"/>
  <c r="BI559" i="1"/>
  <c r="BG559" i="1"/>
  <c r="BE559" i="1"/>
  <c r="BC559" i="1"/>
  <c r="BA559" i="1"/>
  <c r="AY559" i="1"/>
  <c r="AU559" i="1"/>
  <c r="AS559" i="1"/>
  <c r="AQ559" i="1"/>
  <c r="CK559" i="1" l="1"/>
  <c r="BS569" i="1"/>
  <c r="CK569" i="1"/>
  <c r="CJ566" i="1"/>
  <c r="AP568" i="1"/>
  <c r="BS559" i="1"/>
  <c r="CJ559" i="1"/>
  <c r="BS568" i="1"/>
  <c r="CK564" i="1"/>
  <c r="CJ561" i="1"/>
  <c r="CJ562" i="1"/>
  <c r="CJ568" i="1"/>
  <c r="CE569" i="1" l="1"/>
  <c r="CN569" i="1" s="1"/>
  <c r="CE568" i="1"/>
  <c r="CN568" i="1" s="1"/>
  <c r="EP558" i="1" l="1"/>
  <c r="EO558" i="1"/>
  <c r="CK558" i="1"/>
  <c r="CJ558" i="1"/>
  <c r="EP557" i="1"/>
  <c r="EO557" i="1"/>
  <c r="CK557" i="1"/>
  <c r="CJ557" i="1"/>
  <c r="EP556" i="1"/>
  <c r="EO556" i="1"/>
  <c r="CG556" i="1"/>
  <c r="CK556" i="1" s="1"/>
  <c r="BS556" i="1"/>
  <c r="BI556" i="1"/>
  <c r="EP555" i="1"/>
  <c r="EO555" i="1"/>
  <c r="CK555" i="1"/>
  <c r="CJ555" i="1"/>
  <c r="EP554" i="1"/>
  <c r="EO554" i="1"/>
  <c r="CK554" i="1"/>
  <c r="CJ554" i="1"/>
  <c r="EP553" i="1"/>
  <c r="EO553" i="1"/>
  <c r="CG553" i="1"/>
  <c r="CK553" i="1" s="1"/>
  <c r="BS553" i="1"/>
  <c r="BI553" i="1"/>
  <c r="CK552" i="1"/>
  <c r="CJ552" i="1"/>
  <c r="CK551" i="1"/>
  <c r="CJ551" i="1"/>
  <c r="CK550" i="1"/>
  <c r="CJ550" i="1"/>
  <c r="EP549" i="1"/>
  <c r="EO549" i="1"/>
  <c r="CK549" i="1"/>
  <c r="CJ549" i="1"/>
  <c r="EP548" i="1"/>
  <c r="EO548" i="1"/>
  <c r="CG548" i="1"/>
  <c r="CK548" i="1" s="1"/>
  <c r="BS548" i="1"/>
  <c r="BI548" i="1"/>
  <c r="EP547" i="1"/>
  <c r="EO547" i="1"/>
  <c r="CK547" i="1"/>
  <c r="CJ547" i="1"/>
  <c r="EP546" i="1"/>
  <c r="EO546" i="1"/>
  <c r="CK546" i="1"/>
  <c r="CJ546" i="1"/>
  <c r="EP545" i="1"/>
  <c r="EO545" i="1"/>
  <c r="CG545" i="1"/>
  <c r="BS545" i="1"/>
  <c r="CK545" i="1" l="1"/>
  <c r="CE545" i="1"/>
  <c r="CN545" i="1" s="1"/>
  <c r="CE556" i="1"/>
  <c r="CN556" i="1" s="1"/>
  <c r="CE548" i="1"/>
  <c r="CN548" i="1" s="1"/>
  <c r="CJ548" i="1"/>
  <c r="CE553" i="1"/>
  <c r="CN553" i="1" s="1"/>
  <c r="CJ553" i="1"/>
  <c r="CJ556" i="1"/>
  <c r="CJ545" i="1"/>
  <c r="CK508" i="1" l="1"/>
  <c r="CJ508" i="1"/>
  <c r="CK507" i="1"/>
  <c r="CJ507" i="1"/>
  <c r="CK506" i="1"/>
  <c r="CJ506" i="1"/>
  <c r="CG505" i="1"/>
  <c r="CK505" i="1" s="1"/>
  <c r="BE505" i="1"/>
  <c r="BI505" i="1" s="1"/>
  <c r="CG504" i="1"/>
  <c r="CK504" i="1" s="1"/>
  <c r="BC504" i="1"/>
  <c r="BA504" i="1"/>
  <c r="CK503" i="1"/>
  <c r="CJ503" i="1"/>
  <c r="CK502" i="1"/>
  <c r="CJ502" i="1"/>
  <c r="CK501" i="1"/>
  <c r="CJ501" i="1"/>
  <c r="CK500" i="1"/>
  <c r="CJ500" i="1"/>
  <c r="CK499" i="1"/>
  <c r="CJ499" i="1"/>
  <c r="CG498" i="1"/>
  <c r="CK498" i="1" s="1"/>
  <c r="BE498" i="1"/>
  <c r="BC498" i="1"/>
  <c r="BA498" i="1"/>
  <c r="CK497" i="1"/>
  <c r="CJ497" i="1"/>
  <c r="CK496" i="1"/>
  <c r="CJ496" i="1"/>
  <c r="CG495" i="1"/>
  <c r="CK495" i="1" s="1"/>
  <c r="BE495" i="1"/>
  <c r="BC495" i="1"/>
  <c r="CK494" i="1"/>
  <c r="CJ494" i="1"/>
  <c r="CG493" i="1"/>
  <c r="CK493" i="1" s="1"/>
  <c r="BI493" i="1"/>
  <c r="CK492" i="1"/>
  <c r="CJ492" i="1"/>
  <c r="CK491" i="1"/>
  <c r="CJ491" i="1"/>
  <c r="CG490" i="1"/>
  <c r="CK490" i="1" s="1"/>
  <c r="BE490" i="1"/>
  <c r="BC490" i="1"/>
  <c r="BA490" i="1"/>
  <c r="CK489" i="1"/>
  <c r="CJ489" i="1"/>
  <c r="CK488" i="1"/>
  <c r="CJ488" i="1"/>
  <c r="CK487" i="1"/>
  <c r="CJ487" i="1"/>
  <c r="CG486" i="1"/>
  <c r="CK486" i="1" s="1"/>
  <c r="BE486" i="1"/>
  <c r="BC486" i="1"/>
  <c r="BA486" i="1"/>
  <c r="CG485" i="1"/>
  <c r="CK485" i="1" s="1"/>
  <c r="BE485" i="1"/>
  <c r="BC485" i="1"/>
  <c r="BA485" i="1"/>
  <c r="CK484" i="1"/>
  <c r="CJ484" i="1"/>
  <c r="CK483" i="1"/>
  <c r="CJ483" i="1"/>
  <c r="CG482" i="1"/>
  <c r="CK482" i="1" s="1"/>
  <c r="BE482" i="1"/>
  <c r="BC482" i="1"/>
  <c r="BA482" i="1"/>
  <c r="CK481" i="1"/>
  <c r="CJ481" i="1"/>
  <c r="CK480" i="1"/>
  <c r="CJ480" i="1"/>
  <c r="CK479" i="1"/>
  <c r="CJ479" i="1"/>
  <c r="CK478" i="1"/>
  <c r="CJ478" i="1"/>
  <c r="DH477" i="1"/>
  <c r="CK477" i="1"/>
  <c r="CJ477" i="1"/>
  <c r="DH476" i="1"/>
  <c r="CK476" i="1"/>
  <c r="CJ476" i="1"/>
  <c r="DH475" i="1"/>
  <c r="BE475" i="1"/>
  <c r="BC475" i="1"/>
  <c r="BA475" i="1"/>
  <c r="CK474" i="1"/>
  <c r="CJ474" i="1"/>
  <c r="DH473" i="1"/>
  <c r="CG473" i="1" s="1"/>
  <c r="BE473" i="1"/>
  <c r="BC473" i="1"/>
  <c r="BA473" i="1"/>
  <c r="CK472" i="1"/>
  <c r="CJ472" i="1"/>
  <c r="CK471" i="1"/>
  <c r="CJ471" i="1"/>
  <c r="CG470" i="1"/>
  <c r="CJ470" i="1" s="1"/>
  <c r="BE470" i="1"/>
  <c r="BC470" i="1"/>
  <c r="BA470" i="1"/>
  <c r="CK469" i="1"/>
  <c r="CJ469" i="1"/>
  <c r="CK468" i="1"/>
  <c r="CJ468" i="1"/>
  <c r="CG467" i="1"/>
  <c r="CK467" i="1" s="1"/>
  <c r="BE467" i="1"/>
  <c r="BC467" i="1"/>
  <c r="BA467" i="1"/>
  <c r="CK466" i="1"/>
  <c r="CJ466" i="1"/>
  <c r="CG465" i="1"/>
  <c r="CK465" i="1" s="1"/>
  <c r="BE465" i="1"/>
  <c r="BC465" i="1"/>
  <c r="BA465" i="1"/>
  <c r="CK464" i="1"/>
  <c r="CJ464" i="1"/>
  <c r="CK463" i="1"/>
  <c r="CJ463" i="1"/>
  <c r="CK462" i="1"/>
  <c r="CJ462" i="1"/>
  <c r="CK461" i="1"/>
  <c r="CJ461" i="1"/>
  <c r="CK460" i="1"/>
  <c r="CJ460" i="1"/>
  <c r="DH459" i="1"/>
  <c r="CK459" i="1"/>
  <c r="CJ459" i="1"/>
  <c r="DH458" i="1"/>
  <c r="BE458" i="1"/>
  <c r="BC458" i="1"/>
  <c r="BA458" i="1"/>
  <c r="CG457" i="1"/>
  <c r="CK457" i="1" s="1"/>
  <c r="BE457" i="1"/>
  <c r="BC457" i="1"/>
  <c r="BA457" i="1"/>
  <c r="CK456" i="1"/>
  <c r="CJ456" i="1"/>
  <c r="CG455" i="1"/>
  <c r="CK455" i="1" s="1"/>
  <c r="BE455" i="1"/>
  <c r="BC455" i="1"/>
  <c r="BA455" i="1"/>
  <c r="CG454" i="1"/>
  <c r="CJ454" i="1" s="1"/>
  <c r="BA454" i="1"/>
  <c r="BI454" i="1" s="1"/>
  <c r="CK453" i="1"/>
  <c r="CJ453" i="1"/>
  <c r="CK452" i="1"/>
  <c r="CJ452" i="1"/>
  <c r="CK451" i="1"/>
  <c r="CJ451" i="1"/>
  <c r="CK450" i="1"/>
  <c r="CJ450" i="1"/>
  <c r="CK449" i="1"/>
  <c r="CJ449" i="1"/>
  <c r="CZ448" i="1"/>
  <c r="DD448" i="1" s="1"/>
  <c r="EM448" i="1" s="1"/>
  <c r="CK448" i="1"/>
  <c r="CJ448" i="1"/>
  <c r="DD447" i="1"/>
  <c r="EM447" i="1" s="1"/>
  <c r="CG447" i="1"/>
  <c r="CJ447" i="1" s="1"/>
  <c r="BE447" i="1"/>
  <c r="BC447" i="1"/>
  <c r="BA447" i="1"/>
  <c r="CK446" i="1"/>
  <c r="CJ446" i="1"/>
  <c r="CK445" i="1"/>
  <c r="CJ445" i="1"/>
  <c r="DA444" i="1"/>
  <c r="DD444" i="1" s="1"/>
  <c r="EM444" i="1" s="1"/>
  <c r="CK444" i="1"/>
  <c r="CJ444" i="1"/>
  <c r="DD443" i="1"/>
  <c r="EM443" i="1" s="1"/>
  <c r="CK443" i="1"/>
  <c r="CJ443" i="1"/>
  <c r="CK442" i="1"/>
  <c r="CJ442" i="1"/>
  <c r="CK441" i="1"/>
  <c r="CJ441" i="1"/>
  <c r="CG440" i="1"/>
  <c r="CJ440" i="1" s="1"/>
  <c r="BI440" i="1"/>
  <c r="CK439" i="1"/>
  <c r="CJ439" i="1"/>
  <c r="CK438" i="1"/>
  <c r="CJ438" i="1"/>
  <c r="DD437" i="1"/>
  <c r="EM437" i="1" s="1"/>
  <c r="CK437" i="1"/>
  <c r="CJ437" i="1"/>
  <c r="CK436" i="1"/>
  <c r="CJ436" i="1"/>
  <c r="CK435" i="1"/>
  <c r="CJ435" i="1"/>
  <c r="DH434" i="1"/>
  <c r="CG433" i="1" s="1"/>
  <c r="CJ433" i="1" s="1"/>
  <c r="DD434" i="1"/>
  <c r="EM434" i="1" s="1"/>
  <c r="CK434" i="1"/>
  <c r="CJ434" i="1"/>
  <c r="DD433" i="1"/>
  <c r="EM433" i="1" s="1"/>
  <c r="BI433" i="1"/>
  <c r="CK432" i="1"/>
  <c r="CJ432" i="1"/>
  <c r="CK431" i="1"/>
  <c r="CJ431" i="1"/>
  <c r="CK430" i="1"/>
  <c r="CJ430" i="1"/>
  <c r="CK429" i="1"/>
  <c r="CJ429" i="1"/>
  <c r="CK428" i="1"/>
  <c r="CJ428" i="1"/>
  <c r="CK427" i="1"/>
  <c r="CJ427" i="1"/>
  <c r="CK426" i="1"/>
  <c r="CJ426" i="1"/>
  <c r="CK425" i="1"/>
  <c r="CJ425" i="1"/>
  <c r="CK424" i="1"/>
  <c r="CJ424" i="1"/>
  <c r="CK423" i="1"/>
  <c r="CJ423" i="1"/>
  <c r="CK422" i="1"/>
  <c r="CJ422" i="1"/>
  <c r="DH421" i="1"/>
  <c r="CG419" i="1" s="1"/>
  <c r="CK421" i="1"/>
  <c r="CJ421" i="1"/>
  <c r="CK420" i="1"/>
  <c r="CJ420" i="1"/>
  <c r="BE419" i="1"/>
  <c r="BC419" i="1"/>
  <c r="BA419" i="1"/>
  <c r="AY419" i="1"/>
  <c r="CK418" i="1"/>
  <c r="CJ418" i="1"/>
  <c r="CK417" i="1"/>
  <c r="CJ417" i="1"/>
  <c r="CK416" i="1"/>
  <c r="CJ416" i="1"/>
  <c r="DH415" i="1"/>
  <c r="CK415" i="1"/>
  <c r="CJ415" i="1"/>
  <c r="DH414" i="1"/>
  <c r="CK414" i="1"/>
  <c r="CJ414" i="1"/>
  <c r="CK413" i="1"/>
  <c r="CJ413" i="1"/>
  <c r="CK412" i="1"/>
  <c r="CJ412" i="1"/>
  <c r="CK411" i="1"/>
  <c r="CJ411" i="1"/>
  <c r="DD410" i="1"/>
  <c r="EM410" i="1" s="1"/>
  <c r="CK410" i="1"/>
  <c r="CJ410" i="1"/>
  <c r="CK409" i="1"/>
  <c r="CJ409" i="1"/>
  <c r="DD408" i="1"/>
  <c r="EM408" i="1" s="1"/>
  <c r="BE408" i="1"/>
  <c r="BC408" i="1"/>
  <c r="BA408" i="1"/>
  <c r="CK407" i="1"/>
  <c r="CJ407" i="1"/>
  <c r="DD406" i="1"/>
  <c r="EM406" i="1" s="1"/>
  <c r="CK406" i="1"/>
  <c r="CJ406" i="1"/>
  <c r="CK405" i="1"/>
  <c r="CJ405" i="1"/>
  <c r="CK404" i="1"/>
  <c r="CJ404" i="1"/>
  <c r="CK403" i="1"/>
  <c r="CJ403" i="1"/>
  <c r="CK402" i="1"/>
  <c r="CJ402" i="1"/>
  <c r="DA401" i="1"/>
  <c r="DD401" i="1" s="1"/>
  <c r="EM401" i="1" s="1"/>
  <c r="CK401" i="1"/>
  <c r="CJ401" i="1"/>
  <c r="CK400" i="1"/>
  <c r="CJ400" i="1"/>
  <c r="DD399" i="1"/>
  <c r="EM399" i="1" s="1"/>
  <c r="CK399" i="1"/>
  <c r="CJ399" i="1"/>
  <c r="DH398" i="1"/>
  <c r="DA398" i="1"/>
  <c r="DD398" i="1" s="1"/>
  <c r="EM398" i="1" s="1"/>
  <c r="CK398" i="1"/>
  <c r="CJ398" i="1"/>
  <c r="DD397" i="1"/>
  <c r="EM397" i="1" s="1"/>
  <c r="CK397" i="1"/>
  <c r="CJ397" i="1"/>
  <c r="CK396" i="1"/>
  <c r="CJ396" i="1"/>
  <c r="DA395" i="1"/>
  <c r="DD395" i="1" s="1"/>
  <c r="EM395" i="1" s="1"/>
  <c r="CK395" i="1"/>
  <c r="CJ395" i="1"/>
  <c r="CK394" i="1"/>
  <c r="CJ394" i="1"/>
  <c r="CK393" i="1"/>
  <c r="CJ393" i="1"/>
  <c r="CK392" i="1"/>
  <c r="CJ392" i="1"/>
  <c r="DD391" i="1"/>
  <c r="EM391" i="1" s="1"/>
  <c r="CK391" i="1"/>
  <c r="CJ391" i="1"/>
  <c r="CK390" i="1"/>
  <c r="CJ390" i="1"/>
  <c r="DD389" i="1"/>
  <c r="CK389" i="1"/>
  <c r="CJ389" i="1"/>
  <c r="CK388" i="1"/>
  <c r="CJ388" i="1"/>
  <c r="CK387" i="1"/>
  <c r="CJ387" i="1"/>
  <c r="CK386" i="1"/>
  <c r="CJ386" i="1"/>
  <c r="DH385" i="1"/>
  <c r="DD385" i="1"/>
  <c r="EM385" i="1" s="1"/>
  <c r="CK385" i="1"/>
  <c r="CJ385" i="1"/>
  <c r="CK384" i="1"/>
  <c r="CJ384" i="1"/>
  <c r="CK383" i="1"/>
  <c r="CJ383" i="1"/>
  <c r="DB382" i="1"/>
  <c r="CK382" i="1"/>
  <c r="CJ382" i="1"/>
  <c r="CK381" i="1"/>
  <c r="CJ381" i="1"/>
  <c r="DD380" i="1"/>
  <c r="EM380" i="1" s="1"/>
  <c r="CK380" i="1"/>
  <c r="CJ380" i="1"/>
  <c r="CK379" i="1"/>
  <c r="CJ379" i="1"/>
  <c r="CK378" i="1"/>
  <c r="CJ378" i="1"/>
  <c r="CK377" i="1"/>
  <c r="CJ377" i="1"/>
  <c r="CK376" i="1"/>
  <c r="CJ376" i="1"/>
  <c r="DH375" i="1"/>
  <c r="CK375" i="1"/>
  <c r="CJ375" i="1"/>
  <c r="BE374" i="1"/>
  <c r="BC374" i="1"/>
  <c r="BA374" i="1"/>
  <c r="BI504" i="1" l="1"/>
  <c r="CG458" i="1"/>
  <c r="CJ458" i="1" s="1"/>
  <c r="BI473" i="1"/>
  <c r="CG408" i="1"/>
  <c r="CK408" i="1" s="1"/>
  <c r="CK470" i="1"/>
  <c r="BI490" i="1"/>
  <c r="CJ455" i="1"/>
  <c r="CG475" i="1"/>
  <c r="CJ475" i="1" s="1"/>
  <c r="BI419" i="1"/>
  <c r="CK447" i="1"/>
  <c r="CJ482" i="1"/>
  <c r="BI465" i="1"/>
  <c r="BI470" i="1"/>
  <c r="BI495" i="1"/>
  <c r="CG374" i="1"/>
  <c r="BI482" i="1"/>
  <c r="BI498" i="1"/>
  <c r="CK454" i="1"/>
  <c r="CJ467" i="1"/>
  <c r="CJ504" i="1"/>
  <c r="BI374" i="1"/>
  <c r="CK440" i="1"/>
  <c r="BI455" i="1"/>
  <c r="BI458" i="1"/>
  <c r="BI486" i="1"/>
  <c r="BI457" i="1"/>
  <c r="BI467" i="1"/>
  <c r="BI475" i="1"/>
  <c r="BI485" i="1"/>
  <c r="BI447" i="1"/>
  <c r="BI408" i="1"/>
  <c r="CJ486" i="1"/>
  <c r="CK419" i="1"/>
  <c r="CJ419" i="1"/>
  <c r="CK473" i="1"/>
  <c r="CJ473" i="1"/>
  <c r="CJ493" i="1"/>
  <c r="CJ505" i="1"/>
  <c r="CK433" i="1"/>
  <c r="CJ465" i="1"/>
  <c r="CJ490" i="1"/>
  <c r="CJ485" i="1"/>
  <c r="CJ495" i="1"/>
  <c r="CJ498" i="1"/>
  <c r="CJ457" i="1"/>
  <c r="CK374" i="1" l="1"/>
  <c r="CK458" i="1"/>
  <c r="CJ408" i="1"/>
  <c r="CK475" i="1"/>
  <c r="CJ374" i="1"/>
  <c r="EP373" i="1"/>
  <c r="EO373" i="1"/>
  <c r="DH373" i="1"/>
  <c r="DD373" i="1"/>
  <c r="EM373" i="1" s="1"/>
  <c r="CK373" i="1"/>
  <c r="CJ373" i="1"/>
  <c r="EP372" i="1"/>
  <c r="EO372" i="1"/>
  <c r="DD372" i="1"/>
  <c r="EM372" i="1" s="1"/>
  <c r="CK372" i="1"/>
  <c r="CJ372" i="1"/>
  <c r="EP371" i="1"/>
  <c r="EO371" i="1"/>
  <c r="DD371" i="1"/>
  <c r="EM371" i="1" s="1"/>
  <c r="CK371" i="1"/>
  <c r="CJ371" i="1"/>
  <c r="EP370" i="1"/>
  <c r="EO370" i="1"/>
  <c r="CK370" i="1"/>
  <c r="CJ370" i="1"/>
  <c r="EP369" i="1"/>
  <c r="EO369" i="1"/>
  <c r="CK369" i="1"/>
  <c r="CJ369" i="1"/>
  <c r="EP368" i="1"/>
  <c r="EO368" i="1"/>
  <c r="CG368" i="1"/>
  <c r="CK368" i="1" s="1"/>
  <c r="BO368" i="1"/>
  <c r="BM368" i="1"/>
  <c r="BK368" i="1"/>
  <c r="BI368" i="1"/>
  <c r="BG368" i="1"/>
  <c r="BE368" i="1"/>
  <c r="BC368" i="1"/>
  <c r="EP367" i="1"/>
  <c r="EO367" i="1"/>
  <c r="CK367" i="1"/>
  <c r="CJ367" i="1"/>
  <c r="EP366" i="1"/>
  <c r="EO366" i="1"/>
  <c r="DD366" i="1"/>
  <c r="EM366" i="1" s="1"/>
  <c r="CK366" i="1"/>
  <c r="CJ366" i="1"/>
  <c r="EP365" i="1"/>
  <c r="EO365" i="1"/>
  <c r="DD365" i="1"/>
  <c r="EM365" i="1" s="1"/>
  <c r="CK365" i="1"/>
  <c r="CJ365" i="1"/>
  <c r="EP364" i="1"/>
  <c r="EO364" i="1"/>
  <c r="DD364" i="1"/>
  <c r="EM364" i="1" s="1"/>
  <c r="CK364" i="1"/>
  <c r="CJ364" i="1"/>
  <c r="EP363" i="1"/>
  <c r="EO363" i="1"/>
  <c r="CK363" i="1"/>
  <c r="CJ363" i="1"/>
  <c r="EP362" i="1"/>
  <c r="EO362" i="1"/>
  <c r="DD362" i="1"/>
  <c r="EM362" i="1" s="1"/>
  <c r="CK362" i="1"/>
  <c r="CJ362" i="1"/>
  <c r="EP361" i="1"/>
  <c r="EO361" i="1"/>
  <c r="DD361" i="1"/>
  <c r="EM361" i="1" s="1"/>
  <c r="CK361" i="1"/>
  <c r="CJ361" i="1"/>
  <c r="EP360" i="1"/>
  <c r="EO360" i="1"/>
  <c r="CK360" i="1"/>
  <c r="CJ360" i="1"/>
  <c r="EP359" i="1"/>
  <c r="EO359" i="1"/>
  <c r="CG359" i="1"/>
  <c r="CK359" i="1" s="1"/>
  <c r="BO359" i="1"/>
  <c r="BM359" i="1"/>
  <c r="BK359" i="1"/>
  <c r="BG359" i="1"/>
  <c r="BE359" i="1"/>
  <c r="BC359" i="1"/>
  <c r="AY359" i="1"/>
  <c r="EP358" i="1"/>
  <c r="EO358" i="1"/>
  <c r="CK358" i="1"/>
  <c r="CJ358" i="1"/>
  <c r="EP357" i="1"/>
  <c r="EO357" i="1"/>
  <c r="CK357" i="1"/>
  <c r="CJ357" i="1"/>
  <c r="EP356" i="1"/>
  <c r="EO356" i="1"/>
  <c r="DD356" i="1"/>
  <c r="EM356" i="1" s="1"/>
  <c r="CK356" i="1"/>
  <c r="CJ356" i="1"/>
  <c r="EP355" i="1"/>
  <c r="EO355" i="1"/>
  <c r="DB355" i="1"/>
  <c r="CK355" i="1"/>
  <c r="CJ355" i="1"/>
  <c r="EP354" i="1"/>
  <c r="EO354" i="1"/>
  <c r="DD354" i="1"/>
  <c r="EM354" i="1" s="1"/>
  <c r="CK354" i="1"/>
  <c r="CJ354" i="1"/>
  <c r="EP353" i="1"/>
  <c r="EO353" i="1"/>
  <c r="DA353" i="1"/>
  <c r="DD353" i="1" s="1"/>
  <c r="EM353" i="1" s="1"/>
  <c r="CK353" i="1"/>
  <c r="CJ353" i="1"/>
  <c r="EP352" i="1"/>
  <c r="EO352" i="1"/>
  <c r="DD352" i="1"/>
  <c r="EM352" i="1" s="1"/>
  <c r="CK352" i="1"/>
  <c r="CJ352" i="1"/>
  <c r="EP351" i="1"/>
  <c r="EO351" i="1"/>
  <c r="DD351" i="1"/>
  <c r="EM351" i="1" s="1"/>
  <c r="CG351" i="1"/>
  <c r="CJ351" i="1" s="1"/>
  <c r="BO351" i="1"/>
  <c r="BM351" i="1"/>
  <c r="BK351" i="1"/>
  <c r="BG351" i="1"/>
  <c r="BE351" i="1"/>
  <c r="BC351" i="1"/>
  <c r="AY351" i="1"/>
  <c r="EP350" i="1"/>
  <c r="EO350" i="1"/>
  <c r="DD350" i="1"/>
  <c r="EM350" i="1" s="1"/>
  <c r="CK350" i="1"/>
  <c r="CJ350" i="1"/>
  <c r="EP349" i="1"/>
  <c r="EO349" i="1"/>
  <c r="DC349" i="1"/>
  <c r="DB349" i="1"/>
  <c r="DA349" i="1"/>
  <c r="CK349" i="1"/>
  <c r="CJ349" i="1"/>
  <c r="EP348" i="1"/>
  <c r="EO348" i="1"/>
  <c r="CK348" i="1"/>
  <c r="CJ348" i="1"/>
  <c r="EP347" i="1"/>
  <c r="EO347" i="1"/>
  <c r="DD347" i="1"/>
  <c r="EM347" i="1" s="1"/>
  <c r="CK347" i="1"/>
  <c r="CJ347" i="1"/>
  <c r="EP346" i="1"/>
  <c r="EO346" i="1"/>
  <c r="DC346" i="1"/>
  <c r="DB346" i="1"/>
  <c r="DA346" i="1"/>
  <c r="CK346" i="1"/>
  <c r="CJ346" i="1"/>
  <c r="EP345" i="1"/>
  <c r="EO345" i="1"/>
  <c r="DD345" i="1"/>
  <c r="EM345" i="1" s="1"/>
  <c r="CG345" i="1"/>
  <c r="CK345" i="1" s="1"/>
  <c r="BO345" i="1"/>
  <c r="BM345" i="1"/>
  <c r="BK345" i="1"/>
  <c r="BE345" i="1"/>
  <c r="BC345" i="1"/>
  <c r="EP344" i="1"/>
  <c r="EO344" i="1"/>
  <c r="DD344" i="1"/>
  <c r="EM344" i="1" s="1"/>
  <c r="CK344" i="1"/>
  <c r="CJ344" i="1"/>
  <c r="EP343" i="1"/>
  <c r="EO343" i="1"/>
  <c r="DD343" i="1"/>
  <c r="EM343" i="1" s="1"/>
  <c r="CK343" i="1"/>
  <c r="CJ343" i="1"/>
  <c r="EP342" i="1"/>
  <c r="EO342" i="1"/>
  <c r="DD342" i="1"/>
  <c r="EM342" i="1" s="1"/>
  <c r="CK342" i="1"/>
  <c r="CJ342" i="1"/>
  <c r="EP341" i="1"/>
  <c r="EO341" i="1"/>
  <c r="DD341" i="1"/>
  <c r="EM341" i="1" s="1"/>
  <c r="CK341" i="1"/>
  <c r="CJ341" i="1"/>
  <c r="EP340" i="1"/>
  <c r="EO340" i="1"/>
  <c r="DD340" i="1"/>
  <c r="EM340" i="1" s="1"/>
  <c r="CK340" i="1"/>
  <c r="CJ340" i="1"/>
  <c r="EP339" i="1"/>
  <c r="EO339" i="1"/>
  <c r="DA339" i="1"/>
  <c r="DD339" i="1" s="1"/>
  <c r="EM339" i="1" s="1"/>
  <c r="CK339" i="1"/>
  <c r="CJ339" i="1"/>
  <c r="EP338" i="1"/>
  <c r="EO338" i="1"/>
  <c r="DD338" i="1"/>
  <c r="EM338" i="1" s="1"/>
  <c r="CG338" i="1"/>
  <c r="BO338" i="1"/>
  <c r="BM338" i="1"/>
  <c r="BE338" i="1"/>
  <c r="BC338" i="1"/>
  <c r="CK338" i="1" l="1"/>
  <c r="DD355" i="1"/>
  <c r="EM355" i="1" s="1"/>
  <c r="BS338" i="1"/>
  <c r="BS368" i="1"/>
  <c r="CJ345" i="1"/>
  <c r="CK351" i="1"/>
  <c r="BS359" i="1"/>
  <c r="BS351" i="1"/>
  <c r="BS345" i="1"/>
  <c r="CJ359" i="1"/>
  <c r="CJ338" i="1"/>
  <c r="DD346" i="1"/>
  <c r="EM346" i="1" s="1"/>
  <c r="DD349" i="1"/>
  <c r="EM349" i="1" s="1"/>
  <c r="CJ368" i="1"/>
  <c r="CE345" i="1" l="1"/>
  <c r="CN345" i="1" s="1"/>
  <c r="CE351" i="1"/>
  <c r="CN351" i="1" s="1"/>
  <c r="CE368" i="1"/>
  <c r="CN368" i="1" s="1"/>
  <c r="CE359" i="1"/>
  <c r="CN359" i="1" s="1"/>
  <c r="CE338" i="1"/>
  <c r="CN338" i="1" s="1"/>
  <c r="CK332" i="1" l="1"/>
  <c r="CJ332" i="1"/>
  <c r="DD331" i="1"/>
  <c r="EM331" i="1" s="1"/>
  <c r="CK331" i="1"/>
  <c r="CJ331" i="1"/>
  <c r="BP331" i="1"/>
  <c r="BO331" i="1"/>
  <c r="BI331" i="1"/>
  <c r="AY331" i="1"/>
  <c r="AE331" i="1"/>
  <c r="AP331" i="1" s="1"/>
  <c r="DD330" i="1"/>
  <c r="EM330" i="1" s="1"/>
  <c r="CK330" i="1"/>
  <c r="CJ330" i="1"/>
  <c r="CG329" i="1"/>
  <c r="CJ329" i="1" s="1"/>
  <c r="BS329" i="1"/>
  <c r="BI329" i="1"/>
  <c r="AE329" i="1"/>
  <c r="AP329" i="1" s="1"/>
  <c r="DD328" i="1"/>
  <c r="EM328" i="1" s="1"/>
  <c r="CK328" i="1"/>
  <c r="CJ328" i="1"/>
  <c r="CK327" i="1"/>
  <c r="CJ327" i="1"/>
  <c r="DD326" i="1"/>
  <c r="EM326" i="1" s="1"/>
  <c r="CK326" i="1"/>
  <c r="CJ326" i="1"/>
  <c r="DD325" i="1"/>
  <c r="EM325" i="1" s="1"/>
  <c r="CG325" i="1"/>
  <c r="BK325" i="1"/>
  <c r="BS325" i="1" s="1"/>
  <c r="BG325" i="1"/>
  <c r="BI325" i="1" s="1"/>
  <c r="AY325" i="1"/>
  <c r="AO325" i="1"/>
  <c r="CM325" i="1" s="1"/>
  <c r="AE325" i="1"/>
  <c r="CK325" i="1" l="1"/>
  <c r="BS331" i="1"/>
  <c r="CJ325" i="1"/>
  <c r="CE325" i="1"/>
  <c r="CE329" i="1"/>
  <c r="CN329" i="1" s="1"/>
  <c r="AP325" i="1"/>
  <c r="CN325" i="1" s="1"/>
  <c r="CK329" i="1"/>
  <c r="CE331" i="1" l="1"/>
  <c r="CN331" i="1" s="1"/>
  <c r="DD279" i="1" l="1"/>
  <c r="EM279" i="1" s="1"/>
  <c r="CG279" i="1"/>
  <c r="CK279" i="1" s="1"/>
  <c r="DD278" i="1"/>
  <c r="EM278" i="1" s="1"/>
  <c r="CK278" i="1"/>
  <c r="CJ278" i="1"/>
  <c r="EP277" i="1"/>
  <c r="EO277" i="1"/>
  <c r="DH277" i="1"/>
  <c r="DD277" i="1"/>
  <c r="EM277" i="1" s="1"/>
  <c r="CK277" i="1"/>
  <c r="CJ277" i="1"/>
  <c r="EP276" i="1"/>
  <c r="EO276" i="1"/>
  <c r="DH276" i="1"/>
  <c r="DD276" i="1"/>
  <c r="EM276" i="1" s="1"/>
  <c r="EP275" i="1"/>
  <c r="EO275" i="1"/>
  <c r="CK275" i="1"/>
  <c r="CJ275" i="1"/>
  <c r="BG275" i="1"/>
  <c r="BI275" i="1" s="1"/>
  <c r="AW275" i="1"/>
  <c r="AU275" i="1"/>
  <c r="AS275" i="1"/>
  <c r="EP274" i="1"/>
  <c r="EO274" i="1"/>
  <c r="CK274" i="1"/>
  <c r="CJ274" i="1"/>
  <c r="AY274" i="1"/>
  <c r="AP274" i="1"/>
  <c r="EP273" i="1"/>
  <c r="EO273" i="1"/>
  <c r="CK273" i="1"/>
  <c r="CJ273" i="1"/>
  <c r="EP272" i="1"/>
  <c r="EO272" i="1"/>
  <c r="DH272" i="1"/>
  <c r="CG272" i="1" s="1"/>
  <c r="CK272" i="1" s="1"/>
  <c r="BS272" i="1"/>
  <c r="BO272" i="1"/>
  <c r="BM272" i="1"/>
  <c r="BK272" i="1"/>
  <c r="BI272" i="1"/>
  <c r="BE272" i="1"/>
  <c r="BC272" i="1"/>
  <c r="BA272" i="1"/>
  <c r="AY272" i="1"/>
  <c r="EP271" i="1"/>
  <c r="EO271" i="1"/>
  <c r="CK271" i="1"/>
  <c r="CJ271" i="1"/>
  <c r="AY271" i="1"/>
  <c r="AW271" i="1"/>
  <c r="AU271" i="1"/>
  <c r="AS271" i="1"/>
  <c r="AQ271" i="1"/>
  <c r="AP271" i="1"/>
  <c r="CN271" i="1" s="1"/>
  <c r="DD270" i="1"/>
  <c r="EM270" i="1" s="1"/>
  <c r="CK270" i="1"/>
  <c r="CJ270" i="1"/>
  <c r="EP269" i="1"/>
  <c r="EO269" i="1"/>
  <c r="DD269" i="1"/>
  <c r="EM269" i="1" s="1"/>
  <c r="CK269" i="1"/>
  <c r="CJ269" i="1"/>
  <c r="EP268" i="1"/>
  <c r="EO268" i="1"/>
  <c r="DD268" i="1"/>
  <c r="EM268" i="1" s="1"/>
  <c r="CG268" i="1"/>
  <c r="BO268" i="1"/>
  <c r="BM268" i="1"/>
  <c r="BK268" i="1"/>
  <c r="BG268" i="1"/>
  <c r="BA268" i="1"/>
  <c r="AE268" i="1"/>
  <c r="AP268" i="1" s="1"/>
  <c r="CJ268" i="1" l="1"/>
  <c r="BI268" i="1"/>
  <c r="BS268" i="1"/>
  <c r="CJ272" i="1"/>
  <c r="CK268" i="1"/>
  <c r="CG276" i="1"/>
  <c r="CK276" i="1" s="1"/>
  <c r="CJ279" i="1"/>
  <c r="CE268" i="1" l="1"/>
  <c r="CN268" i="1" s="1"/>
  <c r="CJ276" i="1"/>
  <c r="EP181" i="1" l="1"/>
  <c r="EO181" i="1"/>
  <c r="CK181" i="1"/>
  <c r="CJ181" i="1"/>
  <c r="EP180" i="1"/>
  <c r="EO180" i="1"/>
  <c r="CK180" i="1"/>
  <c r="CJ180" i="1"/>
  <c r="BM180" i="1"/>
  <c r="BK180" i="1"/>
  <c r="BG180" i="1"/>
  <c r="BE180" i="1"/>
  <c r="BC180" i="1"/>
  <c r="AW180" i="1"/>
  <c r="AU180" i="1"/>
  <c r="AS180" i="1"/>
  <c r="AQ180" i="1"/>
  <c r="EP179" i="1"/>
  <c r="EO179" i="1"/>
  <c r="CK179" i="1"/>
  <c r="CJ179" i="1"/>
  <c r="EP178" i="1"/>
  <c r="EO178" i="1"/>
  <c r="CK178" i="1"/>
  <c r="CJ178" i="1"/>
  <c r="EP177" i="1"/>
  <c r="EO177" i="1"/>
  <c r="CG177" i="1"/>
  <c r="CK177" i="1" s="1"/>
  <c r="CE177" i="1"/>
  <c r="CN177" i="1" s="1"/>
  <c r="EP176" i="1"/>
  <c r="EO176" i="1"/>
  <c r="DD176" i="1"/>
  <c r="EM176" i="1" s="1"/>
  <c r="CK176" i="1"/>
  <c r="CJ176" i="1"/>
  <c r="AO176" i="1"/>
  <c r="AJ176" i="1"/>
  <c r="AE176" i="1"/>
  <c r="EP175" i="1"/>
  <c r="EO175" i="1"/>
  <c r="DD175" i="1"/>
  <c r="EM175" i="1" s="1"/>
  <c r="CK175" i="1"/>
  <c r="CJ175" i="1"/>
  <c r="BO175" i="1"/>
  <c r="BK175" i="1"/>
  <c r="AO175" i="1"/>
  <c r="CM175" i="1" s="1"/>
  <c r="AJ175" i="1"/>
  <c r="AE175" i="1"/>
  <c r="EP174" i="1"/>
  <c r="EO174" i="1"/>
  <c r="DD174" i="1"/>
  <c r="EM174" i="1" s="1"/>
  <c r="CK174" i="1"/>
  <c r="CJ174" i="1"/>
  <c r="AO174" i="1"/>
  <c r="AJ174" i="1"/>
  <c r="AE174" i="1"/>
  <c r="EP173" i="1"/>
  <c r="EO173" i="1"/>
  <c r="DD173" i="1"/>
  <c r="EM173" i="1" s="1"/>
  <c r="CG173" i="1"/>
  <c r="BO173" i="1"/>
  <c r="BM173" i="1"/>
  <c r="BK173" i="1"/>
  <c r="BE173" i="1"/>
  <c r="AO173" i="1"/>
  <c r="CM173" i="1" s="1"/>
  <c r="AJ173" i="1"/>
  <c r="AE173" i="1"/>
  <c r="CK173" i="1" l="1"/>
  <c r="AP174" i="1"/>
  <c r="AP175" i="1"/>
  <c r="BS180" i="1"/>
  <c r="AP176" i="1"/>
  <c r="BS173" i="1"/>
  <c r="CE173" i="1" s="1"/>
  <c r="AP173" i="1"/>
  <c r="CJ173" i="1"/>
  <c r="CJ177" i="1"/>
  <c r="BS175" i="1"/>
  <c r="CE175" i="1" s="1"/>
  <c r="CN173" i="1" l="1"/>
  <c r="CN175" i="1"/>
  <c r="CG171" i="1"/>
  <c r="BS171" i="1"/>
  <c r="CG168" i="1"/>
  <c r="BO168" i="1"/>
  <c r="BM168" i="1"/>
  <c r="BK168" i="1"/>
  <c r="CG165" i="1"/>
  <c r="BO165" i="1"/>
  <c r="BM165" i="1"/>
  <c r="BK165" i="1"/>
  <c r="CE165" i="1" l="1"/>
  <c r="CN165" i="1" s="1"/>
  <c r="CE168" i="1"/>
  <c r="CN168" i="1" s="1"/>
  <c r="BS165" i="1"/>
  <c r="BS168" i="1"/>
  <c r="EP148" i="1" l="1"/>
  <c r="EO148" i="1"/>
  <c r="CK148" i="1"/>
  <c r="CJ148" i="1"/>
  <c r="EP147" i="1"/>
  <c r="EO147" i="1"/>
  <c r="CK147" i="1"/>
  <c r="CJ147" i="1"/>
  <c r="BO147" i="1"/>
  <c r="EP146" i="1"/>
  <c r="EO146" i="1"/>
  <c r="CK146" i="1"/>
  <c r="CJ146" i="1"/>
  <c r="EP145" i="1"/>
  <c r="EO145" i="1"/>
  <c r="CK145" i="1"/>
  <c r="CJ145" i="1"/>
  <c r="BM145" i="1"/>
  <c r="BK145" i="1"/>
  <c r="BI145" i="1"/>
  <c r="BE145" i="1"/>
  <c r="BC145" i="1"/>
  <c r="BA145" i="1"/>
  <c r="AW145" i="1"/>
  <c r="AU145" i="1"/>
  <c r="AS145" i="1"/>
  <c r="AQ145" i="1"/>
  <c r="EP144" i="1"/>
  <c r="EO144" i="1"/>
  <c r="CK144" i="1"/>
  <c r="CJ144" i="1"/>
  <c r="EP143" i="1"/>
  <c r="EO143" i="1"/>
  <c r="CK143" i="1"/>
  <c r="CJ143" i="1"/>
  <c r="EP142" i="1"/>
  <c r="EO142" i="1"/>
  <c r="CK142" i="1"/>
  <c r="CJ142" i="1"/>
  <c r="EP141" i="1"/>
  <c r="EO141" i="1"/>
  <c r="CG141" i="1"/>
  <c r="CJ141" i="1" s="1"/>
  <c r="BM141" i="1"/>
  <c r="BK141" i="1"/>
  <c r="BE141" i="1"/>
  <c r="BC141" i="1"/>
  <c r="BA141" i="1"/>
  <c r="AW141" i="1"/>
  <c r="AU141" i="1"/>
  <c r="AS141" i="1"/>
  <c r="AQ141" i="1"/>
  <c r="EP140" i="1"/>
  <c r="EO140" i="1"/>
  <c r="CK140" i="1"/>
  <c r="CJ140" i="1"/>
  <c r="EP139" i="1"/>
  <c r="EO139" i="1"/>
  <c r="CK139" i="1"/>
  <c r="CJ139" i="1"/>
  <c r="EP138" i="1"/>
  <c r="EO138" i="1"/>
  <c r="CK138" i="1"/>
  <c r="CJ138" i="1"/>
  <c r="BO138" i="1"/>
  <c r="BM138" i="1"/>
  <c r="BK138" i="1"/>
  <c r="BE138" i="1"/>
  <c r="BC138" i="1"/>
  <c r="BA138" i="1"/>
  <c r="AW138" i="1"/>
  <c r="AU138" i="1"/>
  <c r="AS138" i="1"/>
  <c r="AQ138" i="1"/>
  <c r="AJ138" i="1"/>
  <c r="EP137" i="1"/>
  <c r="EO137" i="1"/>
  <c r="CK137" i="1"/>
  <c r="CJ137" i="1"/>
  <c r="EP136" i="1"/>
  <c r="EO136" i="1"/>
  <c r="CK136" i="1"/>
  <c r="CJ136" i="1"/>
  <c r="EP135" i="1"/>
  <c r="EO135" i="1"/>
  <c r="CK135" i="1"/>
  <c r="CJ135" i="1"/>
  <c r="BO135" i="1"/>
  <c r="BM135" i="1"/>
  <c r="BK135" i="1"/>
  <c r="BI135" i="1"/>
  <c r="BE135" i="1"/>
  <c r="BC135" i="1"/>
  <c r="BA135" i="1"/>
  <c r="AW135" i="1"/>
  <c r="AU135" i="1"/>
  <c r="AS135" i="1"/>
  <c r="AQ135" i="1"/>
  <c r="EP134" i="1"/>
  <c r="EO134" i="1"/>
  <c r="CK134" i="1"/>
  <c r="CJ134" i="1"/>
  <c r="EP133" i="1"/>
  <c r="EO133" i="1"/>
  <c r="CK133" i="1"/>
  <c r="CJ133" i="1"/>
  <c r="EP132" i="1"/>
  <c r="EO132" i="1"/>
  <c r="CK132" i="1"/>
  <c r="CJ132" i="1"/>
  <c r="EP131" i="1"/>
  <c r="EO131" i="1"/>
  <c r="CK131" i="1"/>
  <c r="CJ131" i="1"/>
  <c r="EP130" i="1"/>
  <c r="EO130" i="1"/>
  <c r="CK130" i="1"/>
  <c r="CJ130" i="1"/>
  <c r="EP129" i="1"/>
  <c r="EO129" i="1"/>
  <c r="CK129" i="1"/>
  <c r="CJ129" i="1"/>
  <c r="EP128" i="1"/>
  <c r="EO128" i="1"/>
  <c r="CK128" i="1"/>
  <c r="CJ128" i="1"/>
  <c r="EP127" i="1"/>
  <c r="EO127" i="1"/>
  <c r="CK127" i="1"/>
  <c r="CJ127" i="1"/>
  <c r="EP126" i="1"/>
  <c r="EO126" i="1"/>
  <c r="CK126" i="1"/>
  <c r="CJ126" i="1"/>
  <c r="EP125" i="1"/>
  <c r="EO125" i="1"/>
  <c r="CK125" i="1"/>
  <c r="CJ125" i="1"/>
  <c r="EP124" i="1"/>
  <c r="EO124" i="1"/>
  <c r="CG124" i="1"/>
  <c r="CK124" i="1" s="1"/>
  <c r="BM124" i="1"/>
  <c r="BK124" i="1"/>
  <c r="BI124" i="1"/>
  <c r="BE124" i="1"/>
  <c r="BC124" i="1"/>
  <c r="BA124" i="1"/>
  <c r="AW124" i="1"/>
  <c r="AU124" i="1"/>
  <c r="AS124" i="1"/>
  <c r="AQ124" i="1"/>
  <c r="AJ124" i="1"/>
  <c r="EP123" i="1"/>
  <c r="EO123" i="1"/>
  <c r="CK123" i="1"/>
  <c r="CJ123" i="1"/>
  <c r="EP122" i="1"/>
  <c r="EO122" i="1"/>
  <c r="DD122" i="1"/>
  <c r="EM122" i="1" s="1"/>
  <c r="CK122" i="1"/>
  <c r="CJ122" i="1"/>
  <c r="EP121" i="1"/>
  <c r="EO121" i="1"/>
  <c r="CG121" i="1"/>
  <c r="BO121" i="1"/>
  <c r="BM121" i="1"/>
  <c r="BK121" i="1"/>
  <c r="BE121" i="1"/>
  <c r="BC121" i="1"/>
  <c r="BA121" i="1"/>
  <c r="AW121" i="1"/>
  <c r="AU121" i="1"/>
  <c r="AS121" i="1"/>
  <c r="AQ121" i="1"/>
  <c r="CK121" i="1" l="1"/>
  <c r="AY124" i="1"/>
  <c r="CJ124" i="1"/>
  <c r="BI121" i="1"/>
  <c r="AY135" i="1"/>
  <c r="AY138" i="1"/>
  <c r="AY121" i="1"/>
  <c r="CK141" i="1"/>
  <c r="BI138" i="1"/>
  <c r="CJ121" i="1"/>
  <c r="CK120" i="1" l="1"/>
  <c r="CJ120" i="1"/>
  <c r="CK119" i="1"/>
  <c r="CJ119" i="1"/>
  <c r="BI119" i="1"/>
  <c r="AY119" i="1"/>
  <c r="AJ119" i="1"/>
  <c r="AE119" i="1"/>
  <c r="Z119" i="1"/>
  <c r="CK118" i="1"/>
  <c r="CJ118" i="1"/>
  <c r="BI118" i="1"/>
  <c r="AY118" i="1"/>
  <c r="AE118" i="1"/>
  <c r="CK117" i="1"/>
  <c r="CJ117" i="1"/>
  <c r="CK116" i="1"/>
  <c r="CJ116" i="1"/>
  <c r="CK115" i="1"/>
  <c r="CJ115" i="1"/>
  <c r="CK114" i="1"/>
  <c r="CJ114" i="1"/>
  <c r="CK113" i="1"/>
  <c r="CJ113" i="1"/>
  <c r="CK112" i="1"/>
  <c r="CJ112" i="1"/>
  <c r="CK111" i="1"/>
  <c r="CJ111" i="1"/>
  <c r="BS111" i="1"/>
  <c r="BO111" i="1"/>
  <c r="BM111" i="1"/>
  <c r="BK111" i="1"/>
  <c r="BI111" i="1"/>
  <c r="BG111" i="1"/>
  <c r="BE111" i="1"/>
  <c r="BC111" i="1"/>
  <c r="BA111" i="1"/>
  <c r="AY111" i="1"/>
  <c r="AW111" i="1"/>
  <c r="AU111" i="1"/>
  <c r="AS111" i="1"/>
  <c r="AQ111" i="1"/>
  <c r="CE118" i="1" l="1"/>
  <c r="CN118" i="1" s="1"/>
  <c r="CE111" i="1"/>
  <c r="CN111" i="1" s="1"/>
  <c r="CE119" i="1"/>
  <c r="CN119" i="1" s="1"/>
  <c r="EP110" i="1"/>
  <c r="EO110" i="1"/>
  <c r="DD110" i="1"/>
  <c r="EM110" i="1" s="1"/>
  <c r="CK110" i="1"/>
  <c r="CJ110" i="1"/>
  <c r="EP109" i="1"/>
  <c r="EO109" i="1"/>
  <c r="DD109" i="1"/>
  <c r="EM109" i="1" s="1"/>
  <c r="CK109" i="1"/>
  <c r="CJ109" i="1"/>
  <c r="EP108" i="1"/>
  <c r="EO108" i="1"/>
  <c r="DD108" i="1"/>
  <c r="EM108" i="1" s="1"/>
  <c r="CK108" i="1"/>
  <c r="CJ108" i="1"/>
  <c r="EP107" i="1"/>
  <c r="EO107" i="1"/>
  <c r="DD107" i="1"/>
  <c r="EM107" i="1" s="1"/>
  <c r="CK107" i="1"/>
  <c r="CJ107" i="1"/>
  <c r="EP106" i="1"/>
  <c r="EO106" i="1"/>
  <c r="DD106" i="1"/>
  <c r="EM106" i="1" s="1"/>
  <c r="CK106" i="1"/>
  <c r="CJ106" i="1"/>
  <c r="EP105" i="1"/>
  <c r="EO105" i="1"/>
  <c r="DD105" i="1"/>
  <c r="EM105" i="1" s="1"/>
  <c r="CK105" i="1"/>
  <c r="CJ105" i="1"/>
  <c r="EP104" i="1"/>
  <c r="EO104" i="1"/>
  <c r="DD104" i="1"/>
  <c r="EM104" i="1" s="1"/>
  <c r="CK104" i="1"/>
  <c r="CJ104" i="1"/>
  <c r="EP103" i="1"/>
  <c r="EO103" i="1"/>
  <c r="DD103" i="1"/>
  <c r="EM103" i="1" s="1"/>
  <c r="CG103" i="1"/>
  <c r="BK103" i="1"/>
  <c r="BE103" i="1"/>
  <c r="CK103" i="1" l="1"/>
  <c r="CJ103" i="1"/>
  <c r="BE94" i="1" l="1"/>
  <c r="BI94" i="1" s="1"/>
  <c r="DD93" i="1"/>
  <c r="EM93" i="1" s="1"/>
  <c r="DD92" i="1"/>
  <c r="EM92" i="1" s="1"/>
  <c r="BE92" i="1"/>
  <c r="BI92" i="1" s="1"/>
  <c r="CE92" i="1" s="1"/>
  <c r="CN92" i="1" s="1"/>
  <c r="DD91" i="1" l="1"/>
  <c r="EM91" i="1" s="1"/>
  <c r="AO91" i="1"/>
  <c r="AJ91" i="1"/>
  <c r="AI91" i="1"/>
  <c r="AE91" i="1"/>
  <c r="AD91" i="1"/>
  <c r="Z91" i="1"/>
  <c r="Y91" i="1"/>
  <c r="DD90" i="1"/>
  <c r="EM90" i="1" s="1"/>
  <c r="AO90" i="1"/>
  <c r="AJ90" i="1"/>
  <c r="AI90" i="1"/>
  <c r="AE90" i="1"/>
  <c r="AD90" i="1"/>
  <c r="Z90" i="1"/>
  <c r="Y90" i="1"/>
  <c r="DD89" i="1"/>
  <c r="EM89" i="1" s="1"/>
  <c r="AO89" i="1"/>
  <c r="AJ89" i="1"/>
  <c r="AI89" i="1"/>
  <c r="AE89" i="1"/>
  <c r="AD89" i="1"/>
  <c r="Z89" i="1"/>
  <c r="Y89" i="1"/>
  <c r="DD88" i="1"/>
  <c r="EM88" i="1" s="1"/>
  <c r="CG88" i="1"/>
  <c r="BM88" i="1"/>
  <c r="BI88" i="1"/>
  <c r="BE88" i="1"/>
  <c r="AO88" i="1"/>
  <c r="AJ88" i="1"/>
  <c r="AI88" i="1"/>
  <c r="AE88" i="1"/>
  <c r="AD88" i="1"/>
  <c r="Z88" i="1"/>
  <c r="Y88" i="1"/>
  <c r="DD87" i="1"/>
  <c r="EM87" i="1" s="1"/>
  <c r="DD86" i="1"/>
  <c r="EM86" i="1" s="1"/>
  <c r="CG86" i="1"/>
  <c r="AO86" i="1"/>
  <c r="CM86" i="1" s="1"/>
  <c r="AJ86" i="1"/>
  <c r="Z86" i="1"/>
  <c r="DD83" i="1"/>
  <c r="EM83" i="1" s="1"/>
  <c r="CG81" i="1"/>
  <c r="BO81" i="1"/>
  <c r="BM81" i="1"/>
  <c r="BI81" i="1"/>
  <c r="BG81" i="1"/>
  <c r="AP81" i="1"/>
  <c r="CN81" i="1" s="1"/>
  <c r="CG75" i="1"/>
  <c r="BO75" i="1"/>
  <c r="BM75" i="1"/>
  <c r="AE75" i="1"/>
  <c r="AP75" i="1" s="1"/>
  <c r="CN75" i="1" s="1"/>
  <c r="AP88" i="1" l="1"/>
  <c r="CN88" i="1" s="1"/>
  <c r="EP22" i="1" l="1"/>
  <c r="EO22" i="1"/>
  <c r="CK22" i="1"/>
  <c r="CJ22" i="1"/>
  <c r="EP21" i="1"/>
  <c r="EO21" i="1"/>
  <c r="CK21" i="1"/>
  <c r="CJ21" i="1"/>
  <c r="BM21" i="1"/>
  <c r="BK21" i="1"/>
  <c r="BI21" i="1"/>
  <c r="BG21" i="1"/>
  <c r="BE21" i="1"/>
  <c r="BC21" i="1"/>
  <c r="BA21" i="1"/>
  <c r="AY21" i="1"/>
  <c r="AW21" i="1"/>
  <c r="AU21" i="1"/>
  <c r="AS21" i="1"/>
  <c r="AQ21" i="1"/>
  <c r="EP20" i="1"/>
  <c r="EO20" i="1"/>
  <c r="CK20" i="1"/>
  <c r="CJ20" i="1"/>
  <c r="EP19" i="1"/>
  <c r="EO19" i="1"/>
  <c r="CK19" i="1"/>
  <c r="CJ19" i="1"/>
  <c r="EP18" i="1"/>
  <c r="EO18" i="1"/>
  <c r="CK18" i="1"/>
  <c r="CJ18" i="1"/>
  <c r="EP17" i="1"/>
  <c r="EO17" i="1"/>
  <c r="CK17" i="1"/>
  <c r="CJ17" i="1"/>
  <c r="EP16" i="1"/>
  <c r="EO16" i="1"/>
  <c r="CK16" i="1"/>
  <c r="CJ16" i="1"/>
  <c r="BO16" i="1"/>
  <c r="BM16" i="1"/>
  <c r="BK16" i="1"/>
  <c r="BG16" i="1"/>
  <c r="BI16" i="1" s="1"/>
  <c r="BE16" i="1"/>
  <c r="BC16" i="1"/>
  <c r="BA16" i="1"/>
  <c r="AY16" i="1"/>
  <c r="AW16" i="1"/>
  <c r="AU16" i="1"/>
  <c r="AS16" i="1"/>
  <c r="AQ16" i="1"/>
  <c r="D108" i="5" l="1"/>
  <c r="J108" i="5"/>
  <c r="I108" i="5"/>
  <c r="H108" i="5"/>
  <c r="G108" i="5"/>
  <c r="F108" i="5"/>
  <c r="C108" i="5"/>
  <c r="R79" i="5" l="1"/>
  <c r="Q79" i="5"/>
  <c r="P79" i="5"/>
  <c r="O79" i="5"/>
  <c r="N79" i="5"/>
  <c r="M79" i="5"/>
  <c r="L79" i="5"/>
  <c r="K79" i="5"/>
  <c r="J79" i="5"/>
  <c r="I79" i="5"/>
  <c r="H79" i="5"/>
  <c r="G79" i="5"/>
  <c r="R68" i="5"/>
  <c r="Q68" i="5"/>
  <c r="P68" i="5"/>
  <c r="O68" i="5"/>
  <c r="N68" i="5"/>
  <c r="M68" i="5"/>
  <c r="L68" i="5"/>
  <c r="K68" i="5"/>
  <c r="J68" i="5"/>
  <c r="I68" i="5"/>
  <c r="H68" i="5"/>
  <c r="G68" i="5"/>
  <c r="R57" i="5"/>
  <c r="Q57" i="5"/>
  <c r="P57" i="5"/>
  <c r="O57" i="5"/>
  <c r="N57" i="5"/>
  <c r="M57" i="5"/>
  <c r="L57" i="5"/>
  <c r="K57" i="5"/>
  <c r="J57" i="5"/>
  <c r="I57" i="5"/>
  <c r="H57" i="5"/>
  <c r="G57" i="5"/>
  <c r="R46" i="5"/>
  <c r="Q46" i="5"/>
  <c r="P46" i="5"/>
  <c r="O46" i="5"/>
  <c r="N46" i="5"/>
  <c r="M46" i="5"/>
  <c r="L46" i="5"/>
  <c r="K46" i="5"/>
  <c r="J46" i="5"/>
  <c r="I46" i="5"/>
  <c r="H46" i="5"/>
  <c r="G46" i="5"/>
  <c r="R32" i="5"/>
  <c r="Q32" i="5"/>
  <c r="P32" i="5"/>
  <c r="O32" i="5"/>
  <c r="N32" i="5"/>
  <c r="M32" i="5"/>
  <c r="L32" i="5"/>
  <c r="K32" i="5"/>
  <c r="J32" i="5"/>
  <c r="I32" i="5"/>
  <c r="H32" i="5"/>
  <c r="G32" i="5"/>
  <c r="E90" i="5" l="1"/>
  <c r="E87" i="5"/>
  <c r="E88" i="5"/>
  <c r="E89" i="5"/>
  <c r="E93" i="5"/>
  <c r="E92" i="5"/>
  <c r="C57" i="5" l="1"/>
  <c r="F57" i="5"/>
  <c r="V57" i="5"/>
  <c r="F68" i="5"/>
  <c r="F79" i="5"/>
  <c r="C68" i="5"/>
  <c r="C46" i="5"/>
  <c r="F46" i="5"/>
  <c r="C79" i="5"/>
  <c r="E91" i="5"/>
  <c r="E86" i="5"/>
  <c r="E107" i="5"/>
  <c r="E101" i="5"/>
  <c r="E95" i="5"/>
  <c r="E106" i="5"/>
  <c r="E100" i="5"/>
  <c r="E105" i="5"/>
  <c r="E99" i="5"/>
  <c r="E104" i="5"/>
  <c r="E96" i="5"/>
  <c r="E103" i="5"/>
  <c r="E98" i="5"/>
  <c r="V68" i="5" l="1"/>
  <c r="S46" i="5"/>
  <c r="E85" i="5"/>
  <c r="S68" i="5"/>
  <c r="E97" i="5"/>
  <c r="V46" i="5"/>
  <c r="S57" i="5"/>
  <c r="E94" i="5"/>
  <c r="V79" i="5"/>
  <c r="S79" i="5"/>
  <c r="E102" i="5"/>
  <c r="E108" i="5" l="1"/>
  <c r="S32" i="5" l="1"/>
  <c r="E57" i="5"/>
  <c r="U32" i="5"/>
  <c r="U57" i="5"/>
  <c r="T32" i="5"/>
  <c r="D32" i="5"/>
  <c r="C32" i="5"/>
  <c r="F32" i="5"/>
  <c r="V32" i="5"/>
  <c r="E32" i="5"/>
  <c r="D46" i="5"/>
  <c r="T57" i="5"/>
  <c r="U46" i="5"/>
  <c r="U68" i="5"/>
  <c r="D79" i="5"/>
  <c r="D68" i="5"/>
  <c r="U79" i="5"/>
  <c r="T68" i="5"/>
  <c r="E79" i="5"/>
  <c r="T46" i="5"/>
  <c r="D57" i="5"/>
  <c r="E46" i="5"/>
  <c r="E68" i="5"/>
  <c r="T7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Vitalia Vivas Perez</author>
    <author>Maria Alejandra Avellaneda Chaves</author>
    <author>LENOVO</author>
    <author>tc={8B6C3CA4-4E74-4C86-A242-779E89419903}</author>
    <author>tc={7F779535-0938-40C6-8655-B8302B09E5F6}</author>
    <author>tc={B00B272E-2FDD-4999-BBFC-802F3D64C824}</author>
    <author>tc={D6A8615E-D626-4615-899D-DADA83E5B96A}</author>
    <author>tc={6668DB61-15B9-43B5-BD72-AF75C1C2580D}</author>
    <author>tc={4336D6A1-07D2-4263-A4CD-2C49ECD04264}</author>
    <author>tc={28DC08D5-09EC-4187-9F45-675916ACB097}</author>
    <author>tc={91356047-5F97-44AF-BBC8-80899C51ADDA}</author>
    <author>tc={95BDE081-1276-42A4-85D5-E6531B5E9222}</author>
    <author>tc={CF3235F1-F1B0-465E-93F4-054E6A98DD08}</author>
    <author>tc={AA0E14D5-729B-4B58-999E-7F5E6702893C}</author>
    <author>Freddy Gutierrez</author>
    <author>Javi Abello</author>
    <author>Javier Leonardo Abello Aldana</author>
    <author>ADMIN</author>
    <author>Nubia Stella Chacon Veloza</author>
  </authors>
  <commentList>
    <comment ref="EH14" authorId="0" shapeId="0" xr:uid="{FF550505-7FBD-44AF-9BC9-C4DBEAFD86BF}">
      <text>
        <r>
          <rPr>
            <b/>
            <sz val="9"/>
            <color indexed="81"/>
            <rFont val="Tahoma"/>
            <family val="2"/>
          </rPr>
          <t>Diana Vitalia Vivas Perez:</t>
        </r>
        <r>
          <rPr>
            <sz val="9"/>
            <color indexed="81"/>
            <rFont val="Tahoma"/>
            <family val="2"/>
          </rPr>
          <t xml:space="preserve">
Ajustar a la vigencia correspondiente</t>
        </r>
      </text>
    </comment>
    <comment ref="AZ15" authorId="1" shapeId="0" xr:uid="{A4F14A03-F86C-44BE-8A3E-B176240F742E}">
      <text>
        <r>
          <rPr>
            <b/>
            <sz val="9"/>
            <color indexed="81"/>
            <rFont val="Tahoma"/>
            <family val="2"/>
          </rPr>
          <t>Maria Alejandra Avellaneda Chaves:</t>
        </r>
        <r>
          <rPr>
            <sz val="9"/>
            <color indexed="81"/>
            <rFont val="Tahoma"/>
            <family val="2"/>
          </rPr>
          <t xml:space="preserve">
Máximo 350 caracteres</t>
        </r>
      </text>
    </comment>
    <comment ref="BJ15" authorId="1" shapeId="0" xr:uid="{DD7A2BC9-A69D-4949-A89A-50B2F8EF359A}">
      <text>
        <r>
          <rPr>
            <b/>
            <sz val="9"/>
            <color indexed="81"/>
            <rFont val="Tahoma"/>
            <family val="2"/>
          </rPr>
          <t>Maria Alejandra Avellaneda Chaves:</t>
        </r>
        <r>
          <rPr>
            <sz val="9"/>
            <color indexed="81"/>
            <rFont val="Tahoma"/>
            <family val="2"/>
          </rPr>
          <t xml:space="preserve">
Máximo 350 caracteres</t>
        </r>
      </text>
    </comment>
    <comment ref="BT15" authorId="1" shapeId="0" xr:uid="{E9B7635F-A983-4596-9E42-19DDEE58C85C}">
      <text>
        <r>
          <rPr>
            <b/>
            <sz val="9"/>
            <color indexed="81"/>
            <rFont val="Tahoma"/>
            <family val="2"/>
          </rPr>
          <t>Maria Alejandra Avellaneda Chaves:</t>
        </r>
        <r>
          <rPr>
            <sz val="9"/>
            <color indexed="81"/>
            <rFont val="Tahoma"/>
            <family val="2"/>
          </rPr>
          <t xml:space="preserve">
Máximo 350 caracteres</t>
        </r>
      </text>
    </comment>
    <comment ref="CD15" authorId="1" shapeId="0" xr:uid="{572E4F74-E398-40B7-869F-23DB051DCD8C}">
      <text>
        <r>
          <rPr>
            <b/>
            <sz val="9"/>
            <color indexed="81"/>
            <rFont val="Tahoma"/>
            <family val="2"/>
          </rPr>
          <t>Maria Alejandra Avellaneda Chaves:</t>
        </r>
        <r>
          <rPr>
            <sz val="9"/>
            <color indexed="81"/>
            <rFont val="Tahoma"/>
            <family val="2"/>
          </rPr>
          <t xml:space="preserve">
Máximo 350 caracteres</t>
        </r>
      </text>
    </comment>
    <comment ref="BE81" authorId="2" shapeId="0" xr:uid="{D6E781A3-3668-439C-A77B-4F034D6E492A}">
      <text>
        <r>
          <rPr>
            <b/>
            <sz val="9"/>
            <color indexed="81"/>
            <rFont val="Tahoma"/>
            <family val="2"/>
          </rPr>
          <t>LENOVO:</t>
        </r>
        <r>
          <rPr>
            <sz val="9"/>
            <color indexed="81"/>
            <rFont val="Tahoma"/>
            <family val="2"/>
          </rPr>
          <t xml:space="preserve">
Colocar el porcentaje de la acción </t>
        </r>
      </text>
    </comment>
    <comment ref="DI213" authorId="3" shapeId="0" xr:uid="{8B6C3CA4-4E74-4C86-A242-779E89419903}">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Actividad asociada a los Indicadores de proceso según formulación 2026.</t>
        </r>
      </text>
    </comment>
    <comment ref="CP223" authorId="4" shapeId="0" xr:uid="{7F779535-0938-40C6-8655-B8302B09E5F6}">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“en el marco del componente de corresponsabilidad.”</t>
        </r>
      </text>
    </comment>
    <comment ref="CS223" authorId="5" shapeId="0" xr:uid="{B00B272E-2FDD-4999-BBFC-802F3D64C82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la fórmula del indicador</t>
        </r>
      </text>
    </comment>
    <comment ref="CZ223" authorId="6" shapeId="0" xr:uid="{D6A8615E-D626-4615-899D-DADA83E5B96A}">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meta se ajusta al 100%</t>
        </r>
      </text>
    </comment>
    <comment ref="DB223" authorId="7" shapeId="0" xr:uid="{6668DB61-15B9-43B5-BD72-AF75C1C2580D}">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La meta se ajusta al 100%</t>
        </r>
      </text>
    </comment>
    <comment ref="DI229" authorId="8" shapeId="0" xr:uid="{4336D6A1-07D2-4263-A4CD-2C49ECD0426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Para esta actividad No Aplica, toda vez que no está asociada a ningún proceso, de acuerdo con la nueva formulación de Indicadores de Proceso para 2026.</t>
        </r>
      </text>
    </comment>
    <comment ref="CY252" authorId="9" shapeId="0" xr:uid="{28DC08D5-09EC-4187-9F45-675916ACB097}">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t>
        </r>
      </text>
    </comment>
    <comment ref="CY253" authorId="10" shapeId="0" xr:uid="{91356047-5F97-44AF-BBC8-80899C51ADDA}">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t>
        </r>
      </text>
    </comment>
    <comment ref="CY254" authorId="11" shapeId="0" xr:uid="{95BDE081-1276-42A4-85D5-E6531B5E9222}">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t>
        </r>
      </text>
    </comment>
    <comment ref="CP255" authorId="12" shapeId="0" xr:uid="{CF3235F1-F1B0-465E-93F4-054E6A98DD08}">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el orden de las actividades de la 15.1 a la 15.8.</t>
        </r>
      </text>
    </comment>
    <comment ref="CY260" authorId="13" shapeId="0" xr:uid="{AA0E14D5-729B-4B58-999E-7F5E6702893C}">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fecha</t>
        </r>
      </text>
    </comment>
    <comment ref="AF329" authorId="14" shapeId="0" xr:uid="{777BB9F8-6D74-44E1-95F2-2E814D49B535}">
      <text>
        <r>
          <rPr>
            <b/>
            <sz val="9"/>
            <color indexed="81"/>
            <rFont val="Tahoma"/>
            <family val="2"/>
          </rPr>
          <t>Freddy Gutierrez:</t>
        </r>
        <r>
          <rPr>
            <sz val="9"/>
            <color indexed="81"/>
            <rFont val="Tahoma"/>
            <family val="2"/>
          </rPr>
          <t xml:space="preserve">
Para el primer trimestre de 2025 se financian 5 proyectos con recursos 2025, y los restantes 37 se siguen financiando con recursos de vigencias anteriores</t>
        </r>
      </text>
    </comment>
    <comment ref="AO329" authorId="14" shapeId="0" xr:uid="{CB587098-9FE4-45F8-8637-AB609B02E611}">
      <text>
        <r>
          <rPr>
            <b/>
            <sz val="9"/>
            <color indexed="81"/>
            <rFont val="Tahoma"/>
            <family val="2"/>
          </rPr>
          <t>Freddy Gutierrez:</t>
        </r>
        <r>
          <rPr>
            <sz val="9"/>
            <color indexed="81"/>
            <rFont val="Tahoma"/>
            <family val="2"/>
          </rPr>
          <t xml:space="preserve">
Para el 2026 se financian 4 proyectos con recursos 2026, y los restantes 38 se siguen financiando con recursos de vigencias anteriores</t>
        </r>
      </text>
    </comment>
    <comment ref="AP329" authorId="14" shapeId="0" xr:uid="{ECB5B133-6B7D-45B6-85AB-03967944AFA3}">
      <text>
        <r>
          <rPr>
            <b/>
            <sz val="9"/>
            <color indexed="81"/>
            <rFont val="Tahoma"/>
            <family val="2"/>
          </rPr>
          <t>Freddy Gutierrez:</t>
        </r>
        <r>
          <rPr>
            <sz val="9"/>
            <color indexed="81"/>
            <rFont val="Tahoma"/>
            <family val="2"/>
          </rPr>
          <t xml:space="preserve">
Al final del cuatrienio se financia un total de 42 proyectos con recursos de diferentes vigencias, en el marco del CONPES 4097 a través de la ejecucion de los recursos del proyecto de inversion 2022011000002.</t>
        </r>
      </text>
    </comment>
    <comment ref="DY346" authorId="15" shapeId="0" xr:uid="{B879F014-0E3C-42EA-8DA6-96B170A82A48}">
      <text>
        <r>
          <rPr>
            <b/>
            <sz val="9"/>
            <color indexed="81"/>
            <rFont val="Tahoma"/>
            <family val="2"/>
          </rPr>
          <t>Javi Abello:</t>
        </r>
        <r>
          <rPr>
            <sz val="9"/>
            <color indexed="81"/>
            <rFont val="Tahoma"/>
            <family val="2"/>
          </rPr>
          <t xml:space="preserve">
</t>
        </r>
      </text>
    </comment>
    <comment ref="DA401" authorId="16" shapeId="0" xr:uid="{BF133543-5CF5-4C3A-9E40-00C074441BA8}">
      <text>
        <r>
          <rPr>
            <b/>
            <sz val="9"/>
            <color indexed="81"/>
            <rFont val="Tahoma"/>
            <family val="2"/>
          </rPr>
          <t>H1 20%</t>
        </r>
      </text>
    </comment>
    <comment ref="DA406" authorId="16" shapeId="0" xr:uid="{89959338-1972-4FFC-BA76-C90DA4AC4802}">
      <text>
        <r>
          <rPr>
            <b/>
            <sz val="9"/>
            <color indexed="81"/>
            <rFont val="Tahoma"/>
            <family val="2"/>
          </rPr>
          <t>H1</t>
        </r>
        <r>
          <rPr>
            <sz val="9"/>
            <color indexed="81"/>
            <rFont val="Tahoma"/>
            <family val="2"/>
          </rPr>
          <t xml:space="preserve">
</t>
        </r>
      </text>
    </comment>
    <comment ref="DB406" authorId="16" shapeId="0" xr:uid="{79BCF561-169B-4875-B6F0-83BCBDDA2811}">
      <text>
        <r>
          <rPr>
            <b/>
            <sz val="9"/>
            <color indexed="81"/>
            <rFont val="Tahoma"/>
            <family val="2"/>
          </rPr>
          <t>H2</t>
        </r>
        <r>
          <rPr>
            <sz val="9"/>
            <color indexed="81"/>
            <rFont val="Tahoma"/>
            <family val="2"/>
          </rPr>
          <t xml:space="preserve">
</t>
        </r>
      </text>
    </comment>
    <comment ref="DA408" authorId="17" shapeId="0" xr:uid="{0D7616C3-824D-4E1C-97B0-D56B4831BF67}">
      <text>
        <r>
          <rPr>
            <b/>
            <sz val="9"/>
            <color indexed="81"/>
            <rFont val="Tahoma"/>
            <family val="2"/>
          </rPr>
          <t>ADMIN:</t>
        </r>
        <r>
          <rPr>
            <sz val="9"/>
            <color indexed="81"/>
            <rFont val="Tahoma"/>
            <family val="2"/>
          </rPr>
          <t xml:space="preserve">
Hito 1</t>
        </r>
      </text>
    </comment>
    <comment ref="DB408" authorId="17" shapeId="0" xr:uid="{5AC3AA71-7A5E-45C9-90F1-DAB95B3FB72F}">
      <text>
        <r>
          <rPr>
            <b/>
            <sz val="9"/>
            <color indexed="81"/>
            <rFont val="Tahoma"/>
            <family val="2"/>
          </rPr>
          <t>ADMIN:</t>
        </r>
        <r>
          <rPr>
            <sz val="9"/>
            <color indexed="81"/>
            <rFont val="Tahoma"/>
            <family val="2"/>
          </rPr>
          <t xml:space="preserve">
Hito 2 =20%
Hito 3=15%</t>
        </r>
      </text>
    </comment>
    <comment ref="DC408" authorId="17" shapeId="0" xr:uid="{7E3D34E0-6022-4880-8241-BA6A78C768FC}">
      <text>
        <r>
          <rPr>
            <b/>
            <sz val="9"/>
            <color indexed="81"/>
            <rFont val="Tahoma"/>
            <family val="2"/>
          </rPr>
          <t>ADMIN:</t>
        </r>
        <r>
          <rPr>
            <sz val="9"/>
            <color indexed="81"/>
            <rFont val="Tahoma"/>
            <family val="2"/>
          </rPr>
          <t xml:space="preserve">
Hito 4</t>
        </r>
      </text>
    </comment>
    <comment ref="DB410" authorId="16" shapeId="0" xr:uid="{EBC9A418-2363-4AEF-856D-F152239E5BC1}">
      <text>
        <r>
          <rPr>
            <b/>
            <sz val="9"/>
            <color indexed="81"/>
            <rFont val="Tahoma"/>
            <family val="2"/>
          </rPr>
          <t>H1:10%</t>
        </r>
        <r>
          <rPr>
            <sz val="9"/>
            <color indexed="81"/>
            <rFont val="Tahoma"/>
            <family val="2"/>
          </rPr>
          <t xml:space="preserve">
</t>
        </r>
      </text>
    </comment>
    <comment ref="DC410" authorId="16" shapeId="0" xr:uid="{E8EECB89-EECB-4E23-A031-CF03623B3C16}">
      <text>
        <r>
          <rPr>
            <b/>
            <sz val="9"/>
            <color indexed="81"/>
            <rFont val="Tahoma"/>
            <family val="2"/>
          </rPr>
          <t>H2: 25%
7 Consejos</t>
        </r>
      </text>
    </comment>
    <comment ref="CZ436" authorId="16" shapeId="0" xr:uid="{DB112514-0920-4596-9852-78B1DCE9D8CD}">
      <text>
        <r>
          <rPr>
            <b/>
            <sz val="9"/>
            <color indexed="81"/>
            <rFont val="Tahoma"/>
            <family val="2"/>
          </rPr>
          <t>H1</t>
        </r>
      </text>
    </comment>
    <comment ref="DA436" authorId="16" shapeId="0" xr:uid="{84204C50-F07C-4A11-A0DE-021BF65FB060}">
      <text>
        <r>
          <rPr>
            <b/>
            <sz val="9"/>
            <color indexed="81"/>
            <rFont val="Tahoma"/>
            <family val="2"/>
          </rPr>
          <t>H2</t>
        </r>
      </text>
    </comment>
    <comment ref="DB436" authorId="16" shapeId="0" xr:uid="{98D8F8D3-AC2A-44F2-A81C-35F1E1FB81B0}">
      <text>
        <r>
          <rPr>
            <b/>
            <sz val="9"/>
            <color indexed="81"/>
            <rFont val="Tahoma"/>
            <family val="2"/>
          </rPr>
          <t>H3</t>
        </r>
      </text>
    </comment>
    <comment ref="DC436" authorId="16" shapeId="0" xr:uid="{FF97C7A9-7146-4A2C-A27C-0F77DF0CA032}">
      <text>
        <r>
          <rPr>
            <b/>
            <sz val="9"/>
            <color indexed="81"/>
            <rFont val="Tahoma"/>
            <family val="2"/>
          </rPr>
          <t>H4</t>
        </r>
        <r>
          <rPr>
            <sz val="9"/>
            <color indexed="81"/>
            <rFont val="Tahoma"/>
            <family val="2"/>
          </rPr>
          <t xml:space="preserve">
</t>
        </r>
      </text>
    </comment>
    <comment ref="DA437" authorId="16" shapeId="0" xr:uid="{691CB77E-499E-448D-B369-2D635BB1F450}">
      <text>
        <r>
          <rPr>
            <b/>
            <sz val="9"/>
            <color indexed="81"/>
            <rFont val="Tahoma"/>
            <family val="2"/>
          </rPr>
          <t>H1 25%
H2. 10%</t>
        </r>
        <r>
          <rPr>
            <sz val="9"/>
            <color indexed="81"/>
            <rFont val="Tahoma"/>
            <family val="2"/>
          </rPr>
          <t xml:space="preserve">
</t>
        </r>
      </text>
    </comment>
    <comment ref="DB437" authorId="16" shapeId="0" xr:uid="{30FA7AB0-1DCF-4E15-BBCF-D7DE2B8394E3}">
      <text>
        <r>
          <rPr>
            <b/>
            <sz val="9"/>
            <color indexed="81"/>
            <rFont val="Tahoma"/>
            <family val="2"/>
          </rPr>
          <t xml:space="preserve">H2. 10%
</t>
        </r>
        <r>
          <rPr>
            <sz val="9"/>
            <color indexed="81"/>
            <rFont val="Tahoma"/>
            <family val="2"/>
          </rPr>
          <t xml:space="preserve">
H2.25%</t>
        </r>
      </text>
    </comment>
    <comment ref="CP438" authorId="16" shapeId="0" xr:uid="{B58DD0FA-666C-47C0-9F29-7C0544BBF103}">
      <text>
        <r>
          <rPr>
            <b/>
            <sz val="9"/>
            <color indexed="81"/>
            <rFont val="Tahoma"/>
            <family val="2"/>
          </rPr>
          <t>Relacionado con el acuerdo IT5-128 de MPC</t>
        </r>
        <r>
          <rPr>
            <sz val="9"/>
            <color indexed="81"/>
            <rFont val="Tahoma"/>
            <family val="2"/>
          </rPr>
          <t xml:space="preserve">
</t>
        </r>
      </text>
    </comment>
    <comment ref="DA443" authorId="17" shapeId="0" xr:uid="{24E90CFA-0960-448B-BA2F-1E5CFCBD3748}">
      <text>
        <r>
          <rPr>
            <b/>
            <sz val="9"/>
            <color indexed="81"/>
            <rFont val="Tahoma"/>
            <family val="2"/>
          </rPr>
          <t>ADMIN:</t>
        </r>
        <r>
          <rPr>
            <sz val="9"/>
            <color indexed="81"/>
            <rFont val="Tahoma"/>
            <family val="2"/>
          </rPr>
          <t xml:space="preserve">
Hito 1 y 2</t>
        </r>
      </text>
    </comment>
    <comment ref="DB443" authorId="17" shapeId="0" xr:uid="{E256F174-73FB-4DCE-8850-173126692AE8}">
      <text>
        <r>
          <rPr>
            <b/>
            <sz val="9"/>
            <color indexed="81"/>
            <rFont val="Tahoma"/>
            <family val="2"/>
          </rPr>
          <t>ADMIN:</t>
        </r>
        <r>
          <rPr>
            <sz val="9"/>
            <color indexed="81"/>
            <rFont val="Tahoma"/>
            <family val="2"/>
          </rPr>
          <t xml:space="preserve">
Hito 3</t>
        </r>
      </text>
    </comment>
    <comment ref="DC443" authorId="17" shapeId="0" xr:uid="{59E96F35-B929-4A63-85BE-579F45407C80}">
      <text>
        <r>
          <rPr>
            <b/>
            <sz val="9"/>
            <color indexed="81"/>
            <rFont val="Tahoma"/>
            <family val="2"/>
          </rPr>
          <t>ADMIN:</t>
        </r>
        <r>
          <rPr>
            <sz val="9"/>
            <color indexed="81"/>
            <rFont val="Tahoma"/>
            <family val="2"/>
          </rPr>
          <t xml:space="preserve">
Hito 4</t>
        </r>
      </text>
    </comment>
    <comment ref="DA444" authorId="16" shapeId="0" xr:uid="{DC2B58D7-33B9-4E4E-9509-61186971C074}">
      <text>
        <r>
          <rPr>
            <b/>
            <sz val="9"/>
            <color indexed="81"/>
            <rFont val="Tahoma"/>
            <family val="2"/>
          </rPr>
          <t>H1 15%
H2 25%</t>
        </r>
      </text>
    </comment>
    <comment ref="DB444" authorId="16" shapeId="0" xr:uid="{869A17BC-C31A-461E-822C-7A14783C0841}">
      <text>
        <r>
          <rPr>
            <b/>
            <sz val="9"/>
            <color indexed="81"/>
            <rFont val="Tahoma"/>
            <family val="2"/>
          </rPr>
          <t>H3 10%</t>
        </r>
      </text>
    </comment>
    <comment ref="DC444" authorId="16" shapeId="0" xr:uid="{5B3F0045-0314-457E-A179-6B304E994AF0}">
      <text>
        <r>
          <rPr>
            <b/>
            <sz val="9"/>
            <color indexed="81"/>
            <rFont val="Tahoma"/>
            <family val="2"/>
          </rPr>
          <t>H3 10%</t>
        </r>
      </text>
    </comment>
    <comment ref="CZ447" authorId="16" shapeId="0" xr:uid="{F73376D8-A549-4A35-9328-0B1D82C0A436}">
      <text>
        <r>
          <rPr>
            <b/>
            <sz val="9"/>
            <color indexed="81"/>
            <rFont val="Tahoma"/>
            <family val="2"/>
          </rPr>
          <t>hito 1</t>
        </r>
      </text>
    </comment>
    <comment ref="DA447" authorId="16" shapeId="0" xr:uid="{5A09F297-143E-4C63-8B73-03D1866D7613}">
      <text>
        <r>
          <rPr>
            <b/>
            <sz val="9"/>
            <color indexed="81"/>
            <rFont val="Tahoma"/>
            <family val="2"/>
          </rPr>
          <t>hito 2
Hito 2</t>
        </r>
      </text>
    </comment>
    <comment ref="CZ448" authorId="16" shapeId="0" xr:uid="{602ECFF4-55AE-4EAE-AE8E-96919EDD558F}">
      <text>
        <r>
          <rPr>
            <b/>
            <sz val="9"/>
            <color indexed="81"/>
            <rFont val="Tahoma"/>
            <family val="2"/>
          </rPr>
          <t>H1 10%
H2 10%</t>
        </r>
      </text>
    </comment>
    <comment ref="DA448" authorId="16" shapeId="0" xr:uid="{4B3754FB-6EE3-4B13-B87A-87AD2A07922C}">
      <text>
        <r>
          <rPr>
            <b/>
            <sz val="9"/>
            <color indexed="81"/>
            <rFont val="Tahoma"/>
            <family val="2"/>
          </rPr>
          <t>H3 10%</t>
        </r>
      </text>
    </comment>
    <comment ref="DH541" authorId="15" shapeId="0" xr:uid="{64031CC4-967F-4A68-8340-83418E9E272D}">
      <text>
        <r>
          <rPr>
            <sz val="8"/>
            <color indexed="81"/>
            <rFont val="Tahoma"/>
            <family val="2"/>
          </rPr>
          <t>Resolución 74 del 20 de enero de 2026</t>
        </r>
      </text>
    </comment>
    <comment ref="AK562" authorId="18" shapeId="0" xr:uid="{0BFAE8A2-EB66-4CD8-8362-00154177FC6E}">
      <text>
        <r>
          <rPr>
            <b/>
            <sz val="9"/>
            <color indexed="81"/>
            <rFont val="Tahoma"/>
            <family val="2"/>
          </rPr>
          <t>Nubia Stella Chacon Veloza:</t>
        </r>
        <r>
          <rPr>
            <sz val="9"/>
            <color indexed="81"/>
            <rFont val="Tahoma"/>
            <family val="2"/>
          </rPr>
          <t xml:space="preserve">
Validar el % porque si cada año se hacían 2500 caracerizaciones, sería un 25% cada año, pero como en el primer año se hizo el 40%, para el 2026 quedaría pendiente realizar unicamente 1000 que corresponden al 10%, pero en la actividad 3.1 se indicó meta de 2500</t>
        </r>
      </text>
    </comment>
  </commentList>
</comments>
</file>

<file path=xl/sharedStrings.xml><?xml version="1.0" encoding="utf-8"?>
<sst xmlns="http://schemas.openxmlformats.org/spreadsheetml/2006/main" count="19898" uniqueCount="4692">
  <si>
    <t>Formulación y Seguimiento a la Planeación Integral - Ministerio Interior</t>
  </si>
  <si>
    <t>FECHA DEL PLAN:</t>
  </si>
  <si>
    <t>VIGENCIA:</t>
  </si>
  <si>
    <t>Responsables</t>
  </si>
  <si>
    <t>Articulación Estratégica</t>
  </si>
  <si>
    <t xml:space="preserve">Iniciativa </t>
  </si>
  <si>
    <t xml:space="preserve">Avance del trimestre </t>
  </si>
  <si>
    <t xml:space="preserve">Avance anual </t>
  </si>
  <si>
    <t xml:space="preserve">Avance Cuatrienio </t>
  </si>
  <si>
    <t>SEGUIMIENTO ACTIVIDAD</t>
  </si>
  <si>
    <t>Trazabilidad</t>
  </si>
  <si>
    <t>Dependencia</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</si>
  <si>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</si>
  <si>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</si>
  <si>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</si>
  <si>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</si>
  <si>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</si>
  <si>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</si>
  <si>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</si>
  <si>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</si>
  <si>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Objetivo  Estratégico Institucional</t>
  </si>
  <si>
    <t>Macrometa PND</t>
  </si>
  <si>
    <t>No. Iniciativa</t>
  </si>
  <si>
    <t>Nombre Iniciativa por dependencia</t>
  </si>
  <si>
    <t xml:space="preserve">Indicador de la iniciativa </t>
  </si>
  <si>
    <t>Fórmula de cálculo</t>
  </si>
  <si>
    <t>Tipo</t>
  </si>
  <si>
    <t>Tipo de Acumulación</t>
  </si>
  <si>
    <t>Línea base</t>
  </si>
  <si>
    <t>Unidad de medida</t>
  </si>
  <si>
    <t>Fecha de Inicio de la iniciativa</t>
  </si>
  <si>
    <t>Fecha de terminación de la iniciativa</t>
  </si>
  <si>
    <t xml:space="preserve">Metas de la Iniciativa </t>
  </si>
  <si>
    <t>AVANCE CUANTITATIVO Y CUALITATIVO</t>
  </si>
  <si>
    <t xml:space="preserve"> PRESUPUESTO APROPIADO</t>
  </si>
  <si>
    <t>% COMPROMETIDO</t>
  </si>
  <si>
    <t>% EJECUCION</t>
  </si>
  <si>
    <t>No. Actividad</t>
  </si>
  <si>
    <t>Descripción de la actividad</t>
  </si>
  <si>
    <t>Evidencia</t>
  </si>
  <si>
    <t>Indicador de la actividad</t>
  </si>
  <si>
    <t>Fecha inicio Actividad</t>
  </si>
  <si>
    <t>Fecha fin Actividad</t>
  </si>
  <si>
    <t>Metas de la actividad</t>
  </si>
  <si>
    <t>Presupuesto asociado a la Actividad</t>
  </si>
  <si>
    <t>Modelo Integrado de Planeación y Gestión asociado a la actividad</t>
  </si>
  <si>
    <t>Integración de planes Decreto 612</t>
  </si>
  <si>
    <t xml:space="preserve">Mecanismos de participación </t>
  </si>
  <si>
    <t>I TRIM</t>
  </si>
  <si>
    <t>II TRIM</t>
  </si>
  <si>
    <t>III TRIM</t>
  </si>
  <si>
    <t>IV TRIM</t>
  </si>
  <si>
    <t>Total Año</t>
  </si>
  <si>
    <t xml:space="preserve">Fuente de Financiamiento </t>
  </si>
  <si>
    <t xml:space="preserve">Código de Rubro </t>
  </si>
  <si>
    <t>Descripción de la fuente</t>
  </si>
  <si>
    <t>Presupuesto apropiado</t>
  </si>
  <si>
    <t xml:space="preserve">Proceso asociado </t>
  </si>
  <si>
    <t>Dimensión</t>
  </si>
  <si>
    <t>Políticas de Gestión y Desempeño
Institucional</t>
  </si>
  <si>
    <t>Dificultades Actividades</t>
  </si>
  <si>
    <t>Medidas Correctivas Actividades</t>
  </si>
  <si>
    <t>Total</t>
  </si>
  <si>
    <t>Medición y Resultados</t>
  </si>
  <si>
    <t>Avance Cuatrienio</t>
  </si>
  <si>
    <t>Dependencias adscritas al Despacho Ministerial</t>
  </si>
  <si>
    <t>Promedio de avance de las Iniciativas</t>
  </si>
  <si>
    <t>Dependencias adscritas al Viceministerio General del Interior</t>
  </si>
  <si>
    <t>Resultado Cuantitativo I Trim</t>
  </si>
  <si>
    <t>Resultado cualitativo I Trim</t>
  </si>
  <si>
    <t>Resultado Cuantitativo II Trim</t>
  </si>
  <si>
    <t>Resultado cualitativo II Trim</t>
  </si>
  <si>
    <t>Resultado Cuantitativo III Trim</t>
  </si>
  <si>
    <t>Resultado cualitativo III Trim</t>
  </si>
  <si>
    <t>Resultado Cuantitativo IV Trim</t>
  </si>
  <si>
    <t>Resultado cualitativo IV Trim</t>
  </si>
  <si>
    <t xml:space="preserve">Resulado cuantitativo </t>
  </si>
  <si>
    <t xml:space="preserve">Resultado cualitativo </t>
  </si>
  <si>
    <t xml:space="preserve">I trimestre </t>
  </si>
  <si>
    <t xml:space="preserve">II trimestre </t>
  </si>
  <si>
    <t xml:space="preserve">III trimestre </t>
  </si>
  <si>
    <t xml:space="preserve">IV trimestre </t>
  </si>
  <si>
    <t xml:space="preserve">Resultado cuantitativo </t>
  </si>
  <si>
    <t>Total Cuatrienio</t>
  </si>
  <si>
    <t>Total resultado cuantitativo del cuatrienio</t>
  </si>
  <si>
    <t>Resultado cualitativo del cuatrienio</t>
  </si>
  <si>
    <t>Total resultado cuantitativo del año</t>
  </si>
  <si>
    <t>Resultado cualitativo del año</t>
  </si>
  <si>
    <t>Resultado Cuantitativo 
I Trim</t>
  </si>
  <si>
    <t>Resultado Cuantitativo 
II Trim</t>
  </si>
  <si>
    <t>Resultado Cuantitativo 
III Trim</t>
  </si>
  <si>
    <t>Resultado Cuantitativo
 IV Trim</t>
  </si>
  <si>
    <t>PRESUPUESTO COMPROMETIDO ACUMULADO</t>
  </si>
  <si>
    <t>PRESUPUESTO OBLIGADO
ACUMULADO</t>
  </si>
  <si>
    <t>PROCESO</t>
  </si>
  <si>
    <t>FORMATO</t>
  </si>
  <si>
    <t>PLANEACIÓN Y DIRECCIONAMIENTO ESTRATÉGICO Y COMUNICACIONES</t>
  </si>
  <si>
    <t>FORMULACIÓN Y SEGUIMIENTO AL PLAN ESTRATÉGICO INSTITUCIONAL Y DE ACCIÓN</t>
  </si>
  <si>
    <t>VERSIÓN</t>
  </si>
  <si>
    <t>PÁGINA</t>
  </si>
  <si>
    <t>VIGENTE DESDE</t>
  </si>
  <si>
    <t>1 DE 2</t>
  </si>
  <si>
    <t>SEGUIMIENTO CUANTITATIVO, CUALITATIVO Y PRESUPUESTAL DE LA INICIATIVA</t>
  </si>
  <si>
    <t>AVANCE PRESUPUESTAL</t>
  </si>
  <si>
    <t>Avance Trimestre 1</t>
  </si>
  <si>
    <t>Avance Trimestre 2</t>
  </si>
  <si>
    <t>Avance Trimestre 3</t>
  </si>
  <si>
    <t>Avance Trimestre 4</t>
  </si>
  <si>
    <t>Avance Año</t>
  </si>
  <si>
    <t>Objetivos estratégicos Institucionales</t>
  </si>
  <si>
    <t>Promedio de avance de las metas de producto por Iniciativas</t>
  </si>
  <si>
    <t>Promedio de avance de las metas de Gestión por Iniciativas</t>
  </si>
  <si>
    <t>Promedio de Avance de las Actividades</t>
  </si>
  <si>
    <t>Dependencias adscritas a la Secretaría General</t>
  </si>
  <si>
    <t>Dependencias adscritas al Viceministerio para el Diálogo Social y los Derechos Humanos</t>
  </si>
  <si>
    <t>2 DE 2</t>
  </si>
  <si>
    <t>% presupuesto Comprometido</t>
  </si>
  <si>
    <t>%presupuesto Obligado</t>
  </si>
  <si>
    <t>Trimestre 1</t>
  </si>
  <si>
    <t>Trimestre 2</t>
  </si>
  <si>
    <t>Trimestre 3</t>
  </si>
  <si>
    <t>Trimestre 4</t>
  </si>
  <si>
    <r>
      <rPr>
        <b/>
        <sz val="11"/>
        <color theme="1"/>
        <rFont val="Calibri"/>
        <family val="2"/>
      </rPr>
      <t>Fecha de corte:</t>
    </r>
    <r>
      <rPr>
        <sz val="11"/>
        <color theme="1"/>
        <rFont val="Calibri"/>
        <family val="2"/>
      </rPr>
      <t xml:space="preserve"> </t>
    </r>
  </si>
  <si>
    <r>
      <rPr>
        <b/>
        <sz val="11"/>
        <color theme="1"/>
        <rFont val="Calibri"/>
        <family val="2"/>
      </rPr>
      <t>Fuente:                   Datos:</t>
    </r>
    <r>
      <rPr>
        <sz val="11"/>
        <color theme="1"/>
        <rFont val="Calibri"/>
        <family val="2"/>
      </rPr>
      <t xml:space="preserve"> </t>
    </r>
  </si>
  <si>
    <t>PROMEDIO TOTAL</t>
  </si>
  <si>
    <t>OCI</t>
  </si>
  <si>
    <t>OAP</t>
  </si>
  <si>
    <t>SGH</t>
  </si>
  <si>
    <t>SAF</t>
  </si>
  <si>
    <t>SGC</t>
  </si>
  <si>
    <t>DAL</t>
  </si>
  <si>
    <t>OIP</t>
  </si>
  <si>
    <t>DIJ</t>
  </si>
  <si>
    <t>GED</t>
  </si>
  <si>
    <t>DDP</t>
  </si>
  <si>
    <t>DSC</t>
  </si>
  <si>
    <t>SGT</t>
  </si>
  <si>
    <t>SPS</t>
  </si>
  <si>
    <t>DVD</t>
  </si>
  <si>
    <t>DAI</t>
  </si>
  <si>
    <t>DCN</t>
  </si>
  <si>
    <t>DDH</t>
  </si>
  <si>
    <t>DCP</t>
  </si>
  <si>
    <t>DAR</t>
  </si>
  <si>
    <r>
      <rPr>
        <sz val="14"/>
        <color theme="1"/>
        <rFont val="Calibri"/>
        <family val="2"/>
      </rPr>
      <t>*</t>
    </r>
    <r>
      <rPr>
        <sz val="11"/>
        <color theme="1"/>
        <rFont val="Calibri"/>
        <family val="2"/>
      </rPr>
      <t xml:space="preserve">Los valores relacionados en el avance presupuestal de la vigencia, para los trimestres 2,3 y 4 corresponden al porcentaje de presupuesto comprometido y obligado acumulado al periodo correspondiente. </t>
    </r>
  </si>
  <si>
    <t>GVC</t>
  </si>
  <si>
    <t>GCG</t>
  </si>
  <si>
    <t>GPM</t>
  </si>
  <si>
    <t>OCD</t>
  </si>
  <si>
    <t>Oficina de Control Interno</t>
  </si>
  <si>
    <t>Stella Cañón Rodríguez</t>
  </si>
  <si>
    <t>10. Ataque frontal a la corrupción   
36. Paz total</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</si>
  <si>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gestión de los recursos en todos los niveles del Estado en la perspectiva de garantizar el carácter público de las finanzas.
Se fortalecerá la vigilancia efectiva a toda la contratación pública para garantizar transparencia, economía y eficacia".</t>
  </si>
  <si>
    <t>Articulo 200. Estrategia Nacional de Lucha contra la Corrupción (…)
En el proceso de formulación de la Estrategia se realizará una evaluación de la capacidad institucional y misional de las entidades públicas, del funcionamiento de las instancias e instrumentos de planeación existentes para la lucha contra la corrupción, y de las debilidades de articulación y coordinación interinstitucional. Así mismo, en el desarrollo de esta estrategia se promoverá la implementación de las disposiciones previstas en la Ley 1712 de 2014 frente al diseño, promoción e implementación de la política pública de acceso a la información pública y la Ley 2195 de 2022 en materia de daño y reparación de los afectados por actos de corrupción, el control y monitoreo constante del riesgo de corrupción, así como la pedagogía para la promoción de la participación ciudadana para la transparencia y lucha contra la corrupción.</t>
  </si>
  <si>
    <t>No aplica</t>
  </si>
  <si>
    <t>Fortalecer la gestión y desempeño del Sector Interior</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</si>
  <si>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</si>
  <si>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27. Ataque frontal contra la corrupción</t>
  </si>
  <si>
    <t>Evaluar, Asesorar y acompañar la gestión de las dependencias del Ministerio del Interior acorde con el Plan Anual de Auditorías Independientes.</t>
  </si>
  <si>
    <t>Cumplimiento de actividades del Plan Anual de Auditorías Independientes - PAAI, aprobado</t>
  </si>
  <si>
    <t>Número de actividades del PAAI realizadas / Número de actividades del PAAI programadas</t>
  </si>
  <si>
    <t>Producto</t>
  </si>
  <si>
    <t>Stock</t>
  </si>
  <si>
    <t>Porcentaje</t>
  </si>
  <si>
    <t>Durante el primer trimestre del 2023 se dio cumplimiento pleno al Plan Anual de Auditorías Independientes 2023 en lo relacionado con la ejecución de Visitas de Asesoría, Evaluación y Seguimiento (1), Informes de Ley (20) e Informes de Seguimiento Interno (9). 
- Enero:  Visitas (0), Informes de Ley (10) e Informes de Seguimiento (6).
- Febrero : Visitas (0), Informes de Ley (4) e Informes de Seguimiento (2).
- Marzo: Visitas (1), Informes de Ley (6) e Informes de Seguimiento (1).</t>
  </si>
  <si>
    <t>Durante el segundo trimestre del 2023 se dio cumplimiento pleno al Plan Anual de Auditorías Independientes 2023 en lo relacionado con la ejecución de Visitas de Asesoría, Evaluación y Seguimiento (4), Informes de Ley (7) e Informes de Seguimiento Interno (8). 
- Abril:  Visitas (0), Informes de Ley (2) e Informes de Seguimiento (4).
- Mayo : Visitas (2), Informes de Ley (3) e Informes de Seguimiento (2).
- Junio: Visitas (2), Informes de Ley (2) e Informes de Seguimiento (2).</t>
  </si>
  <si>
    <t>Durante el tercer trimestre del 2023 se dio cumplimiento pleno al Plan Anual de Auditorías Independientes 2023 en lo relacionado con la ejecución de Visitas de Asesoría, Evaluación y Seguimiento (4), Informes de Ley (15) e Informes de Seguimiento Interno (8). 
- Julio:  Visitas (0), Informes de Ley (9) e Informes de Seguimiento (5).
- Agosto : Visitas (2), Informes de Ley (2) e Informes de Seguimiento (0).
- Septiembre: Visitas (2), Informes de Ley (4) e Informes de Seguimiento (3).</t>
  </si>
  <si>
    <t>Durante el cuarto trimestre del 2023 se dio cumplimiento pleno al Plan Anual de Auditorías Independientes 2023 en lo relacionado con la ejecución de Visitas de Asesoría, Evaluación y Seguimiento (2), Informes de Ley (6) e Informes de Seguimiento Interno (6). 
- Octubre:  Visitas (0), Informes de Ley (3) e Informes de Seguimiento (5).
- Noviembre : Visitas (2), Informes de Ley (2) e Informes de Seguimiento (0).
- Diciembre: Visitas (0), Informes de Ley (1) e Informes de Seguimiento (1).</t>
  </si>
  <si>
    <t>Durante la vigencia 2023 se dio cumplimiento pleno al Plan Anual de Auditorías Independientes 2023 en lo relacionado con la ejecución de Visitas de Asesoría, Evaluación y Seguimiento (11), Informes de Ley (48) e Informes de Seguimiento Interno (31). 
Lo anterior conforme a lo aprobado por el Comité Institucional de Coordinación de Contro Interno.</t>
  </si>
  <si>
    <t>Durante el primer trimestre del 2024 se dio cumplimiento pleno al Plan Anual de Auditorías Independientes 2024 en lo relacionado con la ejecución de Visitas de Asesoría, Evaluación y Seguimiento (2 iniciadas  y en curso), Informes de Ley (20) e Informes de Seguimiento Interno (10), Comité Institucional de Coordinación de Control Interno (1 sesión), Comités Institucionales (17) e Informe de estado de atención de Entes de Control (1). 
- Enero:  Visitas (0), Informes de Ley (10) e Informes de Seguimiento (7), Informe Entes de Control (1), Comités Institucionales (4).
- Febrero : Visitas (0), Informes de Ley (4) e Informes de Seguimiento (2), Comités Institucionales (7).
- Marzo: Visitas (0), Informes de Ley (6) e Informes de Seguimiento (1), Comité Institucional de Coordinación de Control Interno (1), Comités Institucionales (6).</t>
  </si>
  <si>
    <t>Durante el segundo trimestre del 2024, se dio cumplimiento al Plan Anual de Auditorías Independientes 2024, con la ejecución de Visitas de Asesoría, Evaluación y Seguimiento, Informes de Ley, Informes de Seguimiento Interno, Comité  Sectorial de  Control Interno (1 sesión), Comités Institucionales (30) e Informe de estado de atención de Entes de Control 5. 
- Abril:  Visitas (2), Informes de Ley (3) e Informes de Seguimiento (5), Informe Entes de Control (1), Comités Institucionales ( 11)
- Mayo : Visitas (2), Informes de Ley (2) e Informes de Seguimiento (2), Informe entes de control (2),Comités institucionales (8).
- Junio:  Informes de Ley (2) e Informes de Seguimiento (2), Informe entes de control ( 2), Comité Sectorial de  Control Interno (1), Comités Institucionales (11).</t>
  </si>
  <si>
    <t>Durante el tercer trimestre de 2024, se dio cumplimiento al Plan de Auditorías Independientes 2024, con la ejecución de Visitas de Asesoría, Evaluación y Seguimiento, Informes de Ley, Informes de Seguimiento Interno, Comités e Informes de estado de atención de Entes de Control.
- julio: Visitas (2), Informes de Ley (10), Informes de Seguimiento (6), Informe Entes de Control (1), Comités Institucionales (5)
- agosto: Visitas (2), Informes de Ley (5), Informes de Seguimiento (4), Informes Entes de Control (2), Comités Institucionales (2)
- septiembre: Visitas (2), Informes de Ley (3), Informes de Seguimiento (5), Informes Entes de Control (1), Comités Institucionales (7)</t>
  </si>
  <si>
    <t>Durante el cuarto trimestre 2024, se dio cumplimiento al Plan Anual  de Auditorías 2024, con la ejecución de las Visitas de Asesoría, Evaluación y Seguimiento, Informes de Ley, Informes de Seguimiento Interno, Comités e Informes de estado de atención de entes de control.
- octubre: 2 Visitas, 2 Informes de Ley, 5 Informes de Seguimiento, 1 Informe de entes de control, 5 Cómites Institucionales.
- noviembre: 2 Informes de Ley, 1 Informe de entes de control, 5 Cómites Institucionales
- diciembre: 2 Visitas, 1 Informe de Ley, 4 Informes de Seguimiento, 1 Informe de entes de control, 7 Cómites Institucionales.</t>
  </si>
  <si>
    <t>Se ejecutó totalmente el Plan Anual de Auditorías</t>
  </si>
  <si>
    <t xml:space="preserve">Durante el primer trimestre de la vigencia 2025, la Oficina de Control Interno ejecutó oportunamente 36 actividades programadas en el Plan Anual de Auditorías, así:
- Informes de Ley: 20
- Informes de Seguimiento: 12
- Otros Informes y Reportes: 22
Adicionalmente se dió inició a la ejecución de 2 auditorías:
- Planeación Institucional / Seguimiento y Evaluación del Desempeño Institucional
- Políticas de Gobierno Digital y Seguridad Digital </t>
  </si>
  <si>
    <t>Durante el II trimestre de la vigencia 2025, la Oficina de Control Interno ejecutó oportunamente 25 actvidades programadas en el Plan Anual de Auditorías, así:
Informes de Ley: 7
Informes de Seguimiento: 15
Otros Informes y Reportes: 5</t>
  </si>
  <si>
    <t>Durante el III trimestre de la vigencia 2025, la Oficina de Control Interno ejecutó oportunamente 33 actividades programadas en el Plan Anual de Auditorías, así:
- Auditorías: 3
- Informes de Ley: 11
- Informes de Seguimiento: 15
- Otros Informes y Reportes: 4</t>
  </si>
  <si>
    <t>1.1</t>
  </si>
  <si>
    <t>Ejecutar Auditorías independientes de Control Interno, conforme al Plan Anual de Auditorias Independientes de Control Interno 2026,  aprobado por el Comité Institucional de Coordinación de Control Interno - CICCI</t>
  </si>
  <si>
    <t>Informe final con el resultado de las auditorias independientes de Control Interno remitidos a los integrantes del  Comité Institucional de Coordinación de Control Interno - CICCI y publicados</t>
  </si>
  <si>
    <t>Auditorías independientes de Control Interno del Plan Anual de Auditorias Independientes de Control Interno realizadas</t>
  </si>
  <si>
    <t>Número de Auditorías del Plan Anual de Auditorias Independientes de Control Interno realizadas en el trimestre / Número de Auditorías del Plan Anual de Auditorias Independientes de Control Interno programadas para el trimestre  * 100%</t>
  </si>
  <si>
    <t>NA</t>
  </si>
  <si>
    <t>Seguimiento y Evaluación a la Gestión</t>
  </si>
  <si>
    <t>Control Interno</t>
  </si>
  <si>
    <t>1.2</t>
  </si>
  <si>
    <t>Elaborar y presentar los Informes de Ley, conforme al Plan Anual de Auditorias Independientes de Control Interno 2026,  aprobado por el Comité Institucional de Coordinación de Control Interno - CICCI</t>
  </si>
  <si>
    <t>Informes ley remitidos a los integrantes del  Comité Institucional de Coordinación de Control Interno - CICCI y  publicados</t>
  </si>
  <si>
    <t>Informes de Ley del Plan Anual de Auditorias Independientes de Control Interno realizados</t>
  </si>
  <si>
    <t>Número de Informes de Ley  del Plan Anual de Auditorias Independientes de Control Interno realizados en el trimestre / Número de Informes de Ley  del Plan Anual de Auditorias Independientes de Control Interno programados para el trimestre* 100%</t>
  </si>
  <si>
    <t>1.3</t>
  </si>
  <si>
    <t>Elaborar y presentar los Informes de Seguimiento, Evaluación y  otros Reportes, conforme al Plan Anual de Auditorias Independientes de Control Interno 2026,  aprobado por el Comité Institucional de Coordinación de Control Interno - CICCI</t>
  </si>
  <si>
    <t>Informes de seguimiento, evaluación y otros reportes, remitidos a los integrantes del  Comité Institucional de Coordinación de Control Interno - CICCI y  publicados</t>
  </si>
  <si>
    <t>Informes de Seguimiento, Evaluación  y otros Reportes del Plan Anual de Auditorias Independientes de Control Interno realizados</t>
  </si>
  <si>
    <t>Número de Informes de Seguimiento, Evaluación y otros Reportes  del Plan Anual de Auditorias Independientes de Control Interno realizados en el trimestre / Número de Informes de Seguimiento, Evaluación  y otros Reportes del Plan Anual de Auditorias Independientes de Control Interno programados para el trimestre*100%</t>
  </si>
  <si>
    <t>1.4</t>
  </si>
  <si>
    <t>Coordinar y preparar la realización del Comité Institucional de Coordinación de Control Interno y del Comité Sectorial de Auditoría, así como participar en escenarios estratégicos y administrativos con voz, pero sin voto, en el marco de los roles y funciones propios de la Oficina de Control Interno.</t>
  </si>
  <si>
    <t>Actas de comités o Listas de asistencia o evidencias de participación</t>
  </si>
  <si>
    <t>Participación de la Oficina de Control Interno en Comités según competencia</t>
  </si>
  <si>
    <t>Número de Comités en los que participó la Oficina de Control Interno en el trimestre / Número de Comités a los que fue convocado la Oficina de Control Interno en el trimestre *100%</t>
  </si>
  <si>
    <t>Gestión</t>
  </si>
  <si>
    <t>N/A</t>
  </si>
  <si>
    <t>1.5</t>
  </si>
  <si>
    <t>Realizar seguimiento a la atención de requerimientos allegados por entes externos de control</t>
  </si>
  <si>
    <t>Informes realizados</t>
  </si>
  <si>
    <t>Informes de seguimiento realizados por la Oficina de Control Interno frente a la atención de requerimientos allegados por entes externos de control</t>
  </si>
  <si>
    <t>Número de Informes de seguimiento a la atención de requerimientos allegados por entes externos de control realizados en el trimestre / Número de Informes de seguimiento a la atención de requerimientos allegados por entes externos de control solicitados en el trimestre *100</t>
  </si>
  <si>
    <t>27. Ataque fontal contra la corrupción</t>
  </si>
  <si>
    <t>Fomentar la cultura de control con enfoque hacia  la prevención, en el Ministerio del Interior</t>
  </si>
  <si>
    <t>Actividades y/o campañas de fomento de la Cultura de Control realizadas.</t>
  </si>
  <si>
    <t>Número de actividades y /o campañas realizadas / Número de actividades y/o campañas de fomento de la cultura de control programadas</t>
  </si>
  <si>
    <t>Durante el primer trimestre del 2023 se diseñó y ejecutó una (1) campaña de fomento de la Cultura de Control.
El tema de la campaña fue: Gestión de las Solicitudes de Órganos de Control. El desarrollo de la campaña fue en el mes de marzo. 
De ésta manera se dio cumplimiento pleno al Plan Anual de Auditorías Independientes 2023 en lo relacionado con Campañas de Fomento a la Cultura de Control</t>
  </si>
  <si>
    <t>Durante el segundo trimestre del 2023 se diseñó y ejecutó una (1) campaña de fomento de la Cultura de Control.
El tema de la campaña fue: Articulación de los instrumentos de planeación institucionales con el Plan Nacional de Desarrollo.
De ésta manera se dio cumplimiento pleno al Plan Anual de Auditorías Independientes 2023 en lo relacionado con Campañas de Fomento a la Cultura de Control</t>
  </si>
  <si>
    <t>Durante el tercer trimestre del 2023 se diseñó y ejecutó una (1) campaña de fomento de la Cultura de Control.
El tema de la campaña fue: "Control de la Gestión".  Las piezas comunicativas se socializaron en el mes de septiembre.
De ésta manera se dio cumplimiento pleno al Plan Anual de Auditorías Independientes 2023 en lo relacionado con Campañas de Fomento a la Cultura de Control</t>
  </si>
  <si>
    <t>Durante el cuarto trimestre del 2023 se diseñó y ejecutó una (1) campaña de fomento de la Cultura de Control.
El tema de la campaña fue: "Cierre de la Gestión".  Las piezas comunicativas se socializaron en el mes de diciembre.
De ésta manera se dio cumplimiento pleno al Plan Anual de Auditorías Independientes 2023 en lo relacionado con Campañas de Fomento a la Cultura de Control</t>
  </si>
  <si>
    <t>Durante la vigencia 2023 se dio cumplimiento pleno al Plan Anual de Auditorías Independientes 2023 en lo relacionado con el diseño y comunicación de las campañas de fomento a la cultura de control, con un total de 4 campañas. 
Lo anterior conforme a lo aprobado por el Comité Institucional de Coordinación de Control Interno.</t>
  </si>
  <si>
    <t>Durante el primer trimestre del 2024 se diseñó y ejecutó una (1) campaña de fomento de la Cultura de Control.
El tema de la campaña fue: Riesgo Fiscal. El desarrollo de la campaña fue en el mes de marzo. 
De ésta manera se dio cumplimiento pleno al Plan Anual de Auditorías Independientes 2024 en lo relacionado con Campañas de Fomento a la Cultura de Control</t>
  </si>
  <si>
    <t>Durante el segundo trimestre del 2024 se diseñó y ejecutó una (1) campaña de fomento de la Cultura de Control.
El tema de la campaña fue: Sistema de Control Interno. 
De ésta manera se dio cumplimiento pleno al Plan Anual de Auditorías Independientes 2024 en lo relacionado con Campañas de Fomento a la Cultura de Control</t>
  </si>
  <si>
    <t>Durante el tercer trimestre de 2024 se diseñó y ejecutó una campaña de fomento de Cultura de Control.
La temática de la campaña fue el  Modelo Estándar de Control Interno y se difundieron piezas informativas mediante correo electrónico; en total se remitieron 5 piezas.</t>
  </si>
  <si>
    <t>Durante el cuarto trimestre de 2024 se diseñó y socializó una campaña de fomento de la Cultura de Control con la temática de tips para el cierre de a vigencia.  En total se remitieron 4 piezas informativas.</t>
  </si>
  <si>
    <t>Se diseñó y socializó por trimestre una campaña de fomento de la cultura de control, para un total de 4 campañas en el año.</t>
  </si>
  <si>
    <t>Se realizaron 2 actividades de fomento de cultura de control, atendiendo a la planeación mensual para la vigencia 2025</t>
  </si>
  <si>
    <t>Se realizó 1 actividad de fomento de cultura de control, atendiendo a la planeación trimestral de la vigencia 2025</t>
  </si>
  <si>
    <t>100%%</t>
  </si>
  <si>
    <t>Se realizó 1 actividad de fomento de cultura de control, atendiendo a la planeación trimestral de la vigencia 2025.</t>
  </si>
  <si>
    <t>2.1</t>
  </si>
  <si>
    <t>Diseñar y ejecutar Campañas de Fomento de la Cultura de Control, para ser comunicadas a todos los niveles de la entidad</t>
  </si>
  <si>
    <t>Soportes de ejecución del programa de fomento de cultura de control (Listas de asistencia, piezas informativas, videos, entre otros)</t>
  </si>
  <si>
    <t>Programa de fomento de la cultura de control ejecutado</t>
  </si>
  <si>
    <t>Número de actividades de fomento de cultura de control ejecutadas en el trimestre / Número de actividades de fomento de cultura de control programadas en el trimestre *100%</t>
  </si>
  <si>
    <t>Participar en escenarios Estratégicos de Interacción con la Alta Dirección</t>
  </si>
  <si>
    <t>Planes de auditoria formulados y aprobados</t>
  </si>
  <si>
    <t>Número de planes de auditoria aprobados</t>
  </si>
  <si>
    <t>Acumulado</t>
  </si>
  <si>
    <t>Número</t>
  </si>
  <si>
    <t>Se elaboró y aprobó en Comité Institucional de Coordinación de Control Interno, realizado el 21 de febrero de 2025, el Plan Anual de Auditorías 2025</t>
  </si>
  <si>
    <t>3.1</t>
  </si>
  <si>
    <t>Proyectar plan anual de auditorias 2026, para aprobación del Comité Institucional de Coordinación de Control Interno</t>
  </si>
  <si>
    <t>Acta de aprobación del Plan Anual de Auditorias .</t>
  </si>
  <si>
    <t>Planes  de auditorias aprobados</t>
  </si>
  <si>
    <t>Número de planes de auditoria  aprobados</t>
  </si>
  <si>
    <t xml:space="preserve">Oficina Asesora de Planeación </t>
  </si>
  <si>
    <t>Sergio Mauricio Arciniegas Roman
(Angélica Patiño)</t>
  </si>
  <si>
    <t>10. Ataque frontal a la corrupción</t>
  </si>
  <si>
    <t xml:space="preserve">4.3. Democratización del estado y erradicación del regimen de corrupición </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</si>
  <si>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</si>
  <si>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</si>
  <si>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6. Fortalecer la Gestión y desempeño del Sector Interior.</t>
  </si>
  <si>
    <t>27. Ataque frontal contra la corrupción
33. Tránsito hacia la paz total</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</si>
  <si>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</si>
  <si>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</si>
  <si>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solicitadas)*100</t>
  </si>
  <si>
    <t xml:space="preserve">Porcentaje </t>
  </si>
  <si>
    <t>El cumplimiento de la iniciativa está programado para el IV trimestre.</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</si>
  <si>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</si>
  <si>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</si>
  <si>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</si>
  <si>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</si>
  <si>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 xml:space="preserve">En el primer trimestre de 2025, se cumplió con las actividades 1.1 y 1.6, correspondientes a las acciones planificadas dentro del Plan Estratégico y de Acción. </t>
  </si>
  <si>
    <t>En el segundo trimestre de 2025, se dio cumplimiento a las actividades 1.1, 1.4 y 1.6, contempladas en el Plan Estratégico y de Acción. Como parte de estas acciones, se actualizó el modelo de operación por procesos mediante la actualización de 18 documentos. Asimismo, se capacitó a 7 colaboradores del Ministerio del Interior en el Sistema Integrado de Gestión Institucional (SIGI), y se realizó el seguimiento correspondiente a través del monitoreo de los indicadores de proceso, en línea con la meta establecida para el período.</t>
  </si>
  <si>
    <t>En el tercer trimestre de 2025, se dio cumplimiento a las actividades 1.1,1,2, 1.5 y 1.6, contempladas en el Plan Estratégico y de Acción. Como parte de estas acciones: se actualizó el modelo de operación por procesos mediante la actualización de 60 documentos; se elaboró el " Informe de gestión del Décimo Séptimo seguimiento de las rutas de implementación ScoreCard - RSC - Políticas de Modelo Integrado de Planeación y Gestión"; se realizó el seguimiento a los Riesgos de Gestión, Fiscal y de Seguridad de la Información - semestral, y Riesgos de Corrupción - I Cuatrimestre, y  Riesgos de corrupción - II Cuatrimestre; finalmente, se realizó el seguimiento correspondiente a través del monitoreo de los indicadores de proceso, en línea con la meta establecida para el período.</t>
  </si>
  <si>
    <t>Actualización del modelo de operación por procesos en el Ministerio del Interior</t>
  </si>
  <si>
    <t>Documentos</t>
  </si>
  <si>
    <t>Sistema de Gestión Actualizado</t>
  </si>
  <si>
    <t>(Número de documentos por proceso actualizados/Número de documentos por proceso solicitados para actualización)*100</t>
  </si>
  <si>
    <t>Inversión</t>
  </si>
  <si>
    <t>C-3799-1000-16</t>
  </si>
  <si>
    <t>FORTALECIMIENTO DEL SISTEMA INTEGRADO DE GESTIÓN DEL MINISTERIO DEL INTERIOR EN EL TERRITORIO NACIONAL</t>
  </si>
  <si>
    <t>Planeación, direccionamiento estratégico y comunicaciones</t>
  </si>
  <si>
    <t xml:space="preserve">Dimensión de Gestión con Valores para el Resultado </t>
  </si>
  <si>
    <t>Fortalecimiento institucional y simplificación de procesos</t>
  </si>
  <si>
    <t>OAP I TRIM: En la actividad 1.1., se ajusta la unidad de medida y la meta del IV trimestre, pasando de número a porcentaje; de 1 a 100%
OAP 11.06.2024: De acuerdo con el correo electrónico del Jefe de la OAP del 11 de junio de 2024, se realiza ajuste en la columna "DU", correspondiente al "% Participación indicador frente al proceso" de la actividad 1.1., pasado del 20% al 10%, las modificaciones relacionadas obedecen a sugerencias dadas por la Oficina de Control Interno - OCI en el documento "Informe de seguimiento a los indicadores por proceso institucional, con corte al primer trimestre de 2024"
OAP_I TRIM_2025: Se cambia el nombre del tipo de acumulación cuyo objetivo es mantener, pasando de "Mantenimiento" a "Stock". Lo anterior de conformidad con lo establecido en la guía para la elaboración y análisis de indicadores del DNP.
OAP 03.06.2025: De acuerdo a solicitud realizada por el jefe de la OAP y coordinación del Grupo de Mejoramiento Continuo, se procede a ajustar la fórmula de cálculo del indicador asociado a la actividad 1.1. El cambio obedece a las recomendaciones emitidas por la Oficina de Control Interno en el "Informe de seguimiento a los indicadores institucionales, con corte al primer trimestre 2025".</t>
  </si>
  <si>
    <t>Realizar seguimiento al desempeño del Sistema Integrado de Gestión Institucional (SIGI), mediante el cumplimiento de la meta de los indicadores de proceso, desde el rol de segunda línea de defensa.</t>
  </si>
  <si>
    <t>Nivel de cumplimiento de indicadores de proceso trimestralmente</t>
  </si>
  <si>
    <t>(Total indicadores de proceso que cumplen con la meta por trimestre/ Total de indicadores de proceso por trimestre) * 100</t>
  </si>
  <si>
    <t>Flujo</t>
  </si>
  <si>
    <t>Implementación de los lineamientos y mecanismos que integran el Modelo Integrado de Planeación y Gestión MIPG de la Entidad</t>
  </si>
  <si>
    <t xml:space="preserve">Seguimientos realizados a la implementación del Modelo Integrado de Planeación y Gestión MIPG </t>
  </si>
  <si>
    <t>Sumatoria de seguimientos realizados mediante las rutas ScoreCard</t>
  </si>
  <si>
    <t>Plan Anual de Adquisiciones</t>
  </si>
  <si>
    <t>No Aplica</t>
  </si>
  <si>
    <t>Formación y mejora de competencias en planeación y gestión a los funcionarios del Ministerio del Interior</t>
  </si>
  <si>
    <t>Listas de asistencia</t>
  </si>
  <si>
    <t>Personas capacitadas</t>
  </si>
  <si>
    <t>Sumatoria de personas capacitadas</t>
  </si>
  <si>
    <t>Realizar monitoreos a la gestión de riesgos (gestión, fiscal, corrupción y seguridad de la información) desde el rol de segunda línea de defensa a cargo de la Oficina Asesora de Planeación</t>
  </si>
  <si>
    <t>Monitoreos realizados a las matrices de riesgos de la entidad</t>
  </si>
  <si>
    <t>Sumatoria de monitoreos realizados a la gestión de riesgos de la entidad</t>
  </si>
  <si>
    <t>Sergio Mauricio Arciniegas Roman
(Diana Vivas)</t>
  </si>
  <si>
    <t>Asegurar el seguimiento a los objetivos, metas y compromisos contemplados en los diferentes instrumentos de planeación sectorial e institucional con el fin de contribuir al impacto eficiente de la gestión de la entidad.</t>
  </si>
  <si>
    <t>Porcentaje de acciones implementadas para el aseguramiento del seguimiento de los  diferentes objetivos, metas y compromisos del Ministerio del Interior.</t>
  </si>
  <si>
    <t>(Número de actividades realizadas/Número de actividades programadas)*100</t>
  </si>
  <si>
    <t>Durante el primer trimestre de 2023 se realizó seguimiento de las metas y compromisos reportadas por las dependencias del Ministerio, así: 
Enero, (3): (1) Sinergia. (1) SIIPO (1)Indicadores de procesos.
Febrero, (2): (1) Sinergia. (1) SIIPO. 
Marzo(5): (1)Plan estratégico institucional integral. (1) Plan Estratégico Sectorial. (1) Sinergia. (1)Sisconpes. (1) SIIPO.</t>
  </si>
  <si>
    <t>Las metas y compromisos realiazadas durante el segundo trimestre, se llevaron a cabo los seguimientos y compromisos de los siguientes reportes:
Abril(3): (1)SIIPO. (1) Indicadores de Procesos. (1)Plan estrategico institucional integral
Mayo(4): (1)Plan estrategico institucional integral. (1) Plan Estrategico Sectorial. (1)Sisconpes. (1) SIIPO.
Junio (1):  (1)SIIPO.</t>
  </si>
  <si>
    <t>Durante el tercer trimestre de 2023 se realizó seguimiento de las metas y compromisos reportadas por las dependencias del Ministerio, así: 
Julio(3): (1)SIIPO. (1) Indicadores de Procesos. (1) Sinergia Cierre PND 2018-2022.
Agosto(3): (1) SIIPO. (1)Plan estrategico institucional y de acción II Trimestre. (1)Sisconpes.
Septiembre(2):  (1)SIIPO.  (1) Plan Estrategico Sectorial -Se realizó la solicitud-.</t>
  </si>
  <si>
    <t>Durante el cuarto trimestre de 2023 se realizó seguimiento de las metas y compromisos reportadas por las dependencias del Ministerio, así:
Octubre(2): (1)SIIPO. (1) Indicadores de Procesos. (1)
Noviembre(2): (1) SIIPO. (1)Plan estrategico institucional y de acción III Trimestre.
Diciembre(2):  (1)SIIPO.  (1) Plan Estrategico Sectorial -Se realizó publicación en página web</t>
  </si>
  <si>
    <t>Durante la vigencia 2023 se realizaron 32 seguimientos de las metas y compromisos reportados por las dependencias del Ministerio del Interior, en los diferentes marcos de seguimiento como SIIPO, SisConpes, Sinergia e instrumentos de planeación institucional, para un cumplimiento del 100% de la meta de la actividad</t>
  </si>
  <si>
    <t>Durante el I trimestre se realizaron 7 reportes de seguimiento y formulación de instrumentos de planeación, desagregados así:
Enero(6): 1. IV trimestre del PEI y de Acción 2023; 2. IV trimestre 2023 del PES; 3. IV trimestre 2023 de los indicadores de proceso; 4. Formulación del PEI y de Acción 2024; 5. Seguimiento de SIIPO; 6. Formulación del Plan Anticorrupción 2024
Febrero(1): Seguimiento de SIIPO.</t>
  </si>
  <si>
    <t>Durante el II trimestre se realizaron 4 seguimientos de instrumentos de planeación, desagregados así:
Abril(2): 1. Seguimiento I trimestre del PEI y de Acción 2024. 2. Reporte avance de indicadores de proceso del I trimestre de 2024. 
Mayo(1): Seguimiento I trimestre PES 2024
Junio(1): Solicitud avance de indicadores del PND</t>
  </si>
  <si>
    <t>Durante el III trimestre se realizaron 5 seguimientos de instrumentos de planeación, desagregados así:
Julio(2): Seguimiento II trimestre del PEI y de Acción 2024.
Seguimiento II trimestre del PES 2024. 
Agosto(2): Reporte avance de indicadores de proceso del II trimestre de 2024.
Solicitud avance de indicadores del DNP (Indicadores de producto y resultado e indicadores de gestión)
Septiembre(1): Solicitud avance de indicadores del PND (Indicadores de producto y resultado e indicadores de gestión)</t>
  </si>
  <si>
    <t>Durante el IV trimestre de 2024 se realizaron 6 seguimientos de instrumentos de planeación, desagregados así; 
Octubre(3): Seguimiento III trimestre del PEI y de Acción 2024
Seguimiento PES III trimestre de 2024
Solicitud avance de indicadores del DNP
Noviembre(2): Reporte avance indicadores de proceso III trimestre 2024
Solicitud avance de indicadores del DNP.
Diciembre(1): Solicitud avance de indicadores del DNP</t>
  </si>
  <si>
    <t>Durante el 2024 se realizaron 22 seguimientos a instrumentos de planeación, desagregados así: 
Formulación PEI y de Acción 2024 y Plan Anticorrupción, 4 seguimientos al PES, 4 reportes de avance Indicadores de Proceso, 4 seguimientos PEI y de Acción, 6 solicitudes de avance indicadores DNP - SINERGIA y 2 seguimientos SIIPO</t>
  </si>
  <si>
    <t xml:space="preserve">Para el primer trimestre de 2025 se tenían programadas 5 actividades, las cuales se desarrollaron totalmente, así: 
1. Se realizaron  31 seguimientos y/o actualizaciones a las metas y compromisos del Ministerio del Interior (16 en enero, 6 en febrero y 9 en marzo).
2. En el mes de marzo se realizaron tres (3) asistencias técnicas para la  formulación, actualización de las fichas técnicas y seguimientos de indicadores del PND.
3. Se realizaron 4 asistencias técnicas para la formulación, implementación y seguimiento de Políticas Públicas (2 en febrero y 2 en marzo)
4. Se apoyo en la preparación del informe de la gestión realizada por el Ministerio en la vigencia 2024 y en el informe SIRECI requerido por la Contraloría.
5. Se realizaron 2 capacitaciones para el fortalecimiento de la formulación y evaluación de indicadores en el marco de los diferentes instrumentos de planeación, CONPES y Políticas Públicas. (1 en febrero y 1 en marzo).
</t>
  </si>
  <si>
    <t xml:space="preserve">Para el segundo trimestre de 2025 se tenían programadas 5 actividades, las cuales se desarrollaron en su totalidad, así: 
1. Se realizaron  15 seguimientos y/o actualizaciones a las metas y compromisos del Ministerio del Interior (6 en abril, 3 en mayo y 6 en junio).
2. En este periodo se realizaron 12 asistencias técnicas para la  formulación, actualización de las fichas técnicas y seguimientos de indicadores del PND (4 en abril, 5 en mayo y 3 en junio).
3. Se realizaron 10 asistencias técnicas para la formulación, implementación y seguimiento de Políticas Públicas (3 en abril, 6 en mayo y 1 en junio)
4. Se presentaron seis informes sobre la gestión del Ministerio del Interior, relacionados con el cumplimiento de Indicadores Sectoriales y Étnicos PND 2022 - 2026 - Sinergia
5. Se realizó una (1) capacitación para el fortalecimiento de la formulación y evaluación de indicadores en el marco de los diferentes instrumentos de planeación, CONPES y Políticas Públicas.
</t>
  </si>
  <si>
    <t xml:space="preserve">Para el tercer trimestre de 2025 se tenían programadas 5 actividades, las cuales se desarrollaron en su totalidad, así: 
1. Se realizaron 7 seguimientos y 15 actualizaciones a las metas y compromisos del Ministerio del Interior.
2. En este periodo se realizaron 10 asistencias técnicas para la  formulación, actualización de las fichas técnicas y seguimientos de indicadores del PND (3 en julio, 6 en agosto y 1 en septiembre).
3. Se realizaron 18 asistencias técnicas para la formulación, implementación y seguimiento de Políticas Públicas  (9 en julio, 7 en agosto y 2 en septiembre)
4. Se presentaron 9 informes sobre la gestión del Ministerio del Interior, 7 relacionados con el cumplimiento de Indicadores Sectoriales y Étnicos PND 2022 - 2026 - Sinergia y 2 informes referentes al cumplimiento de metas del PND.
5. Se realizó una (1) capacitación para el fortalecimiento de la formulación y evaluación de indicadores en el marco de los diferentes instrumentos de planeación, CONPES y Políticas Públicas.
</t>
  </si>
  <si>
    <t>Atender los lineamientos previstos en las normas para la formulación, actualización y seguimiento de Planes Estratégicos</t>
  </si>
  <si>
    <t>Instrumentos de planeación</t>
  </si>
  <si>
    <t>Formulación, seguimiento y actualizaciones a las metas y compromisos del Ministerio del Interior atendidos</t>
  </si>
  <si>
    <t>(Número de formulaciones, seguimientos y actualizaciones atendidos/Número de formulaciones, seguimientos y actualizaciones requeridos)*100%</t>
  </si>
  <si>
    <t>Dimensión de Gestión con Valores para el Resultado</t>
  </si>
  <si>
    <t>OAP_I TRIM_2025: Se cambia el nombre del tipo de acumulación cuyo objetivo es mantener, pasando de "Mantenimiento" a "Stock". Lo anterior de conformidad con lo establecido en la guía para la elaboración y análisis de indicadores del DNP.</t>
  </si>
  <si>
    <t>Sergio Mauricio Arciniegas Román
(Diana Vivas)</t>
  </si>
  <si>
    <t xml:space="preserve">4.3. Democratización del estado y erradicación del régimen de corrupción </t>
  </si>
  <si>
    <t>2.2</t>
  </si>
  <si>
    <t>Acompañamiento en la formulación, actualización y seguimiento de los indicadores y fichas técnicas para el monitoreo efectivo de los compromisos adquiridos  por el Ministerio del Interior</t>
  </si>
  <si>
    <t>Listas de asistencia y/o actas</t>
  </si>
  <si>
    <t>Asistencias técnicas realizadas para la formulación, actualización y seguimiento de los indicadores y fichas técnicas</t>
  </si>
  <si>
    <t>(Número de asistencias técnicas  realizadas/número de asistencias técnicas requeridas)*100%</t>
  </si>
  <si>
    <t>2.3</t>
  </si>
  <si>
    <t>Acompañamiento en la formulación, implementación, seguimiento y monitoreo de Políticas Públicas y documentos CONPES en los que tenga responsabilidad el Ministerio del Interior.</t>
  </si>
  <si>
    <t>Acompañamientos para la formulación, implementación, seguimiento y monitoreo de Políticas Públicas y documentos CONPES realizados</t>
  </si>
  <si>
    <t>(Número de asistencias técnicas realizadas/número de asistencias técnicas requeridas)*100%</t>
  </si>
  <si>
    <t>2.4</t>
  </si>
  <si>
    <t>Elaboración de informes y/o reporte sobre la gestión realizada por el Ministerio y/o Sector Interior</t>
  </si>
  <si>
    <t>Informes y/o reportes</t>
  </si>
  <si>
    <t>Informes y/o reportes elaborados sobre la gestión realizada por el Ministerio y/o Sector del Interior.</t>
  </si>
  <si>
    <t>Sumatoria de informes y/o reportes elaborados</t>
  </si>
  <si>
    <t>2.5</t>
  </si>
  <si>
    <t>Fortalecer la gestión de formulación y evaluación de indicadores en el marco de los diferentes instrumentos de planeación, CONPES y Políticas Públicas.</t>
  </si>
  <si>
    <t>Listado de asistencia, capacitaciones e infografía</t>
  </si>
  <si>
    <t>Capacitaciones relacionadas con la formulación y evaluación de indicadores en el marco de los diferentes instrumentos de planeación, CONPES y Políticas Públicas.</t>
  </si>
  <si>
    <t>Sumatoria de capacitaciones realizadas</t>
  </si>
  <si>
    <t>2.6</t>
  </si>
  <si>
    <t>Gestionar capacitaciones y campañas para la prevención de la corrupción como parte de la implementación del PTEP y la conmemoración del día de lucha contra la corrupción.</t>
  </si>
  <si>
    <t>Listado de asistencia, capacitaciones, y/o piezas gráficas</t>
  </si>
  <si>
    <t>Capacitaciones y campañas realizadas para la prevención de la corrupción</t>
  </si>
  <si>
    <t>Sumatoria de capacitaciones y campañas realizadas</t>
  </si>
  <si>
    <t>PTEP</t>
  </si>
  <si>
    <t>Sergio Mauricio Arciniegas Román
(Natalia Rojas)</t>
  </si>
  <si>
    <t>Fortalecimiento de competencias y capacidades en programación y gestión presupuestal de las dependencias del Ministerio del Interior y entidades del sector.</t>
  </si>
  <si>
    <t>Implementación de estrategias de acompañamiento para el fortalecimiento de la capacidad en programación y gestión presupuestal</t>
  </si>
  <si>
    <t xml:space="preserve">(Sumatoria de los avances porcentuales de las actividades realizadas/ Número de actividades programadas)*100 </t>
  </si>
  <si>
    <t xml:space="preserve">En el primer trimestre el Grupo de Programación y Gestión Presupuestal de la Oficina Asesora de Planeación, con el propósito de fortalecer las competencias y conocimientos de los enlaces encargados de la gestión presupuestal de cada una de las dependencias de la entidad, realizo dos socializaciones.
Realizó 1 seguimiento con corte a 28 de febrero de 2022, se remitieron 12  memorandos de seguimiento a los Directores, Subdirectores y Jefes de Oficina, (1 para cada dependencia), durante los primeros días del mes de marzo del presente año.
En le primer trimestre se realizo acompañamiento a las dependencias del Ministerio del Interior en el proceso eficiente de la actualización de nueve proyectos de inversión, los cuales en su totalidad fueron  viabilizados por el Departamento Nacional de Planeación DNP. </t>
  </si>
  <si>
    <t>En el segundo trimestre el Grupo de Programación y Gestión Presupuestal de la Oficina Asesora de Planeación, realizó 3 seguimientos mensuales a la ejecución presupuestal del Ministerio con corte a 31 de marzo, 30 de abril y 31 de mayo; se remitieron 12  memorandos de seguimiento a los Directores, Subdirectores y Jefes de Oficina, (1 para cada dependencia, por cada mes), durante los primeros días del mes de abril, mayo y junio del presente año.
En el segundo trimestre se realizo acompañamiento a las dependencias del Ministerio del Interior en el proceso eficiente de la actualización de nueve proyectos de inversión, los cuales en su totalidad fueron  viabilizados por el Departamento Nacional de Planeación DNP. 
En el segundo trimestre también se realizo acompañamiento a las dependencias del Ministerio del Interior, en la solicitud de actualización de 8 proyectos de inversión, que fueron enviados a través de la Plataforma Integrada de Inversión Pública - PIIP al Departamento Nacional de Planeación - DNP y en su totalidad fueron aprobadas.</t>
  </si>
  <si>
    <t>En el tercer trimestre el Grupo de Programación y Gestión Presupuestal de la Oficina Asesora de Planeación, realizó 3 seguimientos mensuales a la ejecución presupuestal del Ministerio con corte a 30 de junio, 31 de julio y 31 de agosto; se remitieron 12 memorandos de seguimiento a los Directores, Subdirectores y Jefes de Oficina, (1 para cada dependencia, por cada mes), durante los primeros días del mes de abril, mayo y junio del presente año.
En el tercer trimestre también se realizó acompañamiento a las dependencias del Ministerio del Interior, en la solicitud de actualización de 9 proyectos de inversión, que fueron enviados a través de la Plataforma Integrada de Inversión Pública - PIIP al Departamento Nacional de Planeación - DNP y en su totalidad fueron aprobadas.</t>
  </si>
  <si>
    <t>En el cuarto trimestre el Grupo de Programación y Gestión Presupuestal de la Oficina Asesora de Planeación, realizó 3 seguimientos mensuales a la ejecución presupuestal del Ministerio con corte a 30 de septiembre, 31 de octubre y 30 de noviembre; se remitieron 12 memorandos de seguimiento a los Directores, Subdirectores y Jefes de Oficina, (1 para cada dependencia, por cada mes), durante los primeros días del mes de octubre, noviembre y diciembre del presente año. En el cuarto trimestre también se realizó acompañamiento a las dependencias del Ministerio del Interior, en la solicitud de actualización de 28 proyectos de inversión, que fueron enviados a través de la Plataforma Integrada de Inversión Pública - PIIP al Departamento Nacional de Planeación - DNP y en su totalidad fueron aprobadas.</t>
  </si>
  <si>
    <t>Durante la vigencia 2023,  el Grupo de Programación y Gestión Presupuestal de la Oficina Asesora de Planeación, realizó 10 seguimientos mensuales a la ejecución presupuestal. Así mismo  se realizó acompañamiento a las dependencias del Ministerio del Interior, en la solicitud de actualización de proyectos de inversión, que fueron enviados a través de la Plataforma Integrada de Inversión Pública - PIIP al Departamento Nacional de Planeación - DNP y en su totalidad fueron aprobadas.</t>
  </si>
  <si>
    <t>Durante el primer trimestre de 2024, el Grupo de Programación y Gestión Presupuestal de la Oficina Asesora de Planeación; realizo una socialización de "Programación Presupuestal 2025 (Anteproyecto de Presupuesto 2025); realizó un seguimiento mensual a la ejecución presupuestal con corte a 29 de febrero; y así mismo realizó acompañamiento a las dependencias del Ministerio del Interior, en la solicitud de veintiséis viabilidades de proyectos de inversión, que fueron enviados a través de la Plataforma Integrada de Inversión Pública - PIIP al Departamento Nacional de Planeación - DNP y en su totalidad fueron aprobadas.</t>
  </si>
  <si>
    <t>En el segundo trimestre el Grupo de Programación y Gestión Presupuestal de la Oficina Asesora de Planeación, organizó el comité de Marco de Gasto de Mediano Plazo - MGMP 2025-2028; con el Ministerio de Hacienda y Crédito Público; y Departamento Nacional de Planeación – DNP.
Se realizaron tres seguimientos mensuales a la ejecución presupuestal.
Se realizó acompañamiento a las dependencias del Ministerio del Interior en el proceso eficiente de viabilización de 7 proyectos de inversión nuevos para la vigencia 2025, los cuales en su totalidad fueron  viabilizados por el Departamento Nacional de Planeación DNP.</t>
  </si>
  <si>
    <t xml:space="preserve">En el tercer trimestre el Grupo de Programación y Gestión Presupuestal de la Oficina Asesora de Planeación, realizó tres seguimientos mensuales a la ejecución presupuestal.
Organizó una jornada de capacitación en Seguimiento a los procesos en la PIIP, realizando  una  jornada presencial de capacitación para el manejo de la plataforma.
Realizó el proceso de programación presupuesto de Inversión acorde  a la comunicación de la cuota de Inversión 2025 del 10 de julio de 2024 emitida por el Departamento Nacional de Planeación (DNP)
</t>
  </si>
  <si>
    <t xml:space="preserve">En el cuarto trimestre el Grupo de Programación y Gestión Presupuestal de la Oficina Asesora de Planeación, realizó dos seguimientos mensuales a la ejecución presupuestal.
El  11 de Diciembre de 2024 se llevo a cabo un Taller de Gestión presupuestal encaminado a desarrollar la planeación estratégica y las actualizaciones de los programas de funcionamiento e inversión en la Plataforma PIIP para el cierre de la vigencia 2024 e inicio 2025
</t>
  </si>
  <si>
    <t>Durante la vigencia 2024 el Grupo de programación y Gestión presupuestal de la Oficina Asesora e Planeación, realizó  (9) seguimientos  a la ejecución presupuestal y desarrollo (2) capacitaciones presenciales con las dependencias del Ministerio del Interior  con un cumplimiento del 100% de las metas proyectadas.</t>
  </si>
  <si>
    <t xml:space="preserve">El Grupo de Programación y Gestión Presupuestal de la Oficina Asesora de Planeación, en el primer trimestre de 2025,  Se realizó el acompañamiento a las dependencias del Ministerio del Interior en la elaboración, revisión y consolidación del Anteproyecto para la vigencia 2026. Lo anterior fue radicado ante Min Hacienda por medio de la herramienta SITPRES. </t>
  </si>
  <si>
    <t>En el segundo trimestre el Grupo de Programación y Gestión Presupuestal de la Oficina Asesora de Planeación, realizó: Un informe general de Ejecución Presupuestal del primer trimestre 2025, 
Se realizaron dos seguimientos mensuales a la ejecución presupuestal.
Se realizó acompañamiento a las dependencias del Ministerio del Interior en el proceso eficiente de viabilización, teniendo como resultado (1 ) proyecto de inversión nuevo para la vigencia 2026 el cual fue viabilizado por el  Departamento Nacional de Planeación DNP.</t>
  </si>
  <si>
    <t>En el tercer trimestre el Grupo de Programación y Gestión Presupuestal de la Oficina Asesora de Planeación, realizó: 
Tres seguimientos mensuales a la ejecución presupuestal.
Se realizó acompañamiento a las dependencias del Ministerio del Interior en el proceso eficiente, teniendo como resultado la viabilidad de un (1) proyecto inversión de la Dirección de Derechos Humanos; el cual fue  viabilizado por el Departamento Nacional de  Planeación DNP.</t>
  </si>
  <si>
    <t>Fortalecer la programación presupuestal del Ministerio del Interior</t>
  </si>
  <si>
    <t>Actividades realizadas en materia de programación y gestión presupuestal.</t>
  </si>
  <si>
    <t>Sumatoria del número de actividades realizadas en materia de programación y gestión presupuestal.</t>
  </si>
  <si>
    <t>Direccionamiento Estratégico y Planeación</t>
  </si>
  <si>
    <t>Gestión Presupuestal y Eficiencia del Gasto Público</t>
  </si>
  <si>
    <t>OAP 14.01.2025: De conformidad con la viabilidad radicado No. 2025-3-001102-001006 Id: 473685 de fecha 10.01.2025, se actualiza el valor presupuestal de la actividad 3.1. 
OAP_I TRIM_2025: Se cambia el nombre del tipo de acumulación cuyo objetivo es mantener, pasando de "Mantenimiento" a "Stock". Lo anterior de conformidad con lo establecido en la guía para la elaboración y análisis de indicadores del DNP.</t>
  </si>
  <si>
    <t>3.2</t>
  </si>
  <si>
    <t xml:space="preserve"> Elaborar y enviar mensualmente a las dependencias del Ministerio del Interior el estado de la ejecución presupuestal. </t>
  </si>
  <si>
    <t>Memorandos</t>
  </si>
  <si>
    <t xml:space="preserve"> Memorandos de ejecución presupuestal, elaborados y remitidos a las dependencias</t>
  </si>
  <si>
    <t>Sumatoria de  memorandos elaborados y enviados mensualmente a las dependencias del Ministerio del Interior.</t>
  </si>
  <si>
    <t>3.3</t>
  </si>
  <si>
    <t>Acompañar a las dependencias del Ministerio del Interior en el proceso eficiente de la viabilización de proyectos de inversión y/o progamas misionales de funcionamiento</t>
  </si>
  <si>
    <t>Documentos (Viabilidades)</t>
  </si>
  <si>
    <t xml:space="preserve"> Proyectos de inversión y/o programas misionales de funcionamiento viabilizados por la Oficina Asesora de Planeación.</t>
  </si>
  <si>
    <t>(Número  de viabilidades expedidas por OAP  / Numero de  viabilidades solicitadas a la OAP)*100%</t>
  </si>
  <si>
    <t>3.4</t>
  </si>
  <si>
    <t xml:space="preserve">Acompañar a las dependencias del Ministerio del Interior en el proceso eficiente de las solicitudes de los trámites presupuestales </t>
  </si>
  <si>
    <t>Documentos (Radicados Sitpres y/o resoluciones)</t>
  </si>
  <si>
    <t xml:space="preserve">Trámites presupuestales gestionados </t>
  </si>
  <si>
    <t>(Trámites presupuestales gestionados / trámites presupuestales solicitados)*100%</t>
  </si>
  <si>
    <t>Sergio Mauricio Arciniegas 
(G. Conocimiento)</t>
  </si>
  <si>
    <t>22. Conocimiento que transforma el país</t>
  </si>
  <si>
    <t>Aplicar una estrategia integral para mejorar la implementación de la política de gestión del conocimiento y la innovación en el marco del MIPG del Ministerio del Interior, para la atención de los grupos de valor a nivel nacional</t>
  </si>
  <si>
    <t xml:space="preserve">Porcentaje de actividades realizadas para mejorar la implementación de la política de gestión del conocimiento y la innovación en el marco del MIPG </t>
  </si>
  <si>
    <t>(Número de actividades realizadas / Número de actividades programadas) * 100</t>
  </si>
  <si>
    <t>65.5%</t>
  </si>
  <si>
    <t>68.5%</t>
  </si>
  <si>
    <t>Durante el primer trimestre se realizaron 5 asistencias técnicas para las áreas misionales encargadas de la estrategia de banco de proyectos, que son: DAR, DDHH, DDPCAC, DACNARP y Viceministerio de Dialogo social. Con lo anterior, se dio cumplimiento a la actividad denominada "Asistencia técnica para el diagnóstico de necesidades, estructuración de procedimiento, diseño metodológico, gestión y negociación con actores públicos, privados y de cooperación"</t>
  </si>
  <si>
    <t>Durante el segundo trimestre se ejecutaron 2 actividades. El resultado alcanzado de la meta para la actividad de "Asistencia técnica para el diagnostico de las necesidades, estructuración de procedimiento, diseño metodológico, gestión y negociación con actores públicos, privados y de cooperación", se cumplió con la actividad programada haciendo seguimiento a la negociación con el operador logístico del banco de proyectos, mediante 4 asistencias técnicas para las áreas misionales encargadas de la estrategia de banco de proyectos, que son DAR, DDHH, DACNARP y Viceministerio de Dialogo social. 
Asimismo, se cumplió la actividad "Desarrollar estrategias de difusión y marketing disruptivas y de alto impacto para dar a conocer la Red de Gestión de Conocimiento y la Innovación" mediante la realización de 3 talleres de capacitación de red de gestión del conocimiento e innovación para un total de 39 personas y 19 personas inscritas al curso de la ESAP.</t>
  </si>
  <si>
    <t>Durante el tercer trimestre se ejecuto (1) actividad. El resultado alcanzado de la meta para la actividad de " Desarrollar e implementar metodologías y estrategias que permitan plantear proyectos de innovación pública en el Ministerio del Interior, mediante la creación de un Portafolio de innovación. y Gestionar alianzas estratégicas con Grupos de Investigación, Desarrollo Tecnológico y de Innovación, de orden nacional e internacional, para el fortalecimiento en los procesos de Gestión del Conocimiento y la Innovación" estaba programado para el cuarto trimestre del año y se cumplio con la actividad en este trimestre  generando la versión final del Portafolio de  Innovación y realizando las siguientes actividades:
-Se organizó el listado de Entidades a firmar Alianzas Estratégicas.
-Se organizo la versión final del Memorando de Entendimiento con el que se formalizan las Alianzas Estratégicas.</t>
  </si>
  <si>
    <t>Durante el cuarto trimestre se realizó el evento: " Cuarto encuentro de Políticas Públicas" CONPES 4083 del 2022 en el Hotel Habitel el día 19 de noviembre al cual asistieron 59 personas capacitadas, para un total de 206 personas capacitadas en el año , se entregó el documento metodológico “Guía para la presentación verificación de proyectos requisitos financieros”.</t>
  </si>
  <si>
    <t>Durante el año se realizaron 9 asistencias técnicas , la meta programada eran 2.Se cumplido con la actividad para dar a conocer la Red de GESCO+I con  206 personas capacitadas, Se entrego documento metodológico,doc portafolio de innovación, documento de lineamiento técnico y se realizó el diseño para la adecuación del Laboratorio de Innovación.</t>
  </si>
  <si>
    <t xml:space="preserve">Durante el Primer Semestre de la vigencia 2025 se realizaron 5 asistencias técnicas - 4 correspondientes a la Estrategia Banco de Iniciativas - Resolución 2105 de 2024., y 1 Asistencia con Universidad Externado de Colombia. Se realizó actividad para dar a conocer la Red de Gestión del Conocimiento y la Innovación con 31 personas capacitadas, se entrego documento metodológico de lineamiento técnico, de acuerdo con los procesos establecidos en SIGI de la Entidad, y la a infografía de este proceso. Es de anotar que los documentos entregados se encuentran en formalización de acuerdo con el SIGI. </t>
  </si>
  <si>
    <t xml:space="preserve">Durante el Segundo Semestre de la vigencia 2025 se realizaron 35  asistencias técnicas. 11 correspondientes a la Estrategia de Banco de Iniciativas - Resolución 2105 de 2024 y 1 asistencia técnica con la Corporación Unificada de Educación Superior CUN.. Se realizaron 8 Asistencias técnicas correspondientes al tema de Participación Ciudadana y Rendición de Cuentas,  10 Asistencias técnicas correspondientes al tema de Trabajo Sectorial. Se realizó actividad para dar a conocer la Red de Gestión del Conocimiento y la Innovación con 273 personas capacitadas. Se entregó documento (2) metodológicos de lineamiento técnico de acuerdo con los procesos establecidos en SIGI . Se presento la propuesta de Solución Tecnológica. </t>
  </si>
  <si>
    <t>Durante el tercer trimestre de 2025 se fortaleció la cultura de innovación en la Entidad mediante actividades: articulación con la CUN, 1 taller de metodologias participativa de innovación (participaron 32 personas) y se desarrollo su respectivo documento metodologico, se desarrollò una capacitación virtual sobre Buenas Practicas (participaron 36 personas) y se realizó un seminario sobre gestión del conocimiento, IA  e innovación (participaron 127 personas),  se desarrolló se desarrollo la solución tecnologica integral con base en analitica de datos desde los tableros Power Bi de Banco de Proyectos -Sigob Cumple y Regionalización, para la automatización de los distintos procesos de la Entidad. Igualmente,  para este periodo se llevaron 4 asistencias técnicas sobre Banco de Proyectos  y se desarrolló la  "Guia para la  clasificación de tipologías de iniciativas  presentada por las comunidades sujeto de  atención del Ministerio del Interior". Por otro lado, basado en los tableros Bi  se elaboró el reporte del Informe de Gestión a corte 30 de septiembre de 2025 presentado al señor Ministro.</t>
  </si>
  <si>
    <t>4.1</t>
  </si>
  <si>
    <t>Desarrollar e implementar metodologías y estrategias que permitan plantear proyectos de innovación pública en el Ministerio del Interior, mediante la creación de un Portafolio de innovación, encaminado a la gestión de alianzas estratégicas con Grupos de Investigación, Desarrollo Tecnológico y de Innovación.</t>
  </si>
  <si>
    <t>Proyectos de Innovación, Portafolio de Innovación, y/o alianzas estratégicas</t>
  </si>
  <si>
    <t>Proyectos de Innovación realizados</t>
  </si>
  <si>
    <t>Sumatoria de proyectos de Innovación realizados</t>
  </si>
  <si>
    <t>Proyecto de Inversión</t>
  </si>
  <si>
    <t>C-3799-1000-19</t>
  </si>
  <si>
    <t>APLICACIÓN DE UNA ESTRATEGIA INTEGRAL PARA MEJORAR LA IMPLEMENTACIÓN DE LA POLÍTICA DE GESTIÓN DEL CONOCIMIENTO Y LA INNOVACIÓN EN EL MARCO DEL MIPG DEL MINISTERIO DEL INTERIOR, PARA LA ATENCIÓN DE LOS GRUPOS DE VALOR A NIVEL NACIONAL</t>
  </si>
  <si>
    <t>Gestión del conocimiento y la innovación</t>
  </si>
  <si>
    <t>OAP I TRIM: Se eliminan las actividades 4.2. y 4.3. articulándose en la actividad 4.1.
OAP 11.07.2024. De acuerdo a solicitud realizada mediante correo electrónico el día 11.07.2024. Se realiza un ajuste en las celdas "AV31", "BQ31" correspondientes al avance cualitativo y cuantitativo del primer trimestre del 2024 de la iniciativa 4 ya que si bien no se tenían actividades programadas si se desarrollo la actividad 4.6.  En el avance cuantitativo se indica que se desarrollo 1 actividad de 1 programada y en el avance cualitativo se describe que actividad se desarrollo y como se dio cumplimiento a la misma.
OAP 18.07.2024. De acuerdo a solicitud realizada mediante correo electrónico de fecha 18.07.2024 y de conformidad con lo establecido en la guía para la construcción y análisis de indicadores se procede a modificar el tipo de acumulación del indicador de la iniciativa 4 (celda "Q31"), cambiando de "Acumulado" a "Flujo". Las modificaciones obedecen a sugerencias realizadas dentro del proceso de avance seguimiento PEI y de Acción II trimestre de 2024.</t>
  </si>
  <si>
    <t>(Número de actividades realizadas / Número de actividades programadas) * 101</t>
  </si>
  <si>
    <t xml:space="preserve">Número </t>
  </si>
  <si>
    <t>4.2</t>
  </si>
  <si>
    <t>Desarrollar estrategias de difusión y marketing disruptivas y de alto impacto para dar a conocer la Red de Gestión de Conocimiento y la Innovación</t>
  </si>
  <si>
    <t>Piezas gráficas  de difusión y Marketing desarrolladas.</t>
  </si>
  <si>
    <t>Piezas gráficas  de difusión y marketing desarrolladas</t>
  </si>
  <si>
    <t>Sumatoria  de estrategias de difusión y marketing desarrolladas</t>
  </si>
  <si>
    <t>4.3</t>
  </si>
  <si>
    <t>Implementar una solución tecnológica integral con base en analítica de datos que permita: automatizar los distintos procesos,  diseñar e implementar métodos de recolección de los datos cuantitativos y cualitativos, y la implementación de la Política de Gestión del Conocimiento y la Innovación</t>
  </si>
  <si>
    <t>Solución tecnológica y métodos de recolección de datos implementados (entrevistas, encuestas, análisis documental, etc)</t>
  </si>
  <si>
    <t>Soluciones tecnológicas y/o métodos de recolección de datos implementados</t>
  </si>
  <si>
    <t>Sumatoria de soluciones tecnológicas y métodos de recolección de datos implementados</t>
  </si>
  <si>
    <t>4.4</t>
  </si>
  <si>
    <t>Realizar asistencias técnicas  para el diagnóstico de necesidades, estructuración de procedimientos, diseño metodológico, gestión y negociación con actores públicos, privados y de cooperación</t>
  </si>
  <si>
    <t>Asistencias técnicas realizadas</t>
  </si>
  <si>
    <t>Sumatoria de asistencias técnicas realizadas</t>
  </si>
  <si>
    <t>4.5</t>
  </si>
  <si>
    <t>Elaborar documentos metodológicos que sirvan como insumo y apoyo para la formulación de proyectos e iniciativas innovadoras,evidenciando la  ruta que deben surtir las iniciativas desde su postulación hasta su etapa de aprobación por el Comité Asesor de Bancos del Ministerio del Interior.</t>
  </si>
  <si>
    <t>Documentos metodológicos</t>
  </si>
  <si>
    <t>Documentos metodológicos elaborados.</t>
  </si>
  <si>
    <t>Sumatoria de documentos metodologicos elaborados</t>
  </si>
  <si>
    <t>4.6</t>
  </si>
  <si>
    <t>Diseñar una estrategia integral de apalancamiento de recursos para proyectos e iniciativas innovadoras dirigidas a los Grupos de valor del Ministerio.</t>
  </si>
  <si>
    <t>Documento de diseño de la estrategia integral</t>
  </si>
  <si>
    <t>Estrategia integral diseñada.</t>
  </si>
  <si>
    <t>Número de estrategias integrales diseñadas</t>
  </si>
  <si>
    <t>4.7</t>
  </si>
  <si>
    <t>Desarrollar el Plan Estadístico Institucional (PEI) del Ministerio del Interior, articulado con los lineamientos del Sistema Estadístico Nacional – SEN para garantizar la calidad de las estadísticas, la definición de responsabilidades institucionales y la hoja de ruta para su implementación.</t>
  </si>
  <si>
    <t>Documento del Plan Estadístico Institucional</t>
  </si>
  <si>
    <t>Formulación del Plan Estadistico Institucional (PEI)</t>
  </si>
  <si>
    <t>Número de planes entregados</t>
  </si>
  <si>
    <t>Gestión del Conocimiento y la Innovación</t>
  </si>
  <si>
    <t>Política de Gestión de la Información Estadística</t>
  </si>
  <si>
    <t>4.8</t>
  </si>
  <si>
    <t xml:space="preserve">Analizar los registros administrativos existentes en las dependencias del Ministerio del Interior para identificar su potencial estadístico, evaluar su calidad, estructura y periodicidad, y determinar cuáles pueden consolidarse como operaciones estadísticas institucionales. </t>
  </si>
  <si>
    <t>Matriz de identificación de potenciales operaciones estadísticas</t>
  </si>
  <si>
    <t>Registros administrativos evaluados</t>
  </si>
  <si>
    <t>(N° registros evaluados / Total de registros administrativos identificados) × 100%</t>
  </si>
  <si>
    <t>4.9</t>
  </si>
  <si>
    <t>Realizar una audiencia pública e informe de rendición de cuentas para mostrar a la ciudadanía la información pertinente sobre la gestión del ministerio en la vigencia anterior</t>
  </si>
  <si>
    <t>Informe, Registro fotográfico, enlace de transmisión y/o listas de asistencia</t>
  </si>
  <si>
    <t>Audiencias públicas e informe de rendición de cuentas realizadas</t>
  </si>
  <si>
    <t>Número de audiencias públicas e informe de rendición de cuentas realizadas</t>
  </si>
  <si>
    <t>4.10</t>
  </si>
  <si>
    <t>Realizar la prestación de Servicios de tecnologia</t>
  </si>
  <si>
    <t>Registro fotografico, cotizaciones, servicicio de tecnologia</t>
  </si>
  <si>
    <t xml:space="preserve"> Servicios de tecnología prestados</t>
  </si>
  <si>
    <t>Número de servicios de tecnologia prestados  para la Gestión del Conocimiento y la Innovación</t>
  </si>
  <si>
    <t>Oficina de Información Pública del Interior</t>
  </si>
  <si>
    <t>Yitcy Becerra Díaz</t>
  </si>
  <si>
    <t>40. Conectividad y transformación digital</t>
  </si>
  <si>
    <t xml:space="preserve">2. DE UNA ECONOMÍA EXTRACTIVISTA HACIA UNA ECONOMÍA PRODUCTIVA 
2.1.3. Democratizar el espacio virtual: producir en red para conectar con el saber y los circuitos globales </t>
  </si>
  <si>
    <t xml:space="preserve">Transformación digital como motor de oportunidades e igualdad. (ART. 143°)
</t>
  </si>
  <si>
    <t>6. Fortalecer la gestión y desempeño del Sector Interior: Fortalecimiento Sectorial</t>
  </si>
  <si>
    <t>7. Fortalecer la capacidad Institucional promoviendo el talento humano, la participación ciudadana, la gestión del conocimiento e innovación y el uso de nuevas tecnologías, en el marco de la cultura de la transparencia, la legalidad y la gestión pública efectiva: Gestión pública efectiva</t>
  </si>
  <si>
    <t>22. Conocimiento que transforma al país</t>
  </si>
  <si>
    <t xml:space="preserve">Implementar soluciones tecnológicas innovadoras que den respuesta a las necesidades de la misionalidad de la entidad, promoviendo la estrategia de transformación digital en el marco de la política de Gobierno Digital </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</si>
  <si>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</si>
  <si>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</si>
  <si>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Se realizó ajustes a la interoperabilidad de la VUEP con la contraloria, se realizó la mejora y optimizacion de 4 sistemas de información de la plataforma BPM, se ejecutaron 7 actividades de actualización en la sede electrónica e intranet del Ministerio del Interior y en el cumplimiento de la ley 1712 del 2014 se realizaron 4 actividades. Esta activos los servicios de conectividad y colocacion.</t>
  </si>
  <si>
    <t>Para este trimestre se realizaron 9 actividades para la iniciativa dando respuesta a actualización del certificado de interoperabilidad X-ROAD;  6 solicitudes de viabilidad técnicxa de SI; contratos de antivirus, licencias de office 365, consumibles de impresión, PCT y Kactus, contratos de internet y colocación con tigo une; se realizaron 6 actividades de actualización y mejora del portal web.</t>
  </si>
  <si>
    <t>Se realizan las siguiente actividades: 1. Se comparte por parte de la AND la plantilla técnica de interoperabilidad - vinculación a servicios ciudadanos digitales.  2. Configuración ambiente QA interoperabilidad.
3. Interoperabilidad sistema de infomación URIEL, para integrar con la app movíl. 4. Ajuste postman de consumo servicio de autorreconocimiento NARP con el nuevo campo. 5. Actualización sistemas de información SIPI, URIEL, ASUNTOS RELIGIOSOS NO CATOLICOS, PAZ Y SALVO. 6. Adquisición impresoras carnets 7. equipos de comunicación 8.  mantenimiento aires acondicionados. 9.  actividades actualización y mejoras portal web. 10. actividades acompañamiento para cumplimiento ley 1712 de 2014</t>
  </si>
  <si>
    <t>Se dio respuesta a la solicitud de las Fuerzas Militares referente en interoperabilidad, se mejoraron 7 sistemas de información, se dio respuesta a las solicitudes de publicación en la página web, transparencia y datos abiertos de acuerdo a la ley 1712 y gobierno digital, se suscribieron los contratos de nube pública, suite de adobe, servicio de internet y colocación, se dio inició al Plan Estratégico de Tecnologías de Información PETI</t>
  </si>
  <si>
    <t>Desde el Grupo de Sistemas de la OIP se atienden todos los requerimientos allegados por parte de las diferentes áreas de Ministerio y entidades externas.</t>
  </si>
  <si>
    <t xml:space="preserve">
Desde el grupo de sistemas de la OIP en cumplimiento de la politica de gobierno digital actualizo dos planes de TI. Además se viabilizaron dos  sistemas de información correspondiente a la subdirección de gobierno y gestión territorial.</t>
  </si>
  <si>
    <t>Desde el grupo de sistemas de la OIP, en cumplimineto de la política de Gobierno Digital, alcanzó importantes logros: se aprobó la resolución para adoptar el SGSI del Ministerio; se reportó FURAG ante Función Pública;  se realizaron Capacitaciones a los funcionarios y contratistas en temas de seguridad y herramientas de productividad y comunicación empresarial, implementó en BPM la nueva version de SI de religiosos y  se reliaó levantamiento de información para el sistema de registro único poblacional.</t>
  </si>
  <si>
    <t>Para el tercer trimestre se reportó el  seguimiento de las rutas score card correspondiente a las políticas de transparencia y acceso a la información, gobierno digital, seguridad digital y otras políticas a la oficina asesora de planeación. Se actualizan los formatos, procedimientos, guias, protocolos e instructivos del sigi correspondiente a la gestión tecnológica del proceso de apoyo. Además, se crean documentos relacionados con la propuesta ,ficha de viabilidad y actualización de  3 sistemas de información.</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</si>
  <si>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</si>
  <si>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</si>
  <si>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Desde el grupo de sistemas se da respuesta a 109 solicitudes de gestión de contenido en la sede electrónica dando cumplimiento a los lineamientos establecidos por la política de gobierno dígital. Además, se atienden 432 requerimientos de soporte técnico a los equipos informáticos del Ministerio direccionados a través de correo electrónico y el aplicativo mesa de ayuda.
Para el primer trimestre se dió respuesta oportuna a las 2 actividades planificadas.</t>
  </si>
  <si>
    <t>Desde el grupo de sistemas se atienden 152 solicitudes de gestión de contenido en la sede electrónica del Ministerio, se aprueban en comité institucional de gestión y desempeño 4 documentos estratégicos para la oficina  dando cumplimiento a las políticas de gobierno digital y el decreto 612 de 2018.</t>
  </si>
  <si>
    <t xml:space="preserve">Para el cumplimiento de la política de gobierno digital en el III trimestre se dió respuesta a 110 solicitudes de gestión de contenido en la sede electrónica.
</t>
  </si>
  <si>
    <t>Gestionar el cumplimiento de las directrices de gobierno digital, integrando principios de transparencia, accesibilidad y colaboración.</t>
  </si>
  <si>
    <t>Informe</t>
  </si>
  <si>
    <t>Acciones de Gobierno Digital realizadas</t>
  </si>
  <si>
    <t>(Solicitudes de actividades de la política de Gobierno Digital atendidas / solicitudes de actividades de la política de Gobierno Digital recibidas)  *100</t>
  </si>
  <si>
    <t>C-3799-1000-17</t>
  </si>
  <si>
    <t>FORTALECIMIENTO DE LAS SOLUCIONES DE TECNOLOGIAS DE LA INFORMACIÓN QUE PERMITAN SOPORTAR LOS PLANES, PROGRAMAS Y PROYECTOS DEL MINISTERIO DEL INTERIOR DENTRO DE LA ENTIDAD Y DE CARA AL CIUDADANO A NIVEL  NACIONAL</t>
  </si>
  <si>
    <t>Gestión tecnológica</t>
  </si>
  <si>
    <t>Dimensión Gestión con Valores para el Resultado</t>
  </si>
  <si>
    <t xml:space="preserve">Gobierno Digital </t>
  </si>
  <si>
    <t>10. Plan Estratégico de Tecnologías de la Información y las Comunicaciones - PETI</t>
  </si>
  <si>
    <t>Brindar soporte técnico y mantenimiento para el funcionamiento óptimo de los equipos informáticos del ministerio.</t>
  </si>
  <si>
    <t>Informes</t>
  </si>
  <si>
    <t>Soporte técnico y mantenimiento realizado a los equipos informáticos del ministerio.</t>
  </si>
  <si>
    <t>(Servicios de soporte técnico y mantenimiento realizados/Servicios de soporte técnico y mantenimiento solicitados ) * 100</t>
  </si>
  <si>
    <t>Gestión Tecnológica</t>
  </si>
  <si>
    <t>Gestionar los recursos tecnológicos del Ministerio para el soporte de los procesos, garantizando la integridad, disponibilidad y confidencialidad de la Información de la entidad.</t>
  </si>
  <si>
    <t>Esta iniciativa está programada para iniciar en el cuarto de trimestre de 2023</t>
  </si>
  <si>
    <t>Se adelantó el proceso de contratación de un profesional especializado en Sistema de Gestión de Seguridad de la Información, con quien se coordinó la ruta para la implementación   del modelo de Seguridad establecido por  el MINTIC, para las entidades públicas. Se realizó autodiagnóstico, y se formalizó la política general de Seguridad de la Información.</t>
  </si>
  <si>
    <t>De acuerdo a la norma ISO 27001 y al MSPI se construyó el plan estratégico de Seguridad de la Información y se elaboró el documento donde está contenida la política general  de Seguridad de la Información con alcance para toda la entidad y la cual se encuentra en trámite de adopción.</t>
  </si>
  <si>
    <t>Se realizó la renovación de contrato de soporte técnico de los sistemas kactus(Nomina) y PCT (Inventarios), se garantiza los servicios de internet y nube privada que son de vital importancia para el Ministerio. Los Ingenieros de soporte de 1, 2 y 3 nivel a la infraestructura tecnológica brindar respuesta a los requerimientos allegados por los diferentes medios.</t>
  </si>
  <si>
    <t>Se renovaron licencias de Office 365, Firewall y Oracle, se realizó estudio de mercado para soporte WiFi, se atendieron 719 solicitudes de soporte, 19 soportes de 4° nivel, contratos vigentes con Mediacommerce y Claro hasta nov 2024, Se realizó solicitudes futuras a la OAP para contratación de Conectividad y Nube privada</t>
  </si>
  <si>
    <t>Para el tercer trimestre se avanza en la etapa precontractual de los procesos de adquisición de equipos y licenciamiento, se adjudican los procesos de wifi y antivirus, además, el proceso de NAC se encuentra aprobado por comité. Por otra parte, se da respuesta oportuna a los requerimiento de soporte allegados por la mesa de ayuda y alos requerimientos de soporte de la infraestructura tecnológica allegados a través de correo electrónico.</t>
  </si>
  <si>
    <t>Para el cuarto trimestre se adjudica y se pagan los procesos contractuales que estaban pendiente tanto del proyecto de inversión como de funcionamiento. Se atienden y se finalizan todos los requerimientos de soporte técnico y a la infraestructura tecnológica. Se adjudican y se garantiza los servicio de conectividad y colocación hasta el año 2025.</t>
  </si>
  <si>
    <t>Para la vigencia se garantiza los servicios de internet y nube privada, así como correo electrónico. Se adquieren importantes herramientas de seguridad informática. Se garantiza los soportes y actualizaciones de los sistemas PCT y Kactus, y se adquiere el licenciamiento de la base de datos oracle.</t>
  </si>
  <si>
    <t>Desde el grupo de sistemas se garantiza los servicios de conectividad y colocación que son fundamentales para la continuidad y normal desarrollo de las actividades, se brinda respuesta oportuna a los 7 requerimientos de soporte a la infraestructura tecnológica y se atienden los requerimientos de la dirección NARP sobre las mejoras al sistema de información de consejos comunitarios.</t>
  </si>
  <si>
    <t>El grupo de sistemas realiza la gestión de 20 solicitudes de soporte a la infraestructura tecnológica, se suscriben 3 contratos importantes y se avanza en la documentación precontractual del proyecto de solución hiperconvergente, se garantiza para el II trimestre los servicios de conectividad y colocación. Se realiza mejora al sistema de información SIPI viabilidad en la plataforma BPM.</t>
  </si>
  <si>
    <t xml:space="preserve">Para el III trimestre el equipo de ingenieros encargados atendieron 61 solicitudes de soporte a la infraestructura tecnológica del ministerio, se suscribe el contrato de hiperconvergencia y se avanza en la subsanación de observaciones de los contratos de Antivirus , Aires y UPS, se garantiza para el III trimestre los servicios de conectividad y colocación, se realizó mejora al sistema de información URIEL, BPM.ARC (Dirección de Asuntos Religiosos), Sistema SIPI (Sistema de Información de Proyectos de Infraestructura)
</t>
  </si>
  <si>
    <t>Adquirir licenciamiento de software para el Ministerio</t>
  </si>
  <si>
    <t>Licenciaminetos de sofware adquiridos</t>
  </si>
  <si>
    <t>Sumatoria de informes del proveedor de entrega de Licenciaminetos adquridos</t>
  </si>
  <si>
    <t>Seguridad Digital</t>
  </si>
  <si>
    <t>12. Plan de Seguridad y Privacidad de la Información</t>
  </si>
  <si>
    <t>Avalar, formular, implementar y evaluar soluciones tecnológicas que mejoren los procesos del Ministerio y la prestación de servicios.</t>
  </si>
  <si>
    <t>Soluciones tecnológicas implementadas</t>
  </si>
  <si>
    <t>Sumatoria de informes de solicitudes técnológicas  implementadas</t>
  </si>
  <si>
    <t>Proporcionar soporte a la infraestructura tecnológica del ministerio</t>
  </si>
  <si>
    <t>Soporte técnico a la infraestructura tecnológica</t>
  </si>
  <si>
    <t>(Servicios de soporte técnico a la infraestructura tecnológica resueltos / Servicios de soporte técnico a la infraestructura tecnológica solicitados ) * 100</t>
  </si>
  <si>
    <t>Actualizar, mantener y soportar la infraestructura tecnológica del Ministerio, incluyendo hardware y software.</t>
  </si>
  <si>
    <t>Solución de infraestructura tecnológica actualizada, mantenida y soportada</t>
  </si>
  <si>
    <t>Sumatoria de informes de entrega de la solución actualizada, mantenida y soportada</t>
  </si>
  <si>
    <t>Funcionamiento</t>
  </si>
  <si>
    <t>Asegurar los servicios de infraestructura tecnológica del Ministerio.</t>
  </si>
  <si>
    <t>informe</t>
  </si>
  <si>
    <t>Servicios prestados</t>
  </si>
  <si>
    <t>( Número de servicios prestados / Número de servicios planteados) * 100</t>
  </si>
  <si>
    <t>Asegurar los servicios de conectividad y colocación del Ministerio.</t>
  </si>
  <si>
    <t>Prestación de servicios de conectividad y colocación del Ministerio</t>
  </si>
  <si>
    <t xml:space="preserve">2. DE UNA ECONOMÍA EXTRACTIVISTA HACIA UNA ECONOMÍA PRODUCTIVA 
2.1. La democratización del espacio: un lugar para la producción y reproducción de la vida. 
2.1.3. Democratizar el espacio virtual: producir en red para conectar con el saber y los circuitos globales </t>
  </si>
  <si>
    <t xml:space="preserve">2. Seguridad Humana y Justicia Social. 
C. Garantía de derechos como fundamento de la dignidad humana y condiciones para el bienestar. 
11. Datos al servicio del bienestar social y el bien común. 
</t>
  </si>
  <si>
    <t>Sin asociación</t>
  </si>
  <si>
    <t xml:space="preserve">Garantizar la acceso de los canales de atención y de los medios dispuestos para que los ciudadanos en la racionalización de  trámites, solicitudes, requerimientos de información, orientación o asistencia relacionada con el quehacer de la entidad de forma oportuna. </t>
  </si>
  <si>
    <t>Porcentaje de implementación de la racionalización de trámites respecto a la diponibilidad oportuna de los canales de atención</t>
  </si>
  <si>
    <t xml:space="preserve">(Número de actividades realizadas en la estrategia de racionalización de trámites / Número de actividades programadas en la estrategia de racionalización de trámites)*100
</t>
  </si>
  <si>
    <t>Para el primer trimestre se revisaron 5 trámites en enero, 6 en febrero y 5 en marzo registrados en el Sistema Único de Información de Trámites -SUIT y en GOV.CO</t>
  </si>
  <si>
    <t>Se revisaron los trámites registrados en el Sistema Único de Información de Trámites -SUIT y en GOV.CO y se encuentran estandarizados conforme a los parámetros establecidos por SUIT y GOV.CO. Cantidades: 5 trámites en abril, 6 en mayo y 5 en junio. Se elimina la actividad 3.3. delegada al Grupo de Correspondencia -SAF estamos modificación los procedimientos.</t>
  </si>
  <si>
    <t>Permanentemente se revisa y actualiza los canales de información de trámites y servicios  para la ciudadanía en la página web, están  registrados en el SUIT y GOV.CO. 5  julio, 6 agosto y 5 sept. Se divulgaron 13 reportes de seguimiento PQRSD, se realizaron 3 reuniones para la actualización del BCT. Se entregó  borrador de la Política de Servicio al Ciudadano para aprobación,  1 capacitación con la dirección de comunidades negras 52 asistentes. Participamos en 2 ferias  de servicio. Ataco - y Puerto Guzmán, para un total de 35 acciones que se programaron y ejecuraron</t>
  </si>
  <si>
    <t>Se revisaron y actualizaron los trámites y servicios para la ciudadanía en la página web 5 oct, 6 nov y 5 dic y en el portafolio institucional. Se realizaron 12 reportes de seguimiento PQRSD. Aprobada y socializada la Política de Servicio al Ciudadano. Participación en la feria JUNTEMONOS Venecia 1 oct y Tado 1 nov,  Inducción Gobierno Territorial (4), Instafest Cartagena (1)</t>
  </si>
  <si>
    <t>Se amplió la divulgación de la oferta institucional en eventos con ciudadanía y entes terrritoriales  (14 eventos y 1.449 ciudadanos atendidos), se actualizó el portafolio institucional y se aprobó la política institucional de servicio al ciudadano.</t>
  </si>
  <si>
    <r>
      <rPr>
        <b/>
        <sz val="10"/>
        <color theme="1"/>
        <rFont val="Aptos Narrow"/>
        <family val="2"/>
        <scheme val="minor"/>
      </rPr>
      <t>OAP. 20.03.2024</t>
    </r>
    <r>
      <rPr>
        <sz val="10"/>
        <color theme="1"/>
        <rFont val="Aptos Narrow"/>
        <family val="2"/>
        <scheme val="minor"/>
      </rPr>
      <t xml:space="preserve"> Se elimina la iniciativa 3 por solicitud del doctor Cruz del 2024-03-20, mediante correo.
</t>
    </r>
    <r>
      <rPr>
        <b/>
        <sz val="10"/>
        <color theme="1"/>
        <rFont val="Aptos Narrow"/>
        <family val="2"/>
        <scheme val="minor"/>
      </rPr>
      <t>OAP 28.09.2023</t>
    </r>
    <r>
      <rPr>
        <sz val="10"/>
        <color theme="1"/>
        <rFont val="Aptos Narrow"/>
        <family val="2"/>
        <scheme val="minor"/>
      </rPr>
      <t>: De acuerdo con correo remitido por la Jefe de la OIPI del 28 de septiembre, se realiza ajuste en la reacción de la iniciativa 3 y de su indicador</t>
    </r>
  </si>
  <si>
    <t>11. Diálogo social regional permanente para la construcción de justicia social</t>
  </si>
  <si>
    <t>Estrategia Nacional de Lucha Contra la Corrupción. (ART. 200°)</t>
  </si>
  <si>
    <t>27. Ataque frontal a la corrupción</t>
  </si>
  <si>
    <t>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</si>
  <si>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</si>
  <si>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</si>
  <si>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Se realizaron 23 ruedas de prensa y/o declaraciones a medios del Ministro del Interior. Todo la Agenda Pública del Ministro tuvo acompañamiento. Se divulgaron 37 comunicaciones a través de la página web y a medios de comunicación.  
Se realizaron 23 ruedas de prensa,
Enero 3
Febrero 10 
Marzo 10
37 comunicaciones por pág. web y medios de comunicación, 
Enero 10
Febrero 10 
Marzo 17</t>
  </si>
  <si>
    <t>Durante el segundo trimestre se divulgó la oferta institucional en cada una de las actividades programadas en la agenda del Ministro y del Gobierno Nacional, para ello se realizaron 35 ruedas de prensa así: Abril  7, Mayo  14 y Junio 14. Igualmente, 106 comunicaciones por pág. web y medios de comunicación así: Abril 34, Mayo 47 y
Junio 22, para un total de 141 de acompañamientos.</t>
  </si>
  <si>
    <t xml:space="preserve">Participamos en 2 ferias  de servicio Juntémonos en  Ataco -Tolima y Puerto Guzmán- Putumayo, de Función Pública. Se realizaron 27 ruedas de prensa así: Julio 6, Agosto 13 y Septiembre 8. Igualmente 70 comunicaciones por página web y medios de comunicación en Julio 18, Agosto 24 y Septiembre 28 para un total de 99 acompañamientos que se programaron y ejecuraron.. </t>
  </si>
  <si>
    <t>Se realizaron: 101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t>
  </si>
  <si>
    <t>Se logró la comunicación entre el Ministerio y el público en general a través de los diferentes canales de atención establecidos para brindar la oferta institucional.</t>
  </si>
  <si>
    <t>Se han realizado 4 visitas a regiones del país para socializar el portafolio institucional e identificar necesidades.  Se  diseñó el Curso Virtual de Gestión efectiva para la atención al ciudadano para funcionarios y contratistas.</t>
  </si>
  <si>
    <t xml:space="preserve">Se realizaron 5  visitas a diversas regiones del pais con el fin de socializar el portafolio institucional con comunidades y grupos de valor. Por otra parte se adelantan el curso virtual de Gestion efectiva para la atencion  al ciudadano para funcionarios y contartistas, y se revisa el reglamento para la gestion de PQRSD que actualmente se encuentra  en revisión de la Oficina Asesora Juridica en espera de la firma del MInIstro para su favorabilidda y aplicación. </t>
  </si>
  <si>
    <t>Se formaliza el Reglamento Interno para el trámite de las PQRSDF mediante acto administrativo Resolución 1626 del 23/09/2024 y se socializa  junto con la  circular con los lineamientos institucionales para la gestión de servicio al ciudadano en la entidad. Se realizaron 5 visitas a regiones para socialización de portafolio institucional (Barranquilla, Manizales, Montería, Riohacha, San Andrés), además se participó en mesa técnica liderada por la JEP donde se brindó la oferta institucional y se participó en la feria Juntémonos organizada por Función Pública en Santa Rosa del Sur, Bolivar.</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</si>
  <si>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</si>
  <si>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Se fortaleció el relacionamiento con la ciudadanía con la campaña #DePuertasAbiertas en más de 20 territorios, la creación del curso virtual de gestión efectiva, la implementación del chatbot como nuevo canal de atención, la publicación del informe de caracterización ciudadana y la actualización de procedimientos y manuales</t>
  </si>
  <si>
    <t>Se ejecutaron las actividades programadas en torno a la oferta institucional. 3 capacitaciones para la divulgación de la oferta institucional. 1 capacitación de gestión efectiva de servicio al ciudadano. Planeación de cronograma de comisiones para socializar el portafolio institucional en territorio y caracterización de grupos de valor. 12 informes semanales de gestión de PQRSDF. 2 informes de gestión de agente virtual MIA para los meses de enero y febrero.</t>
  </si>
  <si>
    <t>Se ejecutaron actividades de fortalecimiento de la oferta instituciona mediante: Visitas a 3 departamentos para caracterización y capacitación. Participación en feria de servicios en Puerto Berrío. Capacitaciones virtuales en gestión efectiva de servicio al ciudadano y lenguaje claro. 12 reportes semanales de PQRSDF y 1 informe trimestral. Informe de gestión con mejoras a canales (integración de chatbot MIA con Whatsapp) y socialización de protocolos de atención.</t>
  </si>
  <si>
    <t xml:space="preserve">Se ejecutaron actividades de fortalecimiento de la oferta instituciona mediante: Visitas a 3 departamentos .3 departamentos para los ejercicios de caracterización y capacitación en la oferta institucional (Arauca, Quindio, Huila) Participación en feria de servicios en Ocaña. 13 reportes semanales de PQRSDF. </t>
  </si>
  <si>
    <t>Divulgar la oferta institucional y sectorial para fortalecer la presencia del Ministerio y del Sector Interior en el territorio</t>
  </si>
  <si>
    <t>Informe de eventos de divulgación elaborado</t>
  </si>
  <si>
    <t xml:space="preserve">(Numero de acciones o eventos de divulgación programados / Números de acciones o eventos realizados)*100 </t>
  </si>
  <si>
    <t>C-3799-1000-15</t>
  </si>
  <si>
    <t>FORTALECIMIENTO DE LA ESTRATEGIA DE RELACIONAMIENTO CON EL CIUDADANO AMPLIANDO LA COBERTURA DEL PORTAFOLIO DE SERVICIOS DEL MINISTERIO DEL INTERIOR EN EL TERRITORIO  NACIONAL</t>
  </si>
  <si>
    <t>Planeación, Direccionamiento Estratégico y Comunicaciones</t>
  </si>
  <si>
    <t>Información y Comunicación</t>
  </si>
  <si>
    <t>Transparencia, acceso a la información pública y lucha contra la corrupción</t>
  </si>
  <si>
    <t>9. Plan Anticorrupción y de Atención al Ciudadano</t>
  </si>
  <si>
    <t>Realizar seguimiento a la gestión institucional de las PQRSDF con enfoque de mejora continua</t>
  </si>
  <si>
    <t>Informes trimestrales de PQRSDF elaborados</t>
  </si>
  <si>
    <t>Sumatoria de informes elaborados PQRSDF</t>
  </si>
  <si>
    <t>Implementar mejoras en los procesos de atención y gestión con la ciudadanía, incluyendo canales de atención, simplificación de trámites, lineamientos y capacitación</t>
  </si>
  <si>
    <t xml:space="preserve">Informe de acciones estratégicas implementadas </t>
  </si>
  <si>
    <t>Sumatoria de acciones implementadas</t>
  </si>
  <si>
    <t xml:space="preserve">
Transformación digital como motor de oportunidades e igualdad. (ART. 143°)
Estrategia Nacional de Lucha Contra la Corrupción. (ART. 200°)</t>
  </si>
  <si>
    <t>Gestionar la Comunicación Institucional, garantizando el adecuado flujo de información interna y externa de la entidad; así como el cubrimiento periodístico de la gestión del Ministerio, su relacionamiento con la prensa, y la articulación con las entidades del Sector.</t>
  </si>
  <si>
    <t>Porcentaje de actividades implementadas en el plan estratégico de comunicaciones</t>
  </si>
  <si>
    <t>(Número de actividades implementadas del plan estratégico de comunicaciones/Número de actividades programadas del plan estratégico de comunicaciones)*100</t>
  </si>
  <si>
    <t>Se implementó la realización de 23 ruedas de prensa, se divulgaron 37 comunicaciones a través de la página web, se divulgaron 30 campañas para redes sociales del Gobierno Nacional, se hicieron 270 monitoreos de prensa, 580 publicaciones en redes sociales, 185 productos de comunicación interna. Para un total de 1125 acciones que se programaron y ejecutaron durante este trimestre</t>
  </si>
  <si>
    <t>Se implementaron 35 ruedas de prensa, se divulgaron 106 comunicaciones a través de la página web, se divulgaron 81 sinergias del Gobierno Nacional, se diseñaron 28 Campañas entre externas e internas, se hicieron 271 monitoreos de prensa, 589 publicaciones en redes sociales, 161 productos de comunicación interna. Para un total de 1271 acciones que se programaron y ejecutaron durante este trimestre.</t>
  </si>
  <si>
    <t>Se atendieron los lineamientos de Presidencia: Julio 20, Agosto 18 y Septiembre 12, total 50 procesos de comunicación, diseño de 3 campañas Agosto 1, Septiembre 2, 13 comités de comunicaciones:  Julio 4, Agosto 5 y Sept 4, monitoreo de medios 276. Julio 93, Agosto 93, sept 90, Publicacion redes sociales 1324: Julio 337, ago 469, sep 518, se realizó 1 News Letter, 1 estrategia "Vive tu Ministerio",  3 campañas al aire, 84 solicitudes atendidas y divulgadas, para un total de 1755 acciones que se programaron y ejecuraron.</t>
  </si>
  <si>
    <t xml:space="preserve">Se realizaron:20 ruedas de prensa, 81 comunicaciones por página web, divulgación de 22 sinergias de Gob., diseño de 18 campañas internas y ext., se hicieron 276 monitoreos de prensa, 1396 publicaciones en redes, 120 productos de comunicación interna. Se realizó 1 portafolio de servicios, 1 agenda institucional, 1 plegable y 2 pendones, para un total de 1938 acciones programadas y ejecutadas.
</t>
  </si>
  <si>
    <t>Se garantizó el flujo adecuado de información interna y externa del Ministerio, así como el cubrimiento periodístico de la gestión del Ministro y su relación con la prensa. Se gestionaron 6089 solicitudes y/o acompañamientos de prensa durante todo el año.</t>
  </si>
  <si>
    <t>Se gestionó la comunicación institucional, garantizando el adecuado flujo de información interna y externa, adelantando el cubrimiento periodístico de la gestión del Ministerio y el relacionamiento con los medios de comunicación. Se implementaron 135 actividades del plan estratégido de comunicaciones.</t>
  </si>
  <si>
    <t>Se gestionó la comunicación institucional, garantizando el adecuado flujo de información interna y externa, adelantando el cubrimiento periodístico de la gestión del Ministerio y el relacionamiento con los medios de comunicación. Se implementaron 120 actividades del plan estratégido de comunicaciones.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</si>
  <si>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</si>
  <si>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Durante 2024, a través del grupo de Comunicaciones de la Oficina de Información Pública, se logró gestionar la comunicación interna y externa, a través de las acciones implementadas con las entidades adscritas y vinculadas, lo que permitió el cubrimiento periodístico de la gestión del Ministerio y su relacionamiento con los medios de comunicación. </t>
  </si>
  <si>
    <t xml:space="preserve">En este primer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26 boletines de prensa, logrando alrededor de 148 publicaciones en medios de comunicación. Así mismo, a través de la gestión realizada para el relacionamiento con los medios de comunicación, se llevaron a cabo 8 entrevistas en medios de comunicación. De igual forma, se realizaron 13 ruedas de prensa o declaraciones a medios de comunicación. 
Adicionalmente, se realizaron 2 campañas a nivel externo relacionadas con la Consulta Popular; y 7 a nivel interno. 
En cuanto a la producción de contenidos en diferentes formatos para las comunicaciones externas e internas, en este trimestre se realizaron 678 piezas gráficas para comunicación externa, y 96 para comunicación interna. 
En materia de redes sociales, se realizaron 655 publicaciones en las diferentes plataformas, con las que se logró obtener 137.797 interacciones con las diferentes audiencias. 
En cuanto a la realización de material audiovisual y fotográfico, durante este trimestre se produjeron 47 piezas audiovisuales relacionadas con la gestión y agenda del Ministro del Interior, los Viceministros y las demás áreas de la entidad. </t>
  </si>
  <si>
    <t>En este segundo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En cuanto a la realización de material audiovisual y fotográfico, durante este trimestre se produjeron 73 piezas audiovisuales relacionadas con la gestión y agenda del Ministro del Interior, los Viceministros y las demás áreas de la entidad.
Así mismo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</si>
  <si>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 xml:space="preserve">En este tercer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75 boletines de prensa, logrando más de 194 publicaciones en medios de comunicación. Así mismo, a través de la gestión realizada para el relacionamiento con los medios de comunicación, se realizaron 16 ruedas de prensa o declaraciones a medios de comunicación.   
En cuanto a la producción de contenidos informativos en diferentes formatos para las comunicaciones externas e internas, en este trimestre se realizaron 1.370 piezas gráficas para comunicación externa, y 90 para comunicación interna. 
En materia de redes sociales, se realizaron 2.205 publicaciones en las diferentes plataformas, con las que se logró obtener 299.526 interacciones con las diferentes audiencias. 
En materia de comunicación interna se generaron 217 contenidos informativos relacionados con las acciones que adelantan las diferentes áreas del Ministerio del Interior. 
En cuanto a la realización de material audiovisual y fotográfico, durante este trimestre se produjeron 75 piezas audiovisuales relacionadas con la gestión y agenda del Ministro del Interior, los Viceministros y las demás áreas de la entidad. </t>
  </si>
  <si>
    <t>5.1</t>
  </si>
  <si>
    <t>Gestionar, producir y divulgar información en texto, audio, video o imagen, y piezas gráficas para las comunicaciones internas y externas de la entidad.</t>
  </si>
  <si>
    <t>Comunicados de prensa, campañas y publicaciones en redes sociales</t>
  </si>
  <si>
    <t>Actividades implementadas en el plan estratégico de comunicaciones</t>
  </si>
  <si>
    <t>C-3799-1000-20</t>
  </si>
  <si>
    <t>FORTALECIMIENTO DE LA ESTRATEGIA DE COMUNICACIONES INTERNA Y EXTERNA DEL MINISTERIO DEL INTERIOR</t>
  </si>
  <si>
    <t>5.2</t>
  </si>
  <si>
    <t>Realizar y producir material audiovisual y fotográfico como apoyo a las comunicaciones internas y externas para envío a medios de comunicación y emisión a través de los canales digitales del Ministerio del Interior.</t>
  </si>
  <si>
    <t>Piezas gráficas y/o digitales</t>
  </si>
  <si>
    <t>5.3</t>
  </si>
  <si>
    <t xml:space="preserve">Realizar la gestión de prensa y coordinar el relacionamiento del Ministerio del Interior con los medios masivos de comunicación, líderes de opinión y periodistas; y producir y divulgar campañas y mensajes al interior de la Entidad  sobre las iniciativas, estrategias y programas de las diferentes áreas  del Ministerio del Interior. </t>
  </si>
  <si>
    <t>Piezas audiovisuales y de imagen</t>
  </si>
  <si>
    <t>5.4</t>
  </si>
  <si>
    <t>Proveer tiquetes y gastos de viaje con el fin de mejorar la comunicación institucional del Ministerio del Interior.</t>
  </si>
  <si>
    <t>Solicitudes de comisión expedidas en el SIIF Nación</t>
  </si>
  <si>
    <t>Comisiones gastos de viaje y viáticos</t>
  </si>
  <si>
    <t>( Comisiones de viaje realizadas /  Comisiones de viaje solicitadas ) * 100</t>
  </si>
  <si>
    <t>5.5</t>
  </si>
  <si>
    <t xml:space="preserve">Sensibilizar al público interno, sobre el Manual de Comunicación Institucional del Ministerio del Interior y sus procedimientos asociados. </t>
  </si>
  <si>
    <t>Actas de asistencia</t>
  </si>
  <si>
    <t>Jornadas de sensibilización realizadas</t>
  </si>
  <si>
    <t>Sumatoria de jornadas de sensibilización realizadas</t>
  </si>
  <si>
    <t>Dirección Jurídica</t>
  </si>
  <si>
    <t>Juan Gabriel Durán</t>
  </si>
  <si>
    <t>2. Seguridad Humana y Justicia Social
E. Justicia para el cambio social, democrartización del estado y garantía de
derechos y libertades
1. Servicio de justicia a partir de las necesidades de las personas,
comunidades y territorios.
e. Sistema Nacional de Defensa jurídica del Estado</t>
  </si>
  <si>
    <t>Realizar el seguimiento a la implementación de la Política de Prevención de daño antijurídico.</t>
  </si>
  <si>
    <t>Porcentaje de avance en la implementación de la Política de Prevención de daño antijurídico.</t>
  </si>
  <si>
    <t>(Número de actividades realizadas/Número de actividades programadas)*100%</t>
  </si>
  <si>
    <t xml:space="preserve">Durante el primer trimestre de 2023,  se realizó el seguimiento a la Implementación de la Política de prevención de daño antijurídico atreves de la programación de capacitaciones en contratos realidad.   </t>
  </si>
  <si>
    <t>Durante el segundo trimestre de 2023, se realizó el seguimiento a la Implementación de la Política Pública de Daño Antijurídico a través de la programación de capacitaciones en contratos realidad.</t>
  </si>
  <si>
    <t>Durante el tercer trimestre de 2023, no se tenían programadas actividades de seguimiento a la Implementación de la Política Pública de Daño Antijurídico.</t>
  </si>
  <si>
    <t>Durante el cuarto trimestre de 2023,  no se tenía programada ninguna actividad.  La actividad se llevó a cabo el segundo trimestre de 2023.</t>
  </si>
  <si>
    <t>Durante el 2023, se realizó el seguimiento a la Implementación de la Política Pública de Daño Antijurídico a través de la programación de capacitaciones en contratos realidad.</t>
  </si>
  <si>
    <t>En el primer trimestre del 2024, se realizó conforme a los lineamientos impartidos por la Agencia Nacional de Defensa Jurídica del Estado, los escritos de contestación de demanda, alegatos y medidas exceptivas.</t>
  </si>
  <si>
    <t>Durante el segundo trimestre del 2024, se realizó conforme a los lineamientos impartidos por la Agencia Nacional de Defensa Jurídica del Estado, los escritos de contestación de demanda, alegatos y medidas exceptivas.</t>
  </si>
  <si>
    <t xml:space="preserve">Durante el tercer trimestre de 2024, se compartio con Directores, Jefes de Oficina, Coordinadores de Grupo y  demás funcionarios(as) que ejercen labores de supervisión de contratos mediante boletín informativo interno el “Lineamiento para prevenir la configuración del contrato realidad” aprobada por la Agencia Nacional de Defensa Jurídica del Estado.           
 Asi mismo, el 26 de septiembre de 2024, se socializó  mediante capacitación presencial con Directores, Jefes de Oficina, Coordinadores de Grupo, y demás funcionarios(as) que ejercen labores de supervisión de contratos el “Lineamiento para prevenir la configuración del contrato realidad”en el Auditorio Luis Carlos Galán.    </t>
  </si>
  <si>
    <t>Para este periodo no se tenian programadas metas</t>
  </si>
  <si>
    <t>Se elaboró el documento que sirva de directriz para los abogados en el tema de daño antijurídico, el cual se planea, sea actualizado anualmente</t>
  </si>
  <si>
    <t>Durante el primer trimestre de 2025,  no se tiene programada ninguna actividad.  Se tiene previsto el seguimiento de la implementación de la Politica Pública del Daño Antijurídico para el cuarto trimestre.</t>
  </si>
  <si>
    <t>Durante el segundo trimestre de 2025,  no se tiene programada ninguna actividad.  Se tiene previsto el seguimiento de la implementación de la Politica Pública del Daño Antijurídico para el cuarto trimestre.</t>
  </si>
  <si>
    <t>Durante el tercer trimestre de 2025,  no se tiene programada ninguna actividad.  Se tiene previsto el seguimiento de la implementación de la Politica Pública del Daño Antijurídico para el cuarto trimestre.</t>
  </si>
  <si>
    <t>Capacitar en el tema de derechos de petición a los funcionarios y contratistas del Ministerio.</t>
  </si>
  <si>
    <t>Lista de Asistencia y presentación en power pointo</t>
  </si>
  <si>
    <t xml:space="preserve">Sumatoria del número de capacitaciones realizadas </t>
  </si>
  <si>
    <t>Gestión Jurídica</t>
  </si>
  <si>
    <t>Gestión con Valores para Resultados</t>
  </si>
  <si>
    <t xml:space="preserve">Defensa jurídica </t>
  </si>
  <si>
    <t>OAP 12.03.2025: Se realiza ajuste a a la actividad 1.1 conforme a la solicitud de correo electrónico de fecha 13.03.2025 remitido por la Directora Jurídica así:
Indicador de la actividad_Antes: Numero de documentos instructivos en el tema de contrato realidad realizadas
Fórmula de cálculo: Antes: Sumatoria del número de documentos elaborados
Tipo de indicador_ Producto </t>
  </si>
  <si>
    <t>Garantizar la representación judicial del Ministerio del Interior ante los distintos despachos judiciales del país.</t>
  </si>
  <si>
    <t>Trámites de representación judicial realizados</t>
  </si>
  <si>
    <t>Número de trámites de representación judicial realizados / Número de trámitesde representación judicial programados*100%</t>
  </si>
  <si>
    <t>Durante el primer trimestre de 2023,  se llevaron a cabo 6 Comités de Conciliación en las siguientes fechas: 
18 de enero
26 de enero
10 de febrero
27 de febrero
10 de marzo
24 de marzo</t>
  </si>
  <si>
    <t xml:space="preserve">Durante el segundo trimestre de 2023, se llevaron a cabo 7 Comités de Conciliación en las siguientes fechas:
Abril (3): Se desarrollaron Comités de Conciliación el 14, 25 y 28 de abril 
Mayo (2): Se desarrollaron Comités de Conciliación el 12 y 26 de mayo 
Junio (2): Se desarrollaron Comités de Conciliación el 13 y 23 de junio </t>
  </si>
  <si>
    <t>Durante el tercer trimestre de 2023, se llevaron a cabo 7 Comités de conciliación en las siguientes fechas:
Julio (2): Se desarrollaron Comités de Conciliación el 11 y 31.
Agosto (3): Se desarrollaron Comités de Conciliación el 15, 22 y 29
Septiembre (2): Se desarrollaron Comités de Conciliación el 14 y el 28</t>
  </si>
  <si>
    <t>Durante el cuarto trimestre de 2023, se llevaron a cabo 6 Comités de conciliación en las siguientes fechas:
Octubre (2): Se desarrollaron Comités de Conciliación el  13 y el 27.
Noviembre (2): Se desarrollaron Comités de Conciliación el 10 y el 30.
Diciembre (2): Se desarrollaron Comités de Conciliación el 11 y el 20.</t>
  </si>
  <si>
    <t>Durante el 2023, se llevaron a cabo 26 Comités de conciliación</t>
  </si>
  <si>
    <t>Durante el primer trimestre de 2024,  se llevaron a cabo seis (6) Comités de Conciliación, en las siguientes fechas:
17 de enero de 2024
31 de enero de 2024
19 de febrero de 2024
27 de febrero de 2024
11 de marzo de 2024
20 de marzo de 2024</t>
  </si>
  <si>
    <t xml:space="preserve">Durante el segundo trimestre se llevaron a cabo seis (6) Comités de conciliación, en las siguientes fechas:     
3 de abril de 2024
17 de abril de 2024 
6 de mayo de 2024
17 de mayo de 2024 
6 de junio de 2024
28 de junio de 2024                     </t>
  </si>
  <si>
    <t>Durante el tercer trimestre se llevaron a cabo seis (6) Comités de Conciliación en las siguientes fechas:                                                                                   
 23 de julio de 2024                                                                                
30 de julio de 2024                                                                                
22 de agosto de 2024                                                                          
26 de agosto de 2024                                                                           
5 de septiembre de 2024                                                                      
19 de septiembre de 2024</t>
  </si>
  <si>
    <t>Durante el cuarto trimestre se llevaron a cabo seis (6) Comités de Conciliación en las siguientes fechas:                                                                                   
 03 de octubre de 2024                                                                                
 23 de octubre de 2024                                                                                    
07  de noviembre de 2024                                                                          
19  de noviembre de 2024                                                                            
05 de diciembre de 2024                                                                      
18 de diciembre de 2024</t>
  </si>
  <si>
    <t>Se realizaron las 24 mesas de conciliación que se habian planeado.</t>
  </si>
  <si>
    <t>De las cuatro actividades programadas para el primer trimestre relacionadas con los trámites de representación judicial se cumplieron las cuatro actividades de la siguiente manera:
Se realizaron seis comités de conciliación, 94 audiencias judiciales, 29 audiencias extrajudiciales  y  siete solicitudes de pagos de sentencias.</t>
  </si>
  <si>
    <t>De los seis trámites de representación judicial programados para el segundo trimestre, se cumplieron las seis actividades de la siguiente manera: 
Se realizaron seis comités de conciliación, 94 audiencias judiciales, 29 audiencias extrajudiciales y  10 solicitudes de pagos de sentencias.</t>
  </si>
  <si>
    <t>De los seis trámites de representación judicial programados para el tercer trimestre, se cumplieron las actividades de la siguiente manera: 
Se realizaron 6 comités de conciliación, 87 audiencias judiciales, 21 audiencias extrajudiciales y  3 solicitudes de pagos de sentencias.</t>
  </si>
  <si>
    <t>Gastos de Funcionamiento</t>
  </si>
  <si>
    <t xml:space="preserve">OAP 12.03.2025: Se realiza ajuste conforme a la solicitud de correo electrónico de fecha 13.03.2025 remitido por la Directora Jurídica así: INICIATIVA 2
Nombre Iniciativa_ Antes: Realizar los Comités de conciliación del grupo de acciones contenciosas
Indicador de la iniciativa _ Antes: Numero de comités de conciliación del grupo de acciones contenciosas realizados
Fórmula de cálculo_ Antes: Sumatoria del número de comités de conciliación del grupo de acciones contenciosas realizados
Tipo de indicador, Tipo de Acumulación y unidad de medida_ Antes producto, acumulado y número respectivamente
A nivel de actividad se ajusta el tipo de indicador, antes de producto
</t>
  </si>
  <si>
    <t xml:space="preserve">Reporte </t>
  </si>
  <si>
    <t>Realizar el estudio jurídico y administrativo de las solicitudes de pago de sentencias, conciliaciones y laudos arbitrales.</t>
  </si>
  <si>
    <t xml:space="preserve">Solicitudes de pago de sentencias </t>
  </si>
  <si>
    <t xml:space="preserve">Porcentaje de solicitudes de pago de sentencias realizadas </t>
  </si>
  <si>
    <t>(Número de solicitudes de pago de sentencias atendidas/número de solicitudes de pago de sentencias realizadas)*100%</t>
  </si>
  <si>
    <t>Porcentaje de capacitación realizadas</t>
  </si>
  <si>
    <t>(número de capacitaciones realizadas/Número de capacitaciones programadas)*100%</t>
  </si>
  <si>
    <t>Durante el primer trimestre de 2023,  no se tiene programada ninguna actividad.</t>
  </si>
  <si>
    <t>Durante el segundo trimestre de 2023,  se realizó una mesa de trabajo y una capacitación el 9 de junio de 2023, en las cuales se tuvo como tema de trabajo el funcionamiento del sistema controldoc, y se socializaron temas relevantes para la adecuada defensa judicial que ejercen los apoderados del grupo y gestión de lo contencioso del Ministerio del Interior</t>
  </si>
  <si>
    <t>Durante el tercer trimestre de 2023,  no se tenái programada ninguna actividad.</t>
  </si>
  <si>
    <t>Durante el cuarto trimestre de 2023,  se realizó una mesa de trabajo el 12 de diciembre de 2023 y dos capacitaciones:  los días 02 y 21 de noviembre del presente año, en las cuales se tuvo como tema de trabajo: calificación del riesgo y provisión contable, prueba pericial y la socialización de temas relevantes para la adecuada defensa judicial que ejercen los apoderados del grupo y gestión de lo contencioso del Ministerio del Interior.</t>
  </si>
  <si>
    <t xml:space="preserve">Durante el 2023, se llevaron a cabo 5 capacitaciones para los abogados que ejercen la defensa judicial del Ministerio del Interior y demás personal profesional del derecho que presta apoyo a la OAJ. </t>
  </si>
  <si>
    <t>Durante el primer trimestre de 2024,  se realizó una capacitación en el Sistema de Información Litigiosa Ekogui y una mesa de trabajo donde se socializaron temas relevantes para la adecuada defensa técnica de los intereses de la entidad.</t>
  </si>
  <si>
    <t>Durante el segundo trimestre de 2024 se programaron y realizaron 4 mesas de trabajo de la siguiente manera:
Barra jurídica 18 de abril.
Reunión del grupo contencioso 24 de mayo.
Reunión del grupo contencioso 29 de mayo.
Reunión del grupo contencioso 19 de junio.</t>
  </si>
  <si>
    <t>Durante el tercer trimestre de 2024 se programaron y realizaon 2 mesas de trabajo de la siguientre manera:                                                                   
Reunión del grupo contencioso: 5 de julio                                                   
Reunión del grupo contencioso: 16 de septiembre</t>
  </si>
  <si>
    <t xml:space="preserve">Durante el cuarto trimestre de 2024 se programó y realizó 1 mesa de trabajo y 1 capacitación de la siguientre manera:                                                                   
Reunión del grupo contencioso: 15 de noviembre                                        Capacitación prevención daño antijurídico: 19 de noviembre                                               </t>
  </si>
  <si>
    <t>Durante el 2024, se realizaron 8 mesas de trabajo, 6 más de lo que se había planeado, en aras de una defensa existosa de los bienes del estado.</t>
  </si>
  <si>
    <t>Con el fin de mejorar la defensa judicial del Ministerio del Interior, se ralizó capacitación en Lineamientos de defensa judicial.</t>
  </si>
  <si>
    <t>Se realizó capacitación en expedientes electrónicos, con el fin de mejorar la habilidad de los abogados en nuevas tecnologías que permitan mejorar la defensa judicial del Ministerio del Interior.</t>
  </si>
  <si>
    <t>Con el fin de capacitar a los abogados de la entidad en el uso funcional y manejo adecuado de Sistema Único de Gestión e Información de la Actividad Litigiosa del Estado -eKOGUI, se le indicó a los profesionales que ejercen la defensa del esatdo que realizaran la capacitación enunciada.</t>
  </si>
  <si>
    <t>Sumatoria del número de capacitaciones realizadas</t>
  </si>
  <si>
    <t xml:space="preserve">Realizar mesas de trabajo y/o capacitaciones  con las áreas responsables de redactar la respuesta de las acciones constitucionales (Tutelas) con el fin de  coordinar, atender y direccionar el respectivo trámite en términos de oportunidad y calidad. </t>
  </si>
  <si>
    <t>Porcentaje de mesas de trabajo y/o capacitaciones realizadas</t>
  </si>
  <si>
    <t>(número de mesas de trabajo y/o capacitaciones realizadas/Número de mesas de trabajo y/o capacitaciones  programadas) *100%</t>
  </si>
  <si>
    <t xml:space="preserve">Durante el primer trimestre de 2023, se realizaron 501 mesas de trabajo, para el trámite correspondiente a las acciones de tutela, con cada uno de los enlaces establecidos por cada dirección. 
Enero136
Febrero 163
Marzo 202
</t>
  </si>
  <si>
    <t>Durante el segundo trimestre de 2023, se realizaron 543 mesas de trabajo, para el trámite correspondiente a las acciones de tutela, con cada uno de los enlaces establecidos por cada dirección.
Abril 141
Mayo 201
Junio 201</t>
  </si>
  <si>
    <t>Durante el tercer trimestre de 2023, se realizaron 582 mesas de trabajo, para el trámite correspondiente a las acciones de tutela, con cada uno de los enlaces establecidos por cada dirección.
Julio 192
Agosto 243
Septiembre 147</t>
  </si>
  <si>
    <t>Durante el cuarto trimestre de 2023, se realizaron 447 mesas de trabajo, para el trámite correspondiente a las acciones de tutela, con cada uno de los encalces establecidos por cada dirección.
Octubre 212
Noviembre 184
Diciembre 51</t>
  </si>
  <si>
    <t xml:space="preserve">Durante el 2023, se realizaron 2.073 mesas de trabajo con las áreas responsables de redactar la respuesta de las acciones constitucionales (Tutelas) con el fin de articular respuesta eficiente en términos de oportunidad y calidad. </t>
  </si>
  <si>
    <t>Durante el primer trimestre de 2024, se realizaron 469  mesas de trabajo, para el trámite correspondiente a las acciones de tutela, con cada uno de los enlaces establecidos por cada dirección. 
Enero 128
Febrero 194
Marzo 147</t>
  </si>
  <si>
    <t xml:space="preserve">Durante el segundo trimestre de 2024, se realizaron 580  mesas de trabajo, para el trámite correspondiente a las acciones de tutela, con cada uno de los enlaces establecidos por cada dirección. 
Abril 196
Mayo  178
Junio 206
</t>
  </si>
  <si>
    <t xml:space="preserve">Durante el tercer trimestre de 2024, se realizaron 538  mesas de trabajo, para el trámite correspondiente a las acciones de tutela, con cada uno de los enlaces establecidos por cada dirección. 
Julio 191
Agosto  198
Septiembre 149
</t>
  </si>
  <si>
    <t xml:space="preserve">Durante el cuato trimestre de 2024, se realizaron 454  mesas de trabajo, para el trámite correspondiente a las acciones de tutela, con cada uno de los enlaces establecidos por cada dirección. 
Octubre: 201
Noviembre: 198 
Diciembre: 55 </t>
  </si>
  <si>
    <t xml:space="preserve">Se realizaron las mesas de trabajo con las áreas responsables de que permitieron redactar las respuestas de las acciones constitucionales (Tutelas) con el fin de articular respuesta eficiente en términos de oportunidad y calidad. </t>
  </si>
  <si>
    <t xml:space="preserve">Durante el primer trimestre de 2025, se realizaron 529 mesas de trabajo con las áreas responsables de redactar la respuesta de las acciones constitucionales (Tutelas) con el fin de articular respuesta eficiente en términos de oportunidad y calidad. </t>
  </si>
  <si>
    <t xml:space="preserve">En los meses de abril, mayo y junio, se realizaron 514 mesas de trabajo con las áreas responsables de redactar la respuesta de las acciones constitucionales (Tutelas) con el fin de articular las respuestas en términos de oportunidad y calidad. </t>
  </si>
  <si>
    <t xml:space="preserve">Durante el tercer trimestre de 2025, se realizaron 760 mesas de trabajo con las áreas responsables de redactar la respuesta de las acciones constitucionales (Tutelas) con el fin de articular respuesta eficiente en términos de oportunidad y calidad. </t>
  </si>
  <si>
    <t xml:space="preserve">Realizar mesas de trabajo y/o capacitaciones con las áreas responsables de redactar los informes a las acciones constitucionales (Tutelas) con el fin de articular respuesta eficiente en términos de oportunidad y calidad. </t>
  </si>
  <si>
    <t xml:space="preserve">Informes y/o listados de asistencia </t>
  </si>
  <si>
    <t xml:space="preserve">OAP 12.03.2025: Se realiza ajuste a a la actividad 1.1 conforme a la solicitud de correo electrónico de fecha 13.03.2025 remitido por la Directora Jurídica así:
INICIATIVA 3_ Antes: Realizar mesas de trabajo con las áreas responsables de redactar la respuesta de las acciones constitucionales (Tutelas) con el fin de articular respuesta eficiente en términos de oportunidad y calidad. 
Indicador de la iniciativa _ Antes: Porcentaje de mesas de trabajo realizadas
Fórmula de cálculo _Antes: (número de mesas de trabajo realizadas/Número de mesas de trabajo programadas) *100
A NIVEL DE ACTIVIDAD_ Indicador de la actividad _ Antes: Porcentaje de mesas de trabajo realizadas
</t>
  </si>
  <si>
    <t>Realizar capacitación,  con las áreas responsables de redactar la respuesta de las acciones constitucionales(Tutelas).</t>
  </si>
  <si>
    <t>Capacitaciones con las áreas responsables de redactar la respuesta de las acciones constitucionales  (Tutelas) realizadas</t>
  </si>
  <si>
    <t xml:space="preserve">Realizar registro de las acciones constitucionales (Tutelas) ocasionadas por la vulneración al derecho fundamental de petición. </t>
  </si>
  <si>
    <t xml:space="preserve"> Matriz</t>
  </si>
  <si>
    <t>Porcentaje de acciones constitucionales (Tutelas) registradas en la matriz de control</t>
  </si>
  <si>
    <t>(Número de acciones constitucionales (Tutelas) registradas/Número de actuaciones constitucionales solicitadas)*100%</t>
  </si>
  <si>
    <t xml:space="preserve">Presentar Informe a la Dirección Jurídica, sobre los trámites de acciones constitucionales (Tutelas) realizando propuestas de mejoras en todo el trámite de respuesta. </t>
  </si>
  <si>
    <t>Informe sobre los trámites de acciones constitucionales (Tutelas) realizado y presentado al Director Jurídico.</t>
  </si>
  <si>
    <t>Sumatoria del número de informes realizados y presentados</t>
  </si>
  <si>
    <t>Estudiar y/o elaborar los proyectos de actos administrativos requeridos.</t>
  </si>
  <si>
    <t xml:space="preserve">Porcentaje de proyectos de actos administrativos, elaborados y revisados </t>
  </si>
  <si>
    <t>(Número de proyectos de actos administrativos elaborados y revisados / Total de actos administrativos recibidos)*100%</t>
  </si>
  <si>
    <t xml:space="preserve">Durante el primer trimestre de 2023, se recibieron para estudio y/o elaboración, 140 proyectos de actos administrativos, de la siguiente manera:
Enero 28 
Febrero 40   
Marzo 72  </t>
  </si>
  <si>
    <t>Durante el segundo trimestre de 2023, se recibieron para estudio y/o elaboración, 190 proyectos de actos administrativos, de la siguiente manera:
Abril 63
Mayo 73   
Junio 54</t>
  </si>
  <si>
    <t xml:space="preserve">Durante el tercer trimestre de 2023, se recibieron para estudio y/o elaboración, 221 proyectos de actos administrativos, de la siguiente manera:
Julio 64 
Agosto 86   
Septiembre 71 </t>
  </si>
  <si>
    <t>Durante el IV Trimestre de 2023 se estudiaron y/o elaboraron 140 proyectos de acto administrativo, de 140 solicitados, así:
Octubre 50
Noviembre 41
Diciembre 49</t>
  </si>
  <si>
    <t>Durante el 2023, se estudiaron y/o elaboraron 691  proyectos de actos administrativos requeridos.</t>
  </si>
  <si>
    <t>En el I Trimestre de 2024 se elaboraron y/o revisaron 130 Proyectos de actos administrativos, de 130 solicitudes recibidas, así:
Enero: 27
Febrero 60
Marzo:43</t>
  </si>
  <si>
    <t>En el segundo trimestre de 2024 se elaboraron y/o revisaron 196  proyectos de actos administrativos, de 196 solicitudes recibidas, así
Abril: 82
Mayo:76
Junio: 38</t>
  </si>
  <si>
    <t>En el tercer trimestre de 2024 se elaboraron y/o revisaron 297  proyectos de actos administrativos (Resoluciones y conceptos), de 297 solicitudes recibidas, así
Julio: 97
Agosto: 90
Septiembre: 110</t>
  </si>
  <si>
    <t>En el cuarto trimestre de 2024 se elaboraron y/o revisaron 206 proyectos de actos administrativos (Resoluciones y conceptos) de recibidas, asi:
Octubre: 79
Noviembre: 99
Diciembre: 28</t>
  </si>
  <si>
    <t>Se elaboraron y/o revisaron los actos administrativos recibidos por la Dirección Jurídica</t>
  </si>
  <si>
    <t xml:space="preserve">En el I Ttrimestre de 2025 se elaboraron y/o revisaron 118 actos administrativos  asi:
Enero: 41
Febrero: 34
Marzo: 43
</t>
  </si>
  <si>
    <t>En el segundo trimestre de 2025, se elaboraron y/o revisaron 176 actos administrativos asi:
Abril: 54
Mayo: 79
Junio: 43</t>
  </si>
  <si>
    <t xml:space="preserve">En el tercer trimestre de 2025, se elaboraron y/o revisaron 307 actos administrativos asi:
Julio: 100
Agosto: 85
Septiembre: 122 </t>
  </si>
  <si>
    <t xml:space="preserve">Realizar el estudio y/o elaboración de los actos administrativos requeridos. </t>
  </si>
  <si>
    <t xml:space="preserve">Matriz </t>
  </si>
  <si>
    <t>Porcentaje de proyectos de actos administrativos requeridos</t>
  </si>
  <si>
    <t>(Número de  proyectos de actos administrativos elaborados y revisados / Total de proyectos de actos administrativos recibidos)*100%</t>
  </si>
  <si>
    <t xml:space="preserve">Revisar los proyectos de decreto reglamentarios conceptuando sobre su viabilidad jurídica </t>
  </si>
  <si>
    <t>Concepto</t>
  </si>
  <si>
    <t>Proyectos de decretos revisados</t>
  </si>
  <si>
    <t>(Número de normas de decretos registrados/Número de normas de decretos expedidos)*100%</t>
  </si>
  <si>
    <t>Grupo de Articulación Interna para la Política de Víctimas del Conflicto Armado</t>
  </si>
  <si>
    <t>Carlos Eduardo Espitia Cueca</t>
  </si>
  <si>
    <t xml:space="preserve">36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</si>
  <si>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</si>
  <si>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</si>
  <si>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Ley 1448 de 2011  modificada por la Ley 2078 de 2021. CONPES 4031 de 2021
Decretos Ley 4633, 4634 y 4635 de 2011.</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</si>
  <si>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</si>
  <si>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2. Promover la protección y el goce efectivo de los Derechos Humanos y las libertades y prevenir las violaciones a los Derechos a la vida, integridad, libertad y seguridad de personas, grupos y comunidades</t>
  </si>
  <si>
    <t>33. Tránsito hacia la paz total</t>
  </si>
  <si>
    <t>Liderar en el Ministerio del Interior la implementación y el seguimiento de las órdenes impartidas por la Corte Constitucional en el marco de la Sentencia T-025 de 2004 a través de la respuesta oportuna a los requerimientos derivados de sus autos de seguimiento, de acuerdo con las competencias del Grupo de Articulación para la Política de Víctimas</t>
  </si>
  <si>
    <t>Porcentaje espacios y acciones de coordinación interna y externa, que permitan continuar avanzando en el  cumplimiento a las órdenes de la Corte Constitucional en el marco de la Sentencia T-025 de 2004.</t>
  </si>
  <si>
    <t xml:space="preserve">(No. de espacios y acciones de coordinación interna y externa realizados por el Grupo de Articulación Interna para la Política de Víctimas del Conflicto Armado-GVC, en cumplimiento a las órdenes de la Corte Constitucional derivadas Sentencia T-025 de 2004 / No. Total de espacios y acciones de coordinación interna y externa programados por la Coordinación del Grupo de Articulación Interna para la Política de Víctimas del Conflicto Armado-GVC)*100. </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</si>
  <si>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</si>
  <si>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</si>
  <si>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articuló con las dependencias del ministerio los requerimientos de las demás entidades, para dar cumplimiento a lo dispuesto por la Honorable Corte Constitucional.   En este sentido, en seguimiento a lo establecido en los Autos 310 y 1291 de 2023,  se remitió informe a la Unidad para las Víctimas,  que contiene los componentes nación-territorio- componente de prevención y protección, y componente étnico (Autonomía y Gobierno propio, identidad cultural y registro étnico), que hizo parte del informe preliminar radicado en la corte el día 15-08-23.  2. Por otra parte, se atendieron las observaciones de las entidades firmantes sobre el acto administrativo de la ruta de confinamiento que se publicará del 2 al 16 de octubre, con el fin de recibir las observaciones del público. </t>
  </si>
  <si>
    <t xml:space="preserve">Se ha gestionado el 100% de los requerimientos solicitados de la Corte Constitucional para el cuarto tirmestre. </t>
  </si>
  <si>
    <t xml:space="preserve">Se ha gestionado el 100% de los requerimientos solicitados de la Corte Constitucional. </t>
  </si>
  <si>
    <t xml:space="preserve">No se han emitido informes en el presente trimestre sin embargo se lideron 2 espacios convocando a los competentes por parte del Ministerio del Interior con el fin de construir el informe de respuesta a la orden judicial emitida mediante auto 214 de 2022 . </t>
  </si>
  <si>
    <t>En  el segundo trimestre se asistió a los siguientes Subcomités técnicos Nacionales:  
El día 21  de febrero  primer Subcomité Nacional de Atención y Asistencia y 26 de junio Segundo Subcomité Nacional de Atención y Asistencia en la ciudad de Florencia, Caquetá. Asistencia al primer Subcomité de Enfoques Diferenciales el día 21 de junio, el primer Subcomité de Reparación Colectiva el día 22 de mayo y el primer Subcomité Nacion Territorio el día 20 de mayo.  Se cumplio con lo planeado en el tercer trimestre</t>
  </si>
  <si>
    <t xml:space="preserve">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t>
  </si>
  <si>
    <t>Para el cuarto trimestre del año la Coordinación asistió a los siguientes subcomités técnicos y sesiones del Equipo Interinstitucional de Asistencia Técnica:
Subcomité Técnico de Coordinación Nacional y Territorial: 18/10/2024
Subcomité Técnico de Reparación Colectiva: 18/10/2024
Subcomité Técnico de Sistemas de Información: 07/11/2027
Subcomité Técnico de Enfoque Diferencial: 13/11/2024 pendiente acta
Subcomité Técnico de Enfoque Diferencial: 25/11/2024
Sesión Equipo Interinstitucional de Asistencia técnica: 06/12/2024
Subcomité Técnico de Atención y Asistencia: 18/11/2024
Se informa que el grupo participó en varias sesiones de subcomités técnicos nacionales que no fueron reportadas en los trimestres pasados, por lo tanto, a continuación, se reportan las sesiones de trimestres pasados: 
 I Trimestre:
Subcomité Extraordinario de Prevención, Protección y Garantías de No Repetición 27/02/2024
Subcomité Técnico de Sistemas de Información: 07/03/2024
II Trimestre:
Sesión Equipo Interinstitucional de Asistencia técnica: 04/04/2024
Subcomité Extraordinario de Prevención, Protección y Garantías de No Repetición 16/04/2024 
Subcomité Plenario de Prevención, Protección y Garantías de No Repetición: 28/05/2024
Subcomité Técnico Nacional de Sistemas de Información: 30/05/2024</t>
  </si>
  <si>
    <t>Desde el Grupo de Articulación Interna para la Política de Víctimas del Conflicto Armado, se entregaron en los terminos dispuestos, cada uno de los informes solicitados por la Corte Constitucional.</t>
  </si>
  <si>
    <t xml:space="preserve">Para el primer trimestre no se tenian planeados espacios y acciones de coordinación interna y externa realizados por el GAPV, en cumplimiento a las órdenes de la Corte Constitucional derivadas Sentencia T-025 de 2004. </t>
  </si>
  <si>
    <t>Desde el Grupo de Articulación para la Política Pública de Víctimas (GAPV), se asistieron a 3 espacios para la implementación de la estrategia de corresponsabilidad para la superación del ECI; 
1.	Mesa de Trabajo para la comunidad de El Salado, Presencial en Bogotá, 19 de junio.
2.	Segunda Sesión del Comité Territorial de Justicia Transicional, Municipio de Chalán (Sucre), 19 de junio.
3.	Comité de Justicia Transicional, Capitanejo (Santander), 25 de junio.
Durante el II trimestre se convocaron a 4 sesiones correspondientes a los Subcomités técnicos, de los cuales se realizaron 4 informes respectivamente;
1. Subcomité Sistemas de Información, 24 de abril.
2. Subcomité Nación – Territorio, 25 de abril.
3. Subcomité Enfoque Diferencial, 09 de mayo.
4. Subcomité Asistencia y Atención, 13 de mayo.
Adicionalmente, también se participó en la VII Mesa interinstitucional en cumplimiento a la Ley 2087 de 2021 y Día Conmemorativo de las Víctimas de Bojayá del del 30 de abril al 03 de mayo.</t>
  </si>
  <si>
    <t>Desde el Grupo de Articulación para la Política de Víctimas del Conflicto Armado (GVC), se asistieron a cuarenta y dos (42) espacios para la implementación de la estrategia de corresponsabilidad para la superación del ECI (Comités Territoriales de Justicia Transicional - CJTJ):
Julio: Siete (7) CJTJ asistidos.
Agosto: Veintiún (21) CJTJ asistidos. 
Septiembre: Catorce (14) CJTJ asistidos.
Durante el tercer trimestre se convocaron a 3 sesiones correspondientes a los Subcomités técnicos, de los cuales se realizaron 3 informes respectivamente;
1.	Subcomité de Reparación Colectiva (Bogotá). 31 de julio de 2025. 
2.	SNARIV Departamental Putumayo (Puerto Asís).11 de agosto de 2025.
3.	SNARIV Departamental Norte de Santander (Cúcuta). 4 de septiembre de 2025.
Adicionalmente, se elaboraron tres (3) documentos técnicos en el marco del cumplimiento de la Sentencia T-025 de 2004 y sus autos de seguimiento:
1. Informe sobre Auto 310 de 2023.
2. Informe Estrategia Corresponsabilidad Interinstitucional en cumplimiento Sentencia T-025 de 2004 y sus autos.
3. Informe Entidades territoriales con medidas de carácter étnico con la estrategia de corresponsabilidad implementada conforme a las ordenes impartidas en seguimiento a la sentencia T-025.
Frente a las sesiones técnicas con entidades del orden nacional y territorial para dar cumplimiento a las ordenes proferidas en el marco de la Sentencia T-025 de 2004. Para este Tercer trimestre se realizaron dos (2) sesiones: 
1. Sesión Técnica Sentencia T-025 de 2004. 18 de Julio. 
2. Informe Comisión espacio interinstitucional predio la Condesa (Honda). 14 de agosto.
El 19 y 20 de septiembre se realizó encuentro con los enlaces de víctimas de los municipios San Calixto, Convención, El Carmen, El Tarra y Ocaña (municipios PDET). En estas jornadas, se revisó el estado de implementación de mecanismos de planeación en la política pública de víctimas y el Acuerdo de paz.</t>
  </si>
  <si>
    <t>Implementar el mecanismo de corresponsabilidad con los diferentes niveles de Gobierno, en aras de superación del Estado de Cosas Inconstitucional (ECI) declarado por la Corte Constitucional mediante la Sentencia T-025 de 2004.</t>
  </si>
  <si>
    <t>Informes y Actas</t>
  </si>
  <si>
    <t>Acciones de planeación, diagnóstico, construcción de lineamientos, asistencia a sesiones, mesas territoriales, comités de Justicia Transicional, y en general espacios a través de los cuales se implemente el mecanismo de corresponsabilidad para la superación del ECI.</t>
  </si>
  <si>
    <t>Sumatoria de actividades realizadas</t>
  </si>
  <si>
    <t>C-3703-1000-3</t>
  </si>
  <si>
    <t>FORTALECIMIENTO INSTITUCIONAL PARA LA IMPLEMENTACIÓN DE LA POLÍTICA PÚBLICA DE VÍCTIMAS A NIVEL NACIONAL</t>
  </si>
  <si>
    <t>GESTIÓN PARA LA PROTECCIÓN DE LOS DERECHOS</t>
  </si>
  <si>
    <t>GESTIÓN CON VALORES PARA RESULTADOS</t>
  </si>
  <si>
    <t>FORTALECIMIENTO INSTITUCIONAL Y SIMPLIFICACIÓN DE PROCESOS</t>
  </si>
  <si>
    <t xml:space="preserve">OAP 21.03.2025: Se ajusta el Plan conforme a la solicitu de la coordinadora del GAPV a través de memorando ID_510670, así:
INICIATIVA 1: Se ajusta indicador, formula de cálculo, tipo de acumulación, metas 2025
</t>
  </si>
  <si>
    <t xml:space="preserve">1.2 </t>
  </si>
  <si>
    <t>Apoyar espacios de coordinación y articulación interinstitucional en conjunto con entidades nacionales, territoriales y organizaciones, para la participación e implementación de iniciativas en el marco de la Política Pública de Víctimas y el Acuerdo de Paz</t>
  </si>
  <si>
    <t xml:space="preserve">Espacios de  de coordinación y articulación apoyados </t>
  </si>
  <si>
    <t>(No. de espacios apoyados  / No. de espacios programados por la Coordinación)*100</t>
  </si>
  <si>
    <t xml:space="preserve">Programa Misional de Funcionamiento </t>
  </si>
  <si>
    <t>A-03-04-01-012</t>
  </si>
  <si>
    <t>ATENCION INTEGRAL A LA POBLACION DESPLAZADA EN CUMPLIMIENTO DE LA SENTENCIA T-025 DE 2004 (NO DE PENSIONES)</t>
  </si>
  <si>
    <t xml:space="preserve">1.3 </t>
  </si>
  <si>
    <t>Contratación de Servicios Profesionales, Asistenciales y Técnicos como apoyo a la gestión del Ministerio del Interior con el fin de garantizar el cumplimiento de las obligaciones del Grupo de Articulación Interna para la Política de Víctimas</t>
  </si>
  <si>
    <t>Matriz de seguimiento</t>
  </si>
  <si>
    <t>Servicios Profesionales, Asistenciales y Técnicos como apoyo a la gestión del Ministerio del Interior en el Grupo de Articulación Interna para la Política Pública de Víctimas.</t>
  </si>
  <si>
    <t>(No. de contratos suscritos  / No. de contratos solicitados por la coordinación)*100</t>
  </si>
  <si>
    <t>Tramitar y pagar viáticos para funcionarios y Contratistas que hacen parte del Grupo de Articulación Interna para la Política de Víctimas con el fin de garantizar su presencia en el territorio nacional para el desarrollo de las actividades.</t>
  </si>
  <si>
    <t>Comisiones solicitadas y legalizadas para funcionarios y Contratistas que hacen parte del Grupo de Articulación Interna para la Política de Víctimas</t>
  </si>
  <si>
    <t>(No. de comisiones legalizadas  / No. de comisiones autorizadas)*100</t>
  </si>
  <si>
    <t>Suministrar el transporte aéreo en vuelos Nacionales e Internacionales para funcionarios y Contratistas que hacen parte del Grupo de Articulación Interna para la Política de Víctimas con el fin de garantizar su presencia en el territorio nacional para el desarrollo de las actividades.</t>
  </si>
  <si>
    <t>Solicitudes de transporte aéreo en vuelos Nacionales e Internacionales para los funcionarios, contratistas del Ministerio del Interior y funcionarios de la Policía Nacional que prestan sus servicios de protección y seguridad en el Ministerio del Interior.</t>
  </si>
  <si>
    <t>(Número de solicitudes atendidas / Número de solicitudes requeridas)*100</t>
  </si>
  <si>
    <t>1.6</t>
  </si>
  <si>
    <t>Fortalecer la capacidad organizativa, la incidencia social y participación política de organizaciones, en la implementación territorial de la política pública de víctimas del conflicto armado en Colombia</t>
  </si>
  <si>
    <t xml:space="preserve">Organizaciones e iniciativas apoyados </t>
  </si>
  <si>
    <t>(No. de acciones requeridas para el fortalecimento de la capacidad organizativa, la incidencia social y participación política de organizaciones, en la implementación territorial de la política pública de víctimas / No. de acciones programadas por la coordinación del grupo)*100</t>
  </si>
  <si>
    <t>5. Dejaremos atrás la guerra y entraremos por fin en una era de paz. 5.2.Colombia hacia una cultura de paz. 5.4. Reparación efectiva e integral de las víctimas.</t>
  </si>
  <si>
    <t xml:space="preserve">Colombia, sociedad para la vida: Actores diferenciales para el cambio. Catalizador:  3.Reparación efectiva e integral a las víctimas - Componente: 4.    Vida, seguridad y libertad de los territorios - 5.    Colombia potencia de la vida a partir de la no repetición.                      </t>
  </si>
  <si>
    <t>Ley 1448 de 2011  modificada por la Ley 2078 de 2021.
Decretos Ley 4633, 4634 y 4635 de 2011.
 CONPES 4031 de 2021.
CONPES 4100 de 2022</t>
  </si>
  <si>
    <t>Garantizar la estabilidad e implementación de los sistemas de información para  fortalecer la cultura de paz y el seguimiento a la implementación de la política pública de víctimas a nivel territorial.</t>
  </si>
  <si>
    <t>Porcentaje de actualizaciones tecnológicas y de contenido realizadas a los sistemas de información</t>
  </si>
  <si>
    <t>(No. De actualizaciones realizadas/ No. De actualizaciones programadas)*100</t>
  </si>
  <si>
    <t>Se realizó los términos de referencia para la actualización de los sistemas de información (Reporte Unificado del sistema de Información, Coordinación y Seguimiento Territorial de la Política Pública de Víctimas del Conflicto Armado Interno (RUSICST), Escuela Virtual y Herramienta de Gestión Local).</t>
  </si>
  <si>
    <t>Se diagnosticaron y/o efectuaron las actualizaciones programadas en el 1) (Reporte Unificado del sistema de Información, Coordinación y Seguimiento Territorial de la Política Pública de Víctimas del Conflicto Armado Interno (RUSICST), 2)Escuela Virtual y 3)Herramienta de Gestión Local) duranto lo corrido del trimestre.</t>
  </si>
  <si>
    <t>Se realizaron actualizaciones de contenido, incluyendo la sección de apoyo a los cementerios, acuerdo de paz, acción integral contra minas, entre otros.</t>
  </si>
  <si>
    <t xml:space="preserve">Se han desarrollado las actualizaciones programadas durante la vigencia. </t>
  </si>
  <si>
    <t>Se cumplio con las solicitudes allegadas para el reestablecimiento de usuarios, crecion de los mismo y adicion del convenio para desarrollos tecnologicos</t>
  </si>
  <si>
    <t>La Coordinación garantizó el Sopote de usuarios por medio de La uninón temporal adscrita al convenio ROF 004, en el que se verifca el cumplimiento de 120% de soportes realizados, con fecha de corte en julio del 2024</t>
  </si>
  <si>
    <t>Para el cuarto trimestre de 2024, se logró realizar un cronograma de trabajo, asi mimos se realizó la revisión de las necesidades y estado actual de los sistemas.</t>
  </si>
  <si>
    <t>El grupo logró una articulación con el grupo de sistemas del Ministerio del Interior para tener apoyo en la revisión de las necesidades y estado actual de los sistemas, así como la revisión de las mejoras realizadas.</t>
  </si>
  <si>
    <t>Para el primer trimestre no se tenian planeadas las acciones para el desarrollo de actualizaciones</t>
  </si>
  <si>
    <t>Para el segundo trimestre se acompañó en el diligenciamiento a las diferentes Entidades Territoriales (ET) se recibieron 164 solicitudes de soporte técnico a los usuarios de los sistemas de seguimiento territorial del RUSISCST, las cuales fueron atendidas en su totalidad. También se realizaron dos informes: Informe sobre seguimiento a los sistemas de información de la política pública de víctimas (De febrero a marzo de 2025), e Informe proceso réplica a la certificación territorial (mayo 2025).</t>
  </si>
  <si>
    <t xml:space="preserve">Para el tercer trimestre se acompañó en el diligenciamiento a las diferentes Entidades Territoriales (ET) se recibieron 247 solicitudes de soporte técnico a los usuarios de los sistemas de seguimiento territorial del RUSISCST, las cuales fueron atendidas en su totalidad. </t>
  </si>
  <si>
    <t>Generar desarrollos tecnológicos de los sistemas de información de la política pública de víctimas incluyendo análisis de datos, trazabilidad de datos, cruces de información con otros sistemas y datos abiertos.</t>
  </si>
  <si>
    <t>Actualización y desarrollo tecnológico generado</t>
  </si>
  <si>
    <t>Sistema de información actualizado</t>
  </si>
  <si>
    <t>Brindar soporte técnico a los usuarios de los sistemas de información de seguimiento territorial.</t>
  </si>
  <si>
    <t xml:space="preserve">Actividades de soporte técnico a los usuarios del sistema de información </t>
  </si>
  <si>
    <t>(Número casos atendidos/numero de solicitudes recibidas)*100</t>
  </si>
  <si>
    <t>C-3703-1000-10</t>
  </si>
  <si>
    <t>Realizar seguimiento de los sistemas de información de la política pública de víctimas incluyendo análisis de datos, trazabilidad de datos, IA generativa, Blockchain, cruces de información con otros sistemas y datos abiertos.</t>
  </si>
  <si>
    <t>Documentos elaborados sobre balance de la información reportada por las ET realizados</t>
  </si>
  <si>
    <t xml:space="preserve">Sumatoria de documentos compilatorios por semestre del reporte de alcaldías y gobernaciones en el RUSICST. </t>
  </si>
  <si>
    <t>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</si>
  <si>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Solicitudes de pautas en los diferentes medios masivos de comunicación</t>
  </si>
  <si>
    <t>(Número de solicitudes atendidos / Número de solicitudes requeridas)*100</t>
  </si>
  <si>
    <t>Cofinanciar con las otras Direcciones del Ministerio del Interior la adquisición de los siguientes procesos:  - Adquisición de bolsa de repuestos para equipos informáticos del Ministerio del Interior. - Adquisición licenciamiento suite adobe en cumplimiento al anexo técnico dispuesto por la entidad. -  Adquisición de equipos de cómputo y escáneres para el Ministerio del Interior. - Adquisición de un sistema de infraestructura hiperconvergente (HCI), en cumplimiento de las especificaciones técnicas determinadas en el anexo dispuesto por la Entidad</t>
  </si>
  <si>
    <t>Memorando</t>
  </si>
  <si>
    <t>Memorandos elaborados con solicitudes de expedición de los certificado de Disponibilida Presupuestal</t>
  </si>
  <si>
    <t>: 5. Dejaremos atrás la guerra y entraremos por fin en una era de paz. 5.2.Colombia hacia una cultura de paz. 5.4. Reparación efectiva e integral de las víctimas.</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</si>
  <si>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</si>
  <si>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 xml:space="preserve">Número de entidades territoriales asistidas técnicamente anualmente para articular la política pública de víctimas </t>
  </si>
  <si>
    <t>Sumatoria de entidades territoriales asistidas técnicamente en el año</t>
  </si>
  <si>
    <t xml:space="preserve">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905 entidades territoriales de los departamentos de Antioquia, Arauca, Atlántico, Bolívar, Boyacá, Caldas, Caquetá, Casanare, Cauca, Cesar, Chocó, Córdoba, Cundinamarca, Guainía, Guaviare, Huila, La Guajira, Magdalena, Meta, Nariño, Norte de Santander, Putumayo, Quindío, Risaralda, Santander, Sucre, Tolima, Valle del Cauca, Vaupés, Vichada. Por mes se asistieron las entidades territoriales: enero (682), febrero (315), marzo (553), Cabe aclarar que la sumatoria mensual mencionada anteriormente difiere del total de la meta reportada en el año para el primer trimestre (905), ya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</si>
  <si>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a 47 entidades territoriales de los departamentos de Amazonas, Norte de Santander, Santander, Cundinamarca, Chocó, Antioquia, Bolívar, Caldas, Caquetá, Meta, Valle del Cauca. Por mes se asistieron las entidades territoriales: abril (5), mayo (2), junio (40). Cabe aclarar que la sumatoria mensual mencionada anteriormente difiere del total de la meta reportada en el año para el segundo trimestre (915), por su acumulación y atendiendo a que una entidad territorial puede ser asistida territorialmente bajo diferentes estrategias, pero la meta se contabiliza sobre las 1133 entidades territoriales como unidad asociada a la meta del CONPES 4031 de 2021. </t>
  </si>
  <si>
    <t>Se brindó asistencia técnica en el marco de escenarios de diálogo para el fortalecimiento de la gobernanza territorial y seguimiento al cumplimiento efectivo de obligaciones constitucionales de las entidades territoriales en la política pública de víctimas del conflicto armado por primera vez a 86 entidades territoriales. Sin embargo, se continuó fortaleciendo a 672 entidades territoriales de los departamentos de Antioquia, Tolima, Arauca, Archipiélago de San Andrés, Providencia y Santa Catalina, Atlántico, Bolívar, Boyacá, Caldas, Caquetá, Casanare, Cauca, Cesar, Chocó, Córdoba, Cundinamarca, Guainía, Guaviare, Huila, La Guajira, Magdalena, Meta, Nariño, Norte de Santander, Putumayo, Quindío, Risaralda, Santander, Sucre, Valle del Cauca, Vaupés, Vichada y Bogotá D.C. Por mes se asistieron las entidades territoriales en diferentes jornadas: julio (638), agosto (56), septiembre (84). Cabe aclarar que la sumatoria mensual mencionada anteriormente difiere del total de la meta reportada en el año para el tercer trimestre (1001), por su acumulación y atendiendo a que una entidad territorial puede ser asistida territorialmente bajo diferentes estrategias, pero la meta se contabiliza sobre las 1133 entidades territoriales como unidad asociada a la meta del CONPES 4031 de 2021. </t>
  </si>
  <si>
    <t xml:space="preserve">Se han asistido 34 entidades territoriales durante lo corrido del año. </t>
  </si>
  <si>
    <t xml:space="preserve">Se han asistido 1033  entidades territoriales durante lo corrido del año. </t>
  </si>
  <si>
    <t>Se cumplieron con las asistencias técnicas, programadas para el segundo trimestre del año.</t>
  </si>
  <si>
    <t xml:space="preserve">Se apoyó la implementación de la estrategia de corresponsabilidad para 64 municipios correspondientes en el mes de julio a:  Región abades. Municipios: Cumbal, La llanada, Linares, Los Andes, Mallama, Providencia, Ricaurte, Samariego Santa Cruz
Región Centro Occidente: Ancuya, Cachagui, Consaca, El peñol, El tambo, la florida, Nariño, pasto, sandona, tangua, Yacuanaquer
Región Cordillera. Bumbitara, Leiva, policarpa, rosario, taminango 
Región Obando y la Sabana. Aldana, córdoba, Cuaspud, contadero, funes, guachucal, guatarilla, gualmatán, iles, imués, Ipiales, Ospina, potosí, puerres, pupiales, sapuyes, tuquerres. 
Región Norte. Alban, Arboleda, belen, buesaco, colon genova, tablón de gomez, la cruz, la unión, san Bernardo, san Lorenzo, san pablo, san pedro de Cartago
Región pacífico. Barbacoas, el charco, francisco pizarro, la tola, magui payan, mosquera, Olaya herrera, Roberto payan, santa barbara de iscuande, Tumaco
 </t>
  </si>
  <si>
    <t>Para el cuarto trimestre del año la Coordinación no realizó acciones relacionadas con esta actividad ya que la meta fue cumplida desde el trimestre pasado.</t>
  </si>
  <si>
    <t>Desde el Grupo de Articulación Interna para la Política de Víctimas del Conflicto Armado, se dio un acercamiento que reconoce la agencia política que los enlaces tienen en el territorio e identificamos su accionar frente a la implementación de la política pública. De esta manera se logro reforzar la asistencia técnica prestada.</t>
  </si>
  <si>
    <t>Para el primer trimestre de 2025, la meta planteada fue de 0, sin embargo, se asisitieron técnicamente a 776 Entidades Territoriales en la planeación, gestión e implementación de la política de víctimas. Las asistenias técnicas se realizaron en 6 jornadas los días:  
24 de enero (en la lista adjunta al acta hay 611 participantes)
31 de enero ( en la lista adjunta al acta hay 27 participantes) 
12 de febrero (en la lista adjunta al acta hay 107 participantes) 
20 de febrero ( en la lista adjunta al acta hay 254 participantes)
21 de febrero (en la lista adjunta al acta hay 277 participantes) 
24 de febrero (en la lista adjunta al acta hay 261 participantes).</t>
  </si>
  <si>
    <t>urante el segundo trimestre se brindó asistencia técnica a 767 entidades territoriales, a través de la ejecución de ocho (08) jornadas, distribuidas de la siguiente manera: seis (6) jornadas de capacitación dirigidas a enlaces nuevos, una (1) jornada nacional de capacitación en el RUSICST, y dos (2) jornadas de asistencia técnica en el marco del proceso de réplica para la Certificación Territorial.
Las jornadas se realizaron en las siguientes fechas:
-Mayo: se llevaron a cabo dos jornadas, se abordó el tema de Réplica en Certificación Territorial y con la participación de 604 ET.
-Junio: se realizaron seis jornadas, se trabajó el tema de Capacitación en RUSICST para enlaces nuevos y contó con la participación de 164 ET.</t>
  </si>
  <si>
    <t>Durante el tercer trimestre se brindó asistencia técnica a 767 entidades territoriales, a través de la ejecución la ejecución de diez (10) jornadas de asistencia técnica, de las cuales seis (6) se realizaron en modalidad virtual y cuatro (4) de manera presencial.
Las jornadas se realizaron en las siguientes fechas:
-Julio: Seis (6) virtuales.
-Agosto: cuatro (4) presencial.</t>
  </si>
  <si>
    <t>Asistir técnicamente a las entidades territoriales en la planeación, gestión e implementación de la política de víctimas.</t>
  </si>
  <si>
    <t>Actas de asistencias técnicas y listas de asisitencia</t>
  </si>
  <si>
    <t>Actividades de asistencia técnica con entidades territoriales</t>
  </si>
  <si>
    <t>Número de asistencias técnicas realizadas a entidades territoriales para la planeación, gestión e implementación de la política de víctimas</t>
  </si>
  <si>
    <t xml:space="preserve">OAP 21.03.2025: Se ajusta el Plan conforme a la solicitud de la coordinadora del GAPV a través de memorando ID_510670, así:
INICIATIVA 3: Se ajusta tipo de acumulación, metas 2025 y 2026.
</t>
  </si>
  <si>
    <t>Prestar asistencia técnica a entidades territoriales en la articulación de la política de víctimas y el Acuerdo de Paz</t>
  </si>
  <si>
    <t>Actividades de articulación institucional e interinstitucional que permitan  definir estrategias de acompañamiento y asistencia técnica en la articulación de la política de víctimas y el acuerdo de paz, incluyendo la implementación de iniciativas para aportar al cumplimiento de órdenes emitidas por la JEP de competencia del GVC - Ministerio del Interior</t>
  </si>
  <si>
    <t>Número de actividades de articulación</t>
  </si>
  <si>
    <t>Mejorar la capacidad institucional de las alcaldías focalizadas a través de la implementación de Proyectos de Fortalecimiento Institucional</t>
  </si>
  <si>
    <t>Número de actividades realizadas para asistir técnicamente a las entidades territoriales en el mejoramiento de su capacidad institucional</t>
  </si>
  <si>
    <t>No. de actividades para asistir técnicamente a las entidades territoriales en el mejoramiento de su capacidad institucional / No. de actividades programadas por la coordinación para asistir técnicamente a las entidades territoriales en el mejoramiento de su capacidad institucional</t>
  </si>
  <si>
    <t xml:space="preserve">Se firmó la prórroga del Convenio 1324 de 2020, en el cual se ajustaba el alcance para realizar la fase inicial del modelo de fortalecimiento en las 20 entidades territoriales focalizadas. </t>
  </si>
  <si>
    <t>No se tenían compromisos para el segundo trimestre de la vigencia</t>
  </si>
  <si>
    <t xml:space="preserve">Durante los meses Agosto y septiembre Se realizaron 20 diagnósticos correspondientes a las entidades territoriales priorizadas por medio del convenio ROF oo4 de 2023. Celebrado con la Organización Internacional para las Migraciones. Correspondientes a Bolívar, Cauca, Chocó, Guajira, Magdalena, Meta y norte de Santander. </t>
  </si>
  <si>
    <t>Para el cuarto trimestre de 2024, no se realizaron acciones porque la meta se cumplió en segundo trimestre.</t>
  </si>
  <si>
    <t>Se logró realizar el diagnóstico de necesidades, la formulación e implementación de los proyectos de fortalecimiento planteados como meta para este año.</t>
  </si>
  <si>
    <t>Para el primer trimestre no se tenÍa programada ninguna actividad</t>
  </si>
  <si>
    <t>El Grupo para la Articulación de la Política Pública de Víctimas ha focalizado catorce (14) municipios priorizados para su fortalecimiento institucional. Estos municipios se encuentran ubicados en los departamentos de Norte de Santander (Villa del Rosario, El Carmen, San Calixto, El Tarra), Antioquia (Apartadó, Nechí), Nariño (Cumbitara), Caquetá (Curillo, Florencia, El Doncello), Arauca (Saravena, Tame) y Putumayo (Mocoa, Puerto Leguízamo). Para el segundo trimestre quedaron pendientes dos (2) diagnósticos correspondientes a los municipios de El Carmen y Villa del Rosario en Norte de Santander.</t>
  </si>
  <si>
    <t>El Grupo para la Articulación de la Política de Víctimas del Conflicto Armado (GVC) ha focalizado catorce (14) municipios priorizados para su fortalecimiento institucional. Para el tercer trimestre se entregan los dos (2) diagnósticos que estaban pendientes correspondientes a los municipios de El Carmen y Villa del Rosario en Norte de Santander.</t>
  </si>
  <si>
    <t>Identificar las necesidades de fortalecimiento en las administraciones locales.</t>
  </si>
  <si>
    <t>Diagnósticos</t>
  </si>
  <si>
    <t>Diagnósticos realizados a las entidades territoriales</t>
  </si>
  <si>
    <t>Sumatoria de diagnósticos realizados a las entidades territoriales</t>
  </si>
  <si>
    <t xml:space="preserve">OAP 21.03.2025: Se ajusta el Plan conforme a la solicitud de la coordinadora del GAPV a través de memorando ID_510670, y correo electrónico de fecha 25.03.2025 así:
INICIATIVA: se ajusta indicador, formula de cálculo, tipo de indicador, tipo de acumulación y unidad de medida.
</t>
  </si>
  <si>
    <t xml:space="preserve">35 paz total </t>
  </si>
  <si>
    <t>Formular  los proyectos de fortalecimiento institucional en las administraciones priorizadas.</t>
  </si>
  <si>
    <t>Proyectos formulados</t>
  </si>
  <si>
    <t>Formulación de proyectos de fortalecimiento institucional de acuerdo a los diagnósticos realizados</t>
  </si>
  <si>
    <t>Sumatoria de proyectos formulados</t>
  </si>
  <si>
    <t>Implementar los proyectos de fortalecimiento institucional en las entidades territoriales.</t>
  </si>
  <si>
    <t>Acciones de implementación de proyectos a entidades territoriales diagnosticadas</t>
  </si>
  <si>
    <t>Sumatoria de acciones de implementación de proyectos a entidades territoriales diagnosticadas</t>
  </si>
  <si>
    <t xml:space="preserve">37 paz total </t>
  </si>
  <si>
    <t>Realizar asistencia técnica en el marco de la implementación de los proyectos de fortalecimiento</t>
  </si>
  <si>
    <t xml:space="preserve">Informes o Actas </t>
  </si>
  <si>
    <t>verificaciones realizadas a la implementación de los proyectos de fortalecimiento de la etapa anterior</t>
  </si>
  <si>
    <t>Sumatoria de verificaciones realizadas</t>
  </si>
  <si>
    <t>Grupo de Coordinación del Gabinete del Ministerio del Interior</t>
  </si>
  <si>
    <t>Mariana Gómez Gutiérrez</t>
  </si>
  <si>
    <t xml:space="preserve">37. Rediseño de las Relaciones Internacionales </t>
  </si>
  <si>
    <t>5. Dejaremos atrás la Guerra y entraremos por fin en una era de Paz
5.1. Los Acuerdos de Estado con los firmantes de la paz, la sociedad y la comunidad internacional se cumplen</t>
  </si>
  <si>
    <t>Paz Total. D. La paz en la esencia del Gobierno; Transformación No. 2.  Seguridad humana y justicia social. Catalizadores: C. Garantía de derechos como fundamento de la dignidad humana y condiciones para el bienestar. 14. Protección de población migrante y fortalecimiento de vínculos con la
colombianidad en el exterior.  D. Protección de la vida y control institucional de los territorios para la construcción de una sociedad segura y sin violencias.</t>
  </si>
  <si>
    <t>Objetivo 17. Alianza para lograr los objetivos</t>
  </si>
  <si>
    <t>PMI. Capítulo V. Presupuesto y fuentes de financiamiento</t>
  </si>
  <si>
    <t>Decreto 2893 de 2011 y Resolución 0741 de 2021</t>
  </si>
  <si>
    <t>32. Implementación del acuerdo de paz con las FARC</t>
  </si>
  <si>
    <t>Coordinar con los organismos de cooperación nacional, internacional y/o multilateral la gestión de iniciativas tenientes al desarrollo de planes, programas y proyectos de cooperación que contribuyan al desarrollo misional del sector interior.</t>
  </si>
  <si>
    <t>Organismos de  cooperación nacional,  internacional y/o multilateral coordinados para la gestión de iniciativas</t>
  </si>
  <si>
    <t>Número de organismos de cooperación coordinados/ Número de organismos de cooperación  programados</t>
  </si>
  <si>
    <t xml:space="preserve">Stock </t>
  </si>
  <si>
    <t xml:space="preserve">
El resultado alcanzado en 2023 está relacionado con el afianzamiento de las relaciones con los gobiernos de Estados Unidos y Ecuador. Se logró:
1. Generación de insumos para la formulación del plan de acción para el cumplimiento de la Resolución del Consejo de Seguridad de las Naciones Unidas 1325 de 2000 sobre Mujeres, Paz y Seguridad de manera participativa con organizaciones de mujeres en más de 12 departamentos priorizados del país. 
2. Firma del "Memorando de entendimiento de cooperación internacional entre la secretaría de gestión y desarrollo de pueblos y nacionalidades de la República del Ecuador y el ministerio del interior de la República de Colombia".
3. Acuerdo y firma del Reglamento interno del Comité Técnico Binacional con la República del Ecuador.
4. Firma de la Subvención de cooperación internacional realizada por AECID y operado por la Fundación Red Prode paz para el "Fortalecimiento del Estado Colombiano para el abordaje integral para la Lucha contra la Trata de personas en los departamentos de Nariño, Chocó, Antioquia, La Guajira y Norte de Santander".
5. Firma acuerdo de voluntades para trabajar en temas de paz con el Instituto Holandés para la Democracia Multipartidario (NIMD) para fortalecer la agenda de paz en Colombia.</t>
  </si>
  <si>
    <r>
      <t xml:space="preserve">En el primer trimestre del año 2024 se ha gestionado la participación del Ministerio del Interior en </t>
    </r>
    <r>
      <rPr>
        <b/>
        <u/>
        <sz val="9"/>
        <color theme="1"/>
        <rFont val="Aptos Narrow"/>
        <family val="2"/>
        <scheme val="minor"/>
      </rPr>
      <t xml:space="preserve">3 actividades </t>
    </r>
    <r>
      <rPr>
        <sz val="9"/>
        <color theme="1"/>
        <rFont val="Aptos Narrow"/>
        <family val="2"/>
        <scheme val="minor"/>
      </rPr>
      <t>de carácter Internacional de acuerdo con la misionalidad del Ministerio:
1. El 18 y 22 de enero se participó en el seguimiento y balance final del Plan Tulcán: Eje III Asuntos Fronterizos y Eje V - Asuntos Sociales y Culturales entre Ecuador - Colombia así como la revisión de nuevas propuestas para el nuevo plan de acción binacional.
2. El MinInterior participó en la socialización realizada por MRE a entidades del Estado, sobre la presidencia pro témpore de Colombia en varios mecanismos de integración regional del 2024 al 2026.
3. Participación en la generación de la agenda de cooperación entre Colombia y el gobierno de los Estados Unidos.</t>
    </r>
  </si>
  <si>
    <t>En el segundo trimestre del año 2024 se ha gestionado la participación del Ministerio del Interior en 9 actividades de carácter Internacional de acuerdo con la misionalidad del Ministerio:
1. Durante el 1 al 30 de abril se participó en el seguimiento y balanceparticipación del Ministerio del Interior en MERCOSUR RAPIM
2.Durante el mes de mayo 17, 28 y 29 de  El MinInterior pAsistencia y participación de la reunión del Ministerio de Relaciones exteriores en el que brindaron indicaciones para la dinámica XI DAN .
3. El 7  de mayo  se participó en el seguimiento y balanceparticipación del Ministerio del Interior en MERCOSUR RAPIM
4. Acompañamiento a la Dirección para Comunidades Negras, Afrocolombiana, Raizal y Palenquera en la VII Reunión Extraordinaria de la Mesa del Pueblo Afrodescendiente de la CAN (20 de junio).
5.Asistencia a la segunda Reunión Preparatoria e Información - XV Diálogo de Derechos Humanos entre Colombia y la Unión Europea (25 de junio).</t>
  </si>
  <si>
    <t xml:space="preserve">En el tercer trimestre se coordinaron 22 acciones con diferentes organismos/agencias de cooperación nacional, internacional y/o multilateral la gestión de iniciativas que promueven la implementación del plan de Choque del acuerdo de paz y diferentes inciativas de seguridad de la siguiente manera:
En el mes de julio realizaron las siguientes 10 actividades:  
1. En el marco de la alianza de cooperación de la niñez (CPC) apoyada por el departamento de estado de EEUU y Abogados sin fronteras AFC se reactivó la mesa triple frontera para combatir la trata de personas y la explotación sexual de menores en la región amazonica junto con ICBF y Cancillería. 
2. Se desarrollo un Concepto de Utilidad Común-CUC para el proyecto "Jóvenes constructures de una cultura de reconciliación y paz fase 3" por parte del Grupo de Paz con la APC Colombia. 
3. Reunión con USAID para coordinar acciones de articulación sobre la participación de mujeres y comunidad LGBTIQ+ 
4. Aplicación a la convocatoria del fondo de cooperación técnica de la embajada de Japón para mejorar capacidades en la construcción y ejecución de políticas de gobernanza local para la construcción de paz en el pacifico Colombiano. 
5. Reunión de revisión de contrapartes Estadounidenses en los compromios del XI DAN entre Colombia y Estados Unidos para temas de trata de personas.
6. Reunión con USAID para revisar acciones de articulación en temas de migración - Mesa 7.
7. Reunión con USAID para revisar acciones de articulación en temas de derechos humanos y mejoras y avances para la CIPRAT- Mesa 5.
8. Reunión de revisión  de la matriz de seguimiento de los compromisos del XI Diálogo de Alto Nivel Colombia - Estados Unidos. 
9. Reunión con el Ministerio de Relaciones Exteriores sobre la política de Fronteras de pueblos indigenas, comunidades negras, afros, raizales y pueblos ROM. 
10. Participación en la III Citación de la mesa ampliada de paz  con la APC Colombia para organizar reuniones estrategicas con cooperantes internacionales que permita la aceleración del proceso de paz. 
En el mes de Agosto las siguientes 8 actividades: 
1. Reunión con USAID para revisar plan de choque al acuerdo de Paz 
2. Reunión interinstitucional de seguimiento - DAN Mesa , con Cancillería. 
3. Reunión de solicitud de apoyo del Ministerio del Interior al Prograga de Jóvenes resilientes de USAID operado por ACDI VOCA. 
4. Instalación de la mesa de cooperación internacional del Catatumbo en donde se presentó la "Propuesta de Pacto Social para la Transformación territorial del Catatumbo. 
5. Reunión de coordinación para revisar el Memorando de entendimiento entre MinInterior y ACDI-VOCA para temas de jóvenes.
6. Reunión con la Oficina de las Naciones Unidas contra la Droga y el delito -UNODC para socializar convenio con Cánada, que involucra a Pánama y Perú para trabajar temas de trata de personas. 
7. Participación en la II Reunión extraordinaria del Consejo Consultivo de los Pueblos Indigenas del CAN (Comunidad Andina) en temas de derechos indigenas y consulta previa. 
8. Reunión "Plan Tulcan", Acuerdo Binacional entre los Gobiernos de Ecuador y Colombia enfocado en temas fronterizos que impactan a la población Afrocolombiana. 
En el mes de septiembre las siguientes 4 actividades: 
1. Participación en la primera cumbre de jóvenes MISAK en alianza con la Organización de Naciones Unidas para la Drogra y el Delito en Piendamó, Cauca. 
2. Participación en el lanzamiento "Caminos para fortalecer la democracia", un informe realizado por PNUD Colombia en Bogotá.
3. Participación en la reunión de la CSIVI junto con la Misión de verificación de la ONU  y los países garantes para reactivar esta instancia dentro del Plan de choque para la implementación del acuerdo de paz 
4. Socilización avances de la CAN sobre temas relacionados a la comunidad afrodescendiente y el consejo consultivo indigena. </t>
  </si>
  <si>
    <r>
      <t xml:space="preserve">En el cuarto trimestre se coordinaron 18 acciones con diferentes organismos/agencias de cooperación nacional,  internacional y/o multilateral para la gestión de iniciativas que promuevan la construcción de paz en los territorios de la siguiente manera:
</t>
    </r>
    <r>
      <rPr>
        <b/>
        <sz val="8"/>
        <color theme="1"/>
        <rFont val="Aptos Narrow"/>
        <family val="2"/>
        <scheme val="minor"/>
      </rPr>
      <t>En el mes de octubre</t>
    </r>
    <r>
      <rPr>
        <sz val="8"/>
        <color theme="1"/>
        <rFont val="Aptos Narrow"/>
        <family val="2"/>
        <scheme val="minor"/>
      </rPr>
      <t xml:space="preserve"> se desarrollaron las siguientes 3 actividades:
•Reunión de diálogo con Frank Pearl, presidente de APC Colombia sobre líneas de trabajo para el acuerdo nacional
•Reunión bilateral con la Ministra del Interior y Policía de Republica Dominicana para intercambiar experiencias en materia de seguridad.
•Participación en el Comité estratégico Multidonante de la ONU para socializar el plan de choque para la implementación del Acuerdo de Paz.
</t>
    </r>
    <r>
      <rPr>
        <b/>
        <sz val="8"/>
        <color theme="1"/>
        <rFont val="Aptos Narrow"/>
        <family val="2"/>
        <scheme val="minor"/>
      </rPr>
      <t xml:space="preserve">En el mes de noviembre: </t>
    </r>
    <r>
      <rPr>
        <sz val="8"/>
        <color theme="1"/>
        <rFont val="Aptos Narrow"/>
        <family val="2"/>
        <scheme val="minor"/>
      </rPr>
      <t xml:space="preserve">
En el mes de noviembre, 7 actividades:
•Asistencia Reunión del Proyecto Centro De Memoria MPTFP para conocer el planteamiento de dicho proyecto y solicitudes al Fondo Multidonante. 
•Reunión con la Presidencia Pro tempore de la CAN donde se revisaron los compromisos que el Ministerio del Interior tenía, entre ellos Cancillería y Min interior deben coordinar acciones pendientes y trabajar en el plan de acción para el 2025. (Plan Quinquenal)
•Reunión Comité Técnico Fondo Multidonante .Con el fin de revisar los proyectos y realizar las debidas observaciones según el caso.
•Desarrollo del Comité Gestor para revisar el proyecto de subvenciones para el fortalecimiento del Estado colombiano en el abordaje integral de la lucha contra la trata de personas en los departamentos de Nariño, Chocó, La Guajira y Norte de Santander.  
•Reunión de XVIII Reunión de Ministros y Altas Autoridades de Afrodescendientes del MERCOSUR, cuyo objetivo fue revisar los compromisos adquiridos en el semestre anterior y cumplir con las tareas acordadas.
•Reunión De Autoridades Pueblos Indígenas Del Mercosur RAPIM en la que se realizó un dialogo sobre los principales ejes que estaban fijados por PPTU en materia de derechos de los pueblos indígenas.
•Reunión con Nueva Zelanda para revisar la iniciativa de cooperación económica y comercial de los pueblos indígenas IPETCA.
</t>
    </r>
    <r>
      <rPr>
        <b/>
        <sz val="8"/>
        <color theme="1"/>
        <rFont val="Aptos Narrow"/>
        <family val="2"/>
        <scheme val="minor"/>
      </rPr>
      <t>En diciembre, 8 actividades:</t>
    </r>
    <r>
      <rPr>
        <sz val="8"/>
        <color theme="1"/>
        <rFont val="Aptos Narrow"/>
        <family val="2"/>
        <scheme val="minor"/>
      </rPr>
      <t xml:space="preserve">
•Revisión del documento sobre el Acuerdo de Cooperación Económica con Nueva Zelanda fue remitido al Ministerio de Relaciones Exteriores, tras haberse realizado un análisis en colaboración con la Dirección de Comunidades Indígenas, Dirección de Asuntos Indígenas, Rom y Minorías.
•Participación  por parte de la Subdirección de Trata y el Equipo de cooperación internacional, al Taller validación estrategia país de OIM 2025, 2028. El taller se desarrolló en diferentes mesas de trabajo, representadas por delegados de entidades como Prosperidad Colombia, Migración Colombia, APC, DNP, Min Salud, y la OIM Colombia, MinInterior.
•Participación en el encuentro convocado por APC Colombia del Sistema Nacional de Cooperación Internacional de Colombia (SNCIC), con el fin de conocer las diferentes modalidades de cooperación entre ellas la Cooperación no reembolsable que deben estar alineados al Plan Nacional de Desarrollo.
•Reunión para la retroalimentación de la propuesta preliminar plan estratégico Subcomisión Intersectorial de Migraciones con diferentes entidades del Estado con el fin de consensuar el Plan de Acción 2025.
•Reunión del Comité Técnico Fondo Multidonante - Con el fin de revisar los proyectos y realizar las debidas observaciones según el caso.
•Participación en el taller Taller de Validación del Plan de Acción Cuatrienal del ACNUR 2025-2028 entre las entidades del Gobierno y el equipo del ACNUR en Colombia.
•Reunión con el Ministro Juan Fernando Cristo y los embajadores de la Unión Europea. Durante este encuentro el Ministro presentó los avances del Plan Choque y los pactos territoriales.
•Participación en el Comité Gestor del Proyecto “Fortalecimiento del Estado Colombiano para el Abordaje Integral de la Lucha contra la Trata de Personas” en los Departamentos de Nariño, Chocó, Antioquia, La Guajira y Norte de Santander</t>
    </r>
  </si>
  <si>
    <t>En el año 2024 se desarrollaron 52 actvidades para coordinar iniciativas que promuevan la construcción de paz con  diferentes organismos/agencias de cooperación nacional,  internacional y/o multilaterales.</t>
  </si>
  <si>
    <t>NO REPORTA</t>
  </si>
  <si>
    <t>Elaboración, revisión y aprobación del procedimiento interno para la articulación con organismos de cooperación internacional</t>
  </si>
  <si>
    <t xml:space="preserve">Procedimiento adoptado </t>
  </si>
  <si>
    <t>Procedimiento elaborado y aprobado para la articulación con organismos de cooperación internacional</t>
  </si>
  <si>
    <t>Sumatoria de procedimientos elaborados y aprobados</t>
  </si>
  <si>
    <t>Dirección Estratégica y Desempeño Institucional</t>
  </si>
  <si>
    <t>Política de Gestión del Conocimiento y la Innovación</t>
  </si>
  <si>
    <t xml:space="preserve">Diagnóstico sobre las necesidades de las áreas frente a temas de cooperación internacional
</t>
  </si>
  <si>
    <t>Matriz de Diagnóstico</t>
  </si>
  <si>
    <t>Diagnóstivo elaborado frente a necesidades de cooperación internacional</t>
  </si>
  <si>
    <t>Sumatoria de diágnósticos elaborados</t>
  </si>
  <si>
    <t>3. De la desigualdad hacia una sociedad garante de derechos: Haremos realidad la Constitución del 91 por fuera del Negocio                    4, Democratización del estado, libertades fundamentales y agenda internacional para la vida
5. Dejaremos atrás la guerra y entraremos por fin en una era de paz</t>
  </si>
  <si>
    <t>Paz Total
Transformación 2. Seguridad Humana y Justicia Social
Transformación 5. Convergencia Regional
Colombia, Sociedad para la Vida. Actores Diferenciales para el Cambio</t>
  </si>
  <si>
    <t>Objetivo 16. Paz, justicia e instituciones sólidas
Objetivo 17. Alianza para lograr los objetivos</t>
  </si>
  <si>
    <t>PMI
Cap 1. Diagnóstico, metas trazadoras, estrategias e indicadores para la Implementación del Acuerdo Final.
6. Implementación, Verificación y Refrendación</t>
  </si>
  <si>
    <t>Efectuar articulación estratégica con las entidades adscritas y vinculadas al sector interior al igual que con las direcciones y oficinas del Ministerio, con el fin de dar cumplimiento a los objetivos estratégicos, sectoriales e institucionales.</t>
  </si>
  <si>
    <t>Articulación estratégica con el sector interior realizada</t>
  </si>
  <si>
    <t>Número de articulaciones con el sector interior realizadas/ Número de articulaciones con el sector interior solicitadas</t>
  </si>
  <si>
    <t>Durante el año 2023 se efectuaron 354 documentos e insumos a solicitud del Despacho del Ministro del Interior, y se efectuaron 51 articulaciones con las entidades del sector interior, direcciones y oficinas asesoras del Ministerio, para atender las solicitudes específicas del despacho del ministro en materia de misionalidad de la entidad.</t>
  </si>
  <si>
    <r>
      <t>Durante el primer trimestre del 2024 se realizaron</t>
    </r>
    <r>
      <rPr>
        <u/>
        <sz val="9"/>
        <color theme="1"/>
        <rFont val="Aptos Narrow"/>
        <family val="2"/>
        <scheme val="minor"/>
      </rPr>
      <t xml:space="preserve"> </t>
    </r>
    <r>
      <rPr>
        <b/>
        <u/>
        <sz val="9"/>
        <color theme="1"/>
        <rFont val="Aptos Narrow"/>
        <family val="2"/>
        <scheme val="minor"/>
      </rPr>
      <t>16 documentos e insumos</t>
    </r>
    <r>
      <rPr>
        <b/>
        <sz val="9"/>
        <color theme="1"/>
        <rFont val="Aptos Narrow"/>
        <family val="2"/>
        <scheme val="minor"/>
      </rPr>
      <t xml:space="preserve"> </t>
    </r>
    <r>
      <rPr>
        <sz val="9"/>
        <color theme="1"/>
        <rFont val="Aptos Narrow"/>
        <family val="2"/>
        <scheme val="minor"/>
      </rPr>
      <t>a solicitud del Despacho del Ministro del Interior dando cumplimiento a los objetivos estratégicos, sectoriales e institucionales de la entidad de los cuales 3 fueron elaborados en el mes de enero, 9 en el mes febrero y 4 en el mes de marzo.
Los documentos estuvieron enfocados en seguridad nacional para el Ministro del Interior en las intervenciónes de los Consejos de Seguridad. La información se consolida en articulación con la Policía Nacional referente a homicidios, hurtos, lesiones personales, extorsión, secuestro, delitos ambientales de nivel nacional y focalizar acciones y estrategias de intervención en los territorios y presentaciones para foros y/o reuniones en asuntos relacionados con personas con Discapacidad, Esquemas Asociativos Territoriale, agremiaciones, etc.</t>
    </r>
  </si>
  <si>
    <t>Durante el segundo  trimestre del 2024 se realizaron 17 documentos e insumos a solicitud del Despacho del Ministro del Interior dando cumplimiento a los objetivos estratégicos, sectoriales e institucionales de la entidad durante los meses de abril, mayo y  junio
1.	Construcción de ficha/insumos para la visita del Ministro de Gobernación Francisco Jiménez de la República de Guatemala (documento).
2.	Construcción de ficha/insumos para la visita del Presidente Luiz Inácio Lula da Silva de la República Federativa de Brasil (documento).
3.	Actualización de las fichas de información sobre los distintos procesos de cooperación internacional sobre los cuales la Jefatura de Gabinete brinda acompañamiento (documento). 
4.	Consolidación Plan de Acción Trimestral de las actividades ejecutadas en el mes de abril (documento).
5.	Consolidación de información para la participación del Ministerio del Interior en el XI Diálogo de Alto Nivel entre Colombia y Estados Unidos (documento).
6.	Construcción de oficio declinando de la participación del Ministerio del Interior al “Seminario “Participación Ciudadana en Seguridad: Retos y Buenas Prácticas" a realizarse en Paraguay (documento).
7.	Actualización de las fichas de información sobre los distintos procesos de cooperación internacional sobre los cuales la Jefatura de Gabinete brinda acompañamiento (documento). 
8.	Formulación Proyecto para cooperación técnica con la Agencia de Cooperación Internacional de Japón (JICA) (documento).
9.	Consolidación Plan de Acción Trimestral de las actividades ejecutadas en el mes de mayo (documento).
10.	Consolidación de información requerido por el Ministerio de Relaciones Exteriores para la construcción de la Política Nacional para el Desarrollo y la Integración Fronteriza (documento).
11.	En el trimestre de abril, mayo, junio se realizaro 10 informes de seguridad y convivencia a nivel nacional con insumo para el señor Ministro del Interior. Con información de Policía Nacional, Defensoria del Pueblo, Fiscalía General de la Nación.
12.	"Consolidación información CAPREE entre Colombia y Estados Unidos de acuerdo a las instrucciones del despacho del Viceministerio para el Diálogo Social, la Igualdad y los Derechos Humanos (documento). 
13.	"
14.	Acompañamiento equipo Paz Total para el diseño del instrumento  y la implementación de grupos focales y sistematización para el diagnóstico de necesidades del Ministerio del Interior 
15.	Documento diagnóstico (primera versión) sobre las necesidades del Ministerio del Interior en el diseño e implementación de políticas públicas. El diagnóstico incluye información recolectada de siete grupos focales realizados en abril. 
16.	Documento diagnóstico sobre las necesidades del Ministerio del Interior en el diseño e implementación de políticas públicas
17.	Actualización de matriz de sistematizción de grupos focales con los equipos del Ministerio del Interior que escriben o implementan políticas públicas en temas de Paz, Convivencia y Seguridad
18.	Presentación de avances del diagnóstico participativo para el Ministerio del Interior, en apoyo a la oficina de planeación 
19.	Construcción y ajuste de los perfiles para la coordinación, apoyo logístico y perfiles territoriales para la validación y aprobación de las oficinas de Gobierno, Gestión Territorial y Lucha contra la Trata, contractual y jefatura de gabinete (documento).
20.	Asistencia y participación a la mesa de trabajo entre el Ministerio de Relaciones Exteriores, Agencia Presidencial para la Cooperación Internacional de Colombia APC Colombia, ICBF sobre la socialización de los apoyos del Fondo Abu Dhabi para los Centros de Desarrollo Infantil en las ciudades de Bucaramanga, Cali y Yopal (15 de abril).
21.	Asistencia y participación a la mesa de trabajo entre el Ministerio de Relaciones Exteriores, Agencia Presidencial para la Cooperación Internacional de Colombia APC Colombia, ICBF sobre la socialización de los apoyos del Fondo Abu Dhabi para los Centros de Desarrollo Infantil en las ciudades de Bucaramanga, Cali y Yopal (23 de abril).
22.	Consolidación la matriz de mecanismos de integración regional con la información remitida por las direcciones para presentar las iniciativas/eventos del Ministerio del Interior al Ministerio de Relaciones Exteriores (documento).
23.	Asistencia y participación reunión con despacho del Ministro del Interior para revisar el apoyo de las organizaciones de Juntas de Acción Comunal (JAC) para la socialización del proceso del ICBF de centros atrapasueños - Fondo Abu Dhabi (22 de abril).
24.	Convocatoria, asistencia y participación en la capacitación y presentación del Sistema Nacional de Cooperación Internacional (19 de junio).
25.	Asistencia a la reunión convocada por APC Colombia - Mesa de avance Social e Igualdad (13 de junio).
26.	Reunión para hacer seguimiento a los asuntos relacionados con el ICBF sobre apoyos del Fondo Abu Dhabi para los Centros de Desarrollo Infantil en las ciudades de Manizales, Bucaramanga, Cali y Yopal (24 de junio).</t>
  </si>
  <si>
    <t xml:space="preserve">Durante este trimestre, se desarrollaron diversas acciones de articulación entre las entidades del Sector Interior, las direcciones y oficinas del Ministerio del Interior, y otras entidades del Gobierno Nacional, logrando la generación de insumos estratégicos que facilitaron las siguientes actividades:
En Julio: se llevaron a cabo 6 acciones de articulación clave para promover el Acuerdo Nacional y el diálogo en Colombia.  
1. Reunión con la Federación Nacional de Departamentos para socializar la necesidad de establecer un acuerdo nacional que promueva el diálogo y excluya la violencia del escenario político colombiano. 
2. Se instaló la mesa nacional de garantias respondiendo al llamado de las oragnizaciones sociales e internacionales junto con UNP, MinDefensa, MinJusticia, ONU DDHH, Fiscalia, Defensoria 
3. Participación en diálogos con los gremios del país para hablar del Acuerdo Nacional y sus aspectos clave, designando una Comisión de diálogo permanente.
4. Participación en espacios de diálogo con centrales obreras para dialogar con las organizaciones sindicales y socializar el Acuerdo Nacional.
5. Participación de la Alianza de asociaciones de Gremios de Colombia para colaborar en la implementación del acuerdo de paz, la construcción de una agenda legislativa concertada y el fortalecimiento de la autonomia territorial.
6. Participación en el Encuentro Subregional PDET en Simití, Bolivar para realizar plan de acción para la transformación regional (PATR).
En el mes de Agosto se realizaron 6 articulaciones de la siguiente manera:
1.  Participación en el congreso ACM2024 para presentar el acuerdo mineroenergetico, subrayando la importancia como aliado estrategicco en la transformación de municipios PDET 
2. Participación en el Encuentro Subregional PDET  Cuenca del Cagúan y Piedemonte Caqueteño para realizar un balance en la implementación del acuerdo de paz.
3. Participación en el Encuentro de la Subregional PDET Sierra Nevada y Serranía del Perijá enmarcadas en el plan de transformación territorial y avance en el plan de choque del acuerdo de paz. 
4. Participación en mesa técnica con la Gobernación del Norte de Santander, alcaldes del Catatumbo, USAID Y Asociación de municipios del Catatumbo. 
5. Participación en encuentro en la subregión PDET del Sur de Córdoba con la finalidad de juntar esfuerzos para fortalecer el plan de choque del acuerdo de paz 
6. Participación en el encuentro Subregional PDET de Buenaventura con la finalidad de fortalecer la implementación del Acuerdo de Paz. 
En el mes de septiembre se realizaron las siguientes 8 articulaciones: 
1. Participación en el consejo de seguridad de Tame, Arauca junto con el Ministerio de Defensa.
2. Participación del consejo de seguridad en Cúcuta, Norte de Santander junto con autoridades locales y departamentales, Policia y Ejercito. 
3. Revisión y actualización de los planes de acción de transformación regional en las subregiones PDET.
4. Reunión con autoridades locales y departamentales en la subregión PDET del Putumayo.
5. Instalación de la Mesa territorial del Pacifico Nariñense en Tumaco, Nariño en articulación con el Ministerio de Justicia y autoridades locales y departamentales.
6. Participación del espacio de diálogo junto con la Agencia de Renovación del territorio en San José del Guaviare.
7. Encuentro Subregional en zona PDET Macarena- Guaviare con lideres sociales, organizaciones comunitarias, autorides locales y Representantes del Gobierno Nacional para la implentación del acuerdo de paz. 
8. Diálogo interetnico e intercultural en Popayán, Cauca para consolidar la transformación cultural y  la implementación de los acuerdos de paz , con la participación del DNP, DPS, Mision de verificación de la ONU. </t>
  </si>
  <si>
    <t xml:space="preserve">En el año 2024 se desarrollaron 78 actividdades de articulación estrategica con las Entidades adscritas y vinculadas al sector interior al igual que con las direcciones y oficinas del Ministerio, con el fin de dar cumplimiento a los objetivos estrategicos, sectoriales e institucionales. </t>
  </si>
  <si>
    <t>Elaboración y remisión de circulares y/o memorandos dirigidos a las dependencias del Minsiterio y/o entidades del sector interior para orientar la articulación estratégica institucional</t>
  </si>
  <si>
    <t>Circulares o memorandos remitidos</t>
  </si>
  <si>
    <t xml:space="preserve">
 Circulares y/o memorandos elaborados y remitidos a las dependencias del Minsiterio y/o entidades del sector interior para orientar la articulación estratégica institucional
</t>
  </si>
  <si>
    <t>(Número de Circulares y/o memorandos elaborados y remitidos/Número de Circulares y/o memorandos requeridos)*100</t>
  </si>
  <si>
    <t>Grupo Interno de Trabajo Equipo de Paz</t>
  </si>
  <si>
    <t>Jaime Orlando Guzmán Otero</t>
  </si>
  <si>
    <t>33. Implementación del Acuerdo de Paz con las FARC 
36. Paz Total</t>
  </si>
  <si>
    <t xml:space="preserve"> 5. Dejaremos atrás la guerra y entraremos por fin en una era de paz</t>
  </si>
  <si>
    <t>6. Paz total e integral 
(Catalizadores : 4. La cultura de paz en la cotidianidad de las poblaciones y territorios
5. La paz en la esencia del Gobierno)</t>
  </si>
  <si>
    <t>Objetivo 16. Paz, Justicia e Instituciones Sólidas</t>
  </si>
  <si>
    <t>No  Aplica</t>
  </si>
  <si>
    <t>* Ley 2272 de 2022 "Por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
* Acuerdo Final suscrito entre el Gobierno de la República de Colombia y las Fuerzas Armadas Revolucionarias de Colombia Ejército del	 Pueblo (FARC-EP)
* Plan Marco de Implementación del Acuerdo Final (PMI)</t>
  </si>
  <si>
    <t>4. Implementar políticas públicas y estrategias de articulación entre el Gobierno Nacional y las entidades territoriales orientadas a su  fortalecimiento y modernización: Gobierno y Gestión Territorial</t>
  </si>
  <si>
    <t>32. Implementación del acuerdo de paz con las farc
33. Tránsito hacia la paz total</t>
  </si>
  <si>
    <t>Desarrollar lineamientos de competencia del Ministerio del Interior en  construcción de Paz</t>
  </si>
  <si>
    <t>Documentos metodológicos desarrollados y actualizados</t>
  </si>
  <si>
    <t xml:space="preserve">Sumatoria de  Documentos metodológicos desarrollados </t>
  </si>
  <si>
    <t>Se definió documento de trabajo con la estructura y preguntas de investigación y se definió el marco normativo.</t>
  </si>
  <si>
    <t xml:space="preserve">Hemos llevado a cabo un proceso de documentación, búsqueda de fuentes normativas y secundarias para la elaboración de los lineamientos de política pública, se han realizado 11 grupos focales con diferentes dependencias del Ministerio del Interior para la construcción del diagnóstico y los antecedentes de los lineamientos de la política pública de paz, además de un trabajo de articulación con el DNP y demás entidades concernidas. </t>
  </si>
  <si>
    <t xml:space="preserve">• Se realizaron las labores relacionadas  con la llamada política pública de paz. 
• Construcción de la propuesta diplomado Consejos territoriales de paz en alianza con la ESAP.
• Construcción y apoyo técnico de una propuesta para la realización de un curso de diálogo democrático junto con PNUD.
• Reuniones varias en las que se representó al equipo de paz: planeación, conmemoración octavo aniversario del acuerdo, USIP, Planeación, ESAP, y varias a las que fui invitado como representante del Ministerio. 
• Facilitación reunión de rectores con el ministro. 
• Articulación con el nuevo equipo, en términos de lineamientos metodológicos y conceptuales.  
• Comienzo elaboración de documentos conceptuales:  
• 1. Pedagogía de paz • Negociar en medio de las confrontaciones; 
• Comparación de los trabajos del equipo antes y después de la nueva coordinación. (TODOS EN PROCESO).  
• Estudio académico relacionado con las temáticas.  </t>
  </si>
  <si>
    <r>
      <rPr>
        <b/>
        <sz val="8"/>
        <color theme="1"/>
        <rFont val="Aptos Narrow"/>
        <family val="2"/>
        <scheme val="minor"/>
      </rPr>
      <t>GITEP enero 2025</t>
    </r>
    <r>
      <rPr>
        <sz val="8"/>
        <color theme="1"/>
        <rFont val="Aptos Narrow"/>
        <family val="2"/>
        <scheme val="minor"/>
      </rPr>
      <t>: Debido al recorte presupuestal y  a que durante el 2024 se  elaboro el documento producto de los componentes de política,  para el 2025 no  se priorizó la asigna recursos a esta iniciativas.</t>
    </r>
  </si>
  <si>
    <t xml:space="preserve">Generar una cultura de paz en la cotidianidad de poblaciones y territorios, con enfoque territorial, étnico y de género. </t>
  </si>
  <si>
    <t xml:space="preserve">Eventos de cultura de paz  desarrollados </t>
  </si>
  <si>
    <t>Sumatoria de Eventos de cultura de paz  desarrollados</t>
  </si>
  <si>
    <t xml:space="preserve">Producto </t>
  </si>
  <si>
    <t xml:space="preserve">número </t>
  </si>
  <si>
    <t>Se han realizado reuniones de trabajo y revisión de insumos para definir los mensajes, públicos objetivo y ejes a implementar. Adicionalmente se llevaron a cabo dos espacios de formación en territorio por el componente de corresponsabilidad en el marco del programa "Jóvenes en Paz" y se produjo el contenido de 7 sesiones para el módulo de Paz y Convivencia con sus insumos respectivos, para el Programa Jóvenes en Paz.</t>
  </si>
  <si>
    <t xml:space="preserve">•	Se construyó el módulo “Paz y Convivencia” para el Programa Jóvenes en Paz. 
•	Se realizó la primera capacitación en modalidad virtual de “Hagamos las Paces”, para funcionarios del Ministerio del Interior el 28 de mayo de 2024.
•	Se formuló la estrategia de comunicaciones “Hagamos las Paces” para el Ministerio del Interior. 
•	Se ha avanzado en la identificación de procesos y experiencias de construcción de paz en diferentes territorios que serán seleccionadas para un proceso de visibilización y fortalecimiento. 
•	Se apoyaron dos procesos de formación con el diseño curricular de programas de formación con la consejería para la reconciliación y la ESAP. 
•	Se participó en reuniones interinstitucionales con entes internacionales de cooperación como la OIM y el NIMD. 
•	Se revisaron materiales y publicaciones sobre paz, cultura de paz, construcción de paz, paz en la cotidianidad, reconciliación y diálogo, entre otros temas fundamentales. 
•	Se organizaron jornadas pedagógicas con expertos externos al Ministerio. </t>
  </si>
  <si>
    <t xml:space="preserve">• Reuniones de planeación y coordinación para determinar la presentación del Ministerio en la COP. 
• Actualización de la base de datos de experiencias de cultura de paz en la cotidianidad. 
• Construcción de la propuesta diplomado Consejos territoriales de paz en alianza con la ESAP
• Elaboración del formato para hacer el envío de las previsiones de comunicaciones, asistencia a las reuniones de tráfico de comunicaciones y organización con la OIP para realizar el cubrimiento correspondiente de espacios y eventos. 
• Grabación de vídeos con la JAL de Kennedy sobre paz total 
• Propuesta escrita para presentar la estrategia "Hagamos las Paces" en la Cumbre Nacional de Juventudes. 
• Elaboración propuesta de mensajes para la estrategia de comunicaciones.
• Presentación para el señor Ministro del Interior sobre el Plan de Choque para la implementación del Acuerdo de Paz.  
• Apoyo en la elaboración de las fichas de subregión PDET para los eventos de actualización de PART acompañados por el señor Ministro del Interior en el mes de agosto. 
</t>
  </si>
  <si>
    <t xml:space="preserve">Se llevó a cabo la reestructuración del equipo de comunicaciones y la OIP del Ministerio del Interior con quienes se venía coordinando la construcción de la estrategia de comunicaciones para la paz.  Se hicieron modificaciones en las prioridades del Equipo de Paz y se dieron nuevos lineamientos para dar continuidad al trabajo desarrollado.   La estrategia de comunicaciones, información y pedagogía para la paz, así como, la generación de espacios para una cultura de paz tuvieron un menor grado de prioridad durante el tercer trimestre de 2024 en comparación con otras actividades que hacen parte del Plan de Choque del señor Ministro del Interior. </t>
  </si>
  <si>
    <r>
      <rPr>
        <b/>
        <sz val="8"/>
        <color theme="1"/>
        <rFont val="Aptos Narrow"/>
        <family val="2"/>
        <scheme val="minor"/>
      </rPr>
      <t>GITEP enero 2025</t>
    </r>
    <r>
      <rPr>
        <sz val="8"/>
        <color theme="1"/>
        <rFont val="Aptos Narrow"/>
        <family val="2"/>
        <scheme val="minor"/>
      </rPr>
      <t>: Debido al recorte presupuestal para el 2025 no  se priorizó la asigna recursos a esta iniciativas.</t>
    </r>
  </si>
  <si>
    <t>El trazador seleccionado por el proyecto relacionado con “1. Reforma Rural Integral” para todo el Horizonte del proyecto (2023 – 2026), el indicador de esta inversión es "Otros compromisos del Acuerdo Final". Esta decisión responde al amplio alcance del proyecto, el cual contempla priorizar acciones para el cumplimiento de iniciativas PDET.
Y aunque los recursos se destinan en un alto porcentaje a financiar iniciativas PDET que están supeditadas al proceso de articulación que se tiene definido con la Agencia de Renovación del Territorio – ART para definir el alcance de cada una con la participación de la comunidad.</t>
  </si>
  <si>
    <t>Gestionar la implementación  de iniciativas tendientes a la implementación de la Política de Paz Total.</t>
  </si>
  <si>
    <t xml:space="preserve">Número de iniciativas gestionadas </t>
  </si>
  <si>
    <t xml:space="preserve">Sumatoria de  iniciativas gestionadas </t>
  </si>
  <si>
    <t>Se adelanto procesos de priorización de iniciativas y se continua con los procesos precontractuales y contractuales.</t>
  </si>
  <si>
    <t>Se suscribió el convenio con OIM  en junio  de 2024, con el fin de   optimizar los recursos asignados a la implementación de Iniciativas. 
Se   identificaron y priorizaron 12 iniciativas para la implementación en el marco del convenio. 
Se definieron las herramientas y ruta de articulación con la ART  y con las mesas de participación para definir acciones asociadas ocn las iniciativas.</t>
  </si>
  <si>
    <t xml:space="preserve">Se avanzó con la definición de los lineamientos y herramientas para  la gestión de iniciativas sociales y comunitarias.
Se realizaron mesas técnicas con las territoriales de ART y Direcciones del Ministerio para definir alcance y las acciones a desarrollar en territorio. 
Se avanzó con la implementación de una iniciativa social en la Subregión de Urabá 
</t>
  </si>
  <si>
    <t>Dos iniciativas étnicas tuvieron que aplazarse toda vez que en el mecanismo especial de concertación solicitaron plazos adicionales para concertación interna con los gobernadores y caciques indígenas de la subregión del Urabá</t>
  </si>
  <si>
    <t xml:space="preserve">Durante el periodo se  avanzó con la identificación y priorización de iniciativas por parte del equipo de paz, las cuales se ejecutarán a través del  alcance realizado al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el cual se encuentra radicado en contractual , en espero de  citación a comité de contratación </t>
  </si>
  <si>
    <t>Para el II Trimestre, avanzamos con la implementación de dos iniciativas en las Subregiones PDET Choco y Montes de Maria, adicionalmente se avanzo con los requerimientos tecnicos, preuspuestales y contractuales pára la firma y adición del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el cual se encuentra radicado en contractual, asi mismo ya se adelanto el comite de contratación. Se ha iniciado la identificacion de potenciales iniciativas a implementar en el segundo semestre, asi como el ejercicio de articulacion pertinente con las dependencias del ministerio.
Abr: 2, May: 0, Jun: 0</t>
  </si>
  <si>
    <t>Para el III Trimestre, avanzamos con la implementación de cuatro iniciativas en las Subregiones PDET Cuenca del Caguan y Piedemonte Caqueteño y Uraba Antioqueno, adicionalmente se han venido superando los inconvenientes tecnicos y presupuestales derivados  convenio  No. 1638 de 2024,cuyo objeto es “Aunar esfuerzos entre el Ministerio del Interior y la Organización Internacional para las Migraciones-OIM- para mejorar la efectividad en la implementación de los programas e iniciativas de construcción de paz lideradas por el Ministerio del Interior a nivel nacional en el marco del Plan Nacional de Desarrollo – “Colombia potencia mundial de la vida 2022-2026”, avanzando con los procesos de articulacion institucional con los entes territoriales la ART y las dependencias del Ministerio del Interior,  asi mismo hemos avanzado con la identificacion de potenciales iniciativas a implementar en el ultimo trimestre, asi como el ejercicio de articulacion pertinente con las dependencias del ministerio.
Jul: 0,Ago: 2, Sep: 2</t>
  </si>
  <si>
    <t>Apoyar la financiación de los compromisos e iniciativas sociales, comunitarias e institucionales en construcción de paz.</t>
  </si>
  <si>
    <t>Registro de envio de información para cierre de iniciativas</t>
  </si>
  <si>
    <t>Reportes elaborados de la implementación de los compromisos e iniciativas sociales, comunitarias e institucionales en construcción de paz.</t>
  </si>
  <si>
    <t xml:space="preserve">Sumatoria de reportes la implementación de los compromisos e iniciativas sociales, comunitarias e institucionales en construcción de paz. </t>
  </si>
  <si>
    <t xml:space="preserve">Gestión </t>
  </si>
  <si>
    <t>C-3702-1000-15-600011
C-3702-1000-15-600012
C-3702-1000-15-600013
C-3702-1000-15-600014</t>
  </si>
  <si>
    <t>Mejoramiento de la efectividad de los programas e iniciativas de construcción de paz lideradas por el Ministerio del Interior a nivel  Nacional</t>
  </si>
  <si>
    <t>Gestión para la Protección de los Derechos</t>
  </si>
  <si>
    <t xml:space="preserve">Gestión Con Valores para Resultados </t>
  </si>
  <si>
    <t>Participación Ciudadana en la Gestión Pública</t>
  </si>
  <si>
    <t>Mesas Municipales de Participación</t>
  </si>
  <si>
    <t>Articular con las  entidades del orden nacional y/o territorial e instancias de paz  para la  implementación de las acciones asociadas a la Política de Paz Total</t>
  </si>
  <si>
    <t xml:space="preserve">Número de  entidades y/o instancias articuladas  para la implementación de acciones asociadas a la Paz  </t>
  </si>
  <si>
    <t xml:space="preserve">Numero de   entidades y/o instancias articuladas  para la implementación de acciones asociadas a la Paz  </t>
  </si>
  <si>
    <t>Se realizaron reuniones de coordinación interinstitucional para la construcción de una hoja de ruta en la actualización de los Planes Nacionales de la Reforma Rural . Adicionalmente se realizaron reunión con DNP para avanzar en los reportes de los indicadores del PMI.</t>
  </si>
  <si>
    <t>Hemos adelantado 2 Cumbres de Instancias de Paz en el marco de las conmemoraciones del Acuerdo Final de Paz, con al menos 24 Instancias relacionadas en los acuerdos de paz o en la legislación colombiana; dentro de las cuales se encuentra la JEP, el Comité de Impulso a la recomendaciones de la CEV, las Comisiones de Paz de Senado y Cámara, las CITREP, la Junta de Direccionamiento Estratégico, el Consejo Permanente del PNIS, el SISEP (Incluyendo la MTSP, el CNGS, el Comité de Impulso a las investigaciones de la FGN), el Instituto Kroc, el CINEP – CERAC, entre otras. A ello se suma el trabajo con la Comunidad Internacional, especialmente con la Misión de Verificación de la ONU, entre otras agencias y entidades del sector paz.</t>
  </si>
  <si>
    <t xml:space="preserve">Las actividades realizadas para el mes de Julio fueron las siguientes, reunión de Mesa Técnica Componente Internacional CSIVI  02-07-2024, reunión secretaria técnica de la CSIVI SU 020 y auto 826 y coordinación con CIPRAT, reunión Equipo de paz y OIM capacitación y presentación formato de eventos 03-07-2024, reunión Gobierno CSIVI revisión protocolo internacional 6.4.2. 04-07-2024, reunión secretaria técnica CSIVI Gobierno con el CINEP 04-08-2024, reunión MSJT Tripartito CSIVI 05-07-2024, reunión secretaria técnica CSIVI 09-07-2024, reunión con Grupo de víctimas tema JEP Córdoba 09-07-2024, reunión interna Equipo de paz.  10-07-2024, reunión técnica CSIVI Gobierno 10-07-2024, reunión Equipo de paz y CNPRC - OCCP - UIAFP. 11-07-2024, reunión de la sesión técnica de la IAN del SISEP 17-07-2024, reunión MSJT Tripartito CSIVI 17-07-2024, reunión Sec tec de la CSIVI 22-07-2024, reunión de actualización PMI – CSIVI 16-07-2024, reunión con Grupo de víctimas tema jep Córdoba 17-07-2024, reunión ART Actividades territoriales PDET PATR 22-07-2024.
Para el mes de agosto se realizaron las siguientes actividades:  reunión de presentación con el coordinador del Equipo de paz del grupo de articulación. 06-08-2024, reunión de secretaria técnica de la CSIVI. 06-08-2024, participación reunión DSCI presentación y adopción de ruta PNIS. 06 de agosto de 2024, participación y acompañamiento de reunión de la IAN del SISEP. 08 de agosto de 2024, reunión de presentación propuesta conmemoración 8vo aniversario CSIVI. 08-08-2024, mesa técnica bienes de las antiguas FARC-EP CSIVI. 8 de agosto de 2024, reunión Comité CNPRC y DDHH del Ministerio del Interior - 9 de agosto de 2024, reunión con UIAFP temas pedagogía para la conmemoración 8vo aniversario CSIVI. 9 agosto de 2024, reunión con la UIAFP explicación articulación recomendaciones. 12 agosto de 2024, reunión secretaria técnica CSIVI gobierno. 12 agosto de 2024, reunión DAPRE secretaria técnica csivi gobierno 13 agosto 2024, reunión de presentación avance PMI y temas trazadores de paz. 14-08-2024, reunión Ministerio del Interior y DNP - Indicadores y presupuesto. 15 de agosto de 2024, reunión preparatoria sesión plena CNGS. 16 de agosto de 2024, reunión subcomisión CNGS. 20 de agosto de 2024, reunión DDHH y secretaria técnica CNPRC análisis jurídico modificaciones decreto 1444. 22 de agosto de 2024. 
Para el mes de septiembre se realizaron las siguientes actividades, reunión de secretaria técnica CSIVI gobierno. 2 de septiembre de 2024, reunión con el DAPRE adecuaciones normativas 2 de septiembre de 2024, presentación proyecto MPTF CNGS 3 de septiembre de 2024, reunión de secretaria técnica de csivi.  3 de septiembre de 2024, reunión de secretaria técnica de csivi.  3 de septiembre de 2024, reunión Comisión ah doc de Estado de la CNGS 3 de septiembre de 2024, reunión seguimiento trazador presupuestal interna 4 de septiembre de 2024, reunión con estrategia del territorio al Capitolio 5 de septiembre de 2024, reunión comité 8va Conmemoración AFP 5 de septiembre de 2024, reunión revisión comentarios PNRRI SALUD 5 septiembre 2024, reunión Conmemoración 8v AFP 6 sept 2024, mesa de bienes de las FARC CSIVI 9 de septiembre de 2024, reunión con secretaria  jurídica de presidencia 9 de septiembre de 2024, reunión de CSIVI 10 de septiembre de 2024, reunión de estrategia de comunicación aniversario 11 de septiembre de 2024, reunión comité 8va Conmemoración AFP 12 de septiembre de 2024, reunión jurídica análisis normativo OCCP 13 de septiembre de 2024, reunión comité 8va Conmemoración AFP 18 de septiembre de 2024, reunión de comunicación 8va aniversario 18 de septiembre de  2024.
 </t>
  </si>
  <si>
    <t>Durante el  trimestre se articuló con las siguientes instancias :
1-Comisión de Seguimiento, Impulso y Verificación a la Implementación – CSIVI
2-Instancia de Alto Nivel - IAN .
3Comisión Nacional de Garantías de Seguridad – CNGS</t>
  </si>
  <si>
    <t>Para el II Trimestre se desarrollaron acciones de articulación con entidades del orden nacional y territorial, así como con diversas instancias de paz, con el objetivo de coordinar esfuerzos para la implementación efectiva de la Política de Paz Total. Estas acciones incluyeron espacios de diálogo interinstitucional, acompañamiento a procesos territoriales y definición conjunta de rutas de trabajo orientadas al fortalecimiento de iniciativas de construcción de paz en los territorios.e realizó un informe de ajuste y o reformas normativas en el marco del acuerdo final de paz. En las instancias de Comision de Seguimiento, Impulso y Verificacion a la Implementación- CSIVI. SISEP- Sistema Integral de Seguridad para el Ejercicio de la Política  y Articulacion de entidades para el Fondo Multidonante de Naciones Unidas.
Abr: 1, May: 2, Jun: 4</t>
  </si>
  <si>
    <t>Para el III Trimestre se desarrollaron acciones de articulación con entidades del orden nacional y territorial, particularmente en el avance de la agenda legislativa,  así como con la articulacion de diversas instancias de paz, con el objetivo de coordinar esfuerzos para la implementación efectiva de la Política de Paz Total. Estas acciones incluyeron espacios de diálogo interinstitucional, acompañamiento a procesos territoriales y definición conjunta de rutas de trabajo orientadas al fortalecimiento de iniciativas de construcción de paz en los territorios.e realizó un informe de ajuste y o reformas normativas en el marco del acuerdo final de paz. En las instancias de Comision de Seguimiento, Impulso y Verificacion a la Implementación- CSIVI. SISEP- Sistema Integral de Seguridad para el Ejercicio de la Política  y Articulacion de entidades para el Fondo Multidonante de Naciones Unidas. Y el Pacto Politico Nacional, asi como la puesta en marcha de los dos Pactos Territoriales en las Subregiones Catatumbo y Cauca
Jul:4, Ago: 2, Sep: 4</t>
  </si>
  <si>
    <t>Fortalecer la coordinacion interna, interinstitucional e intersectorial en la construcción de paz                                                                              Documento con los resultados de las validaciones</t>
  </si>
  <si>
    <t>Informe de resultados a la implementación del capitulo etnico</t>
  </si>
  <si>
    <t>Informes de coordinación realizados</t>
  </si>
  <si>
    <t>Suma de los informes de coordinación realizados</t>
  </si>
  <si>
    <t>Planeación Institucional</t>
  </si>
  <si>
    <t>Articular con los actores involucrados la realización de procesos de concertación con las instancias, comunidades y lideres sociales en la construcción de paz.</t>
  </si>
  <si>
    <t xml:space="preserve">Informes de avance Acuerdo Nacional 
</t>
  </si>
  <si>
    <t>Informes de procesos con instancias , comunidades y lideres sociales en la  construcción de paz realizados</t>
  </si>
  <si>
    <t>Sumatoria de informes de procesos con instancias, comunidades y lideres sociales en la construcción de paz realizados</t>
  </si>
  <si>
    <t>Acompañar  las instancias relacionadas con la implementación y puesta en marcha de los procesos de Paz; incluye la consolidación del informe individual de rendición de cuentas de la implementación del acuerdo final de paz, conforme a los lineamientos solicitados por el DAFP.</t>
  </si>
  <si>
    <t xml:space="preserve">Informes  
</t>
  </si>
  <si>
    <t>Informes de acompañamiento realizados</t>
  </si>
  <si>
    <t>Sumatoria de número de informes de acompañamiento realizados</t>
  </si>
  <si>
    <t>Articular las orientaciones técnicas metodológicas y operativas en la relación nación territorio para la asistencia técnica en la construcción de paz</t>
  </si>
  <si>
    <t>Informe de Resultados de avances en   los Pactos territoriales</t>
  </si>
  <si>
    <t xml:space="preserve">Informes realizados del avance de los pactos territoriales </t>
  </si>
  <si>
    <t xml:space="preserve">Sumatoria de informes realizados del avance de los pactos territoriales </t>
  </si>
  <si>
    <t>Apoyar la Implementación de los lineamientos étnicos y Planes de Acción Inmediata (PAI) relacionados con los procesos de paz.</t>
  </si>
  <si>
    <t>Porcentaje de planes de acción inmediata para Pueblos Indígenas en riesgo de extinción física y cultural y no priorizados en el Decreto 893 de 2017 formulados e implementados.</t>
  </si>
  <si>
    <t>Número acciones de los planes de acción inmediata para Pueblos Indígenas implementadas de  competencia del Ministerio del Interior / Número de acciones de los planes de acción inmediata para Pueblos Indígenas concertadas en el marco de la competencia del Ministerio del Interior *100</t>
  </si>
  <si>
    <t xml:space="preserve">Se realizaron reuniones de coordinación interinstitucional para la construcción de una hoja de ruta en la actualización de los Planes de Acción Inmediata. </t>
  </si>
  <si>
    <t xml:space="preserve">, se inició la implementación de los Planes de Acción Inmediata -PAI- en el marco del cumplimiento del indicador del Plan Marco de Implementación A.E.27 y del indicador del Plan Nacional de Desarrollo IT2-76, con la identificación de los pueblos indígenas en riesgo de extinción física y cultural establecidos en los autos 004 de 2009 y 266 de 2017. En la actualidad se viene definiendo con la IEANPE la priorización de los PAI que serían formulados en la vigencia 2024.  </t>
  </si>
  <si>
    <t>El 20  de septiembre de 2024, se realizó la socialización de la propuesta de hoja de ruta con el pueblo Ette Ennaka, para la implementación del Plan de Acción Inmediata.</t>
  </si>
  <si>
    <t>No se presento avance</t>
  </si>
  <si>
    <t xml:space="preserve">Avanzamos con la reactivación de la implementación de los Planes de Acción Inmediata y apoyar la movilización del indicador A.E.27 del PMI (responsabilidad de la Dirección de Asuntos Indígenas), me permito compartirles la ruta metodológica para la implementación de los PAI. 
Esta ruta presenta un paso a paso de una ruta metodológica para la elaboración de los PAI, contiene herramientas prácticas para su aplicación en campo, es una guía dirigida a entidades y funcionarios. Se prevee avanzar con una caja de herramientas más amplia que integre todos los formatos que se vayan a utilizar: formato de actas, relatoría, listado de asistencia, matrices de sistematización, índice y borrador del documento final del PAI. </t>
  </si>
  <si>
    <t>III. Trimestre Avanzamos con el proceso de articulación con la Dirección de Asuntos Indígenas, quien realizó la correspondiente priorización de los pueblos con los cuales se trabajará en la vigencia de 2025. La dirección envío este documento y el Equipo de Paz ya cuenta con tres pueblos delimitados con quienes avanzará con el proceso de elaboración de los PAI. 
Se elaboró una propuesta de cronograma de actividades que comenzará a implementarse a partir del mes de octubre. Los avances correspondientes de este cronograma serán reportados para el IV trimestre de 2025. (Evidencias adjuntas: documento final de ruta metodológica, documento de priorización enviado por la dirección de asuntos indígenas resultado del proceso de articulación entre dependencias, propuesta de cronograma de actividades IV trimestre del año 2025).</t>
  </si>
  <si>
    <t>Grupo de Enfoque de Género y Diversidad del Minsterio del Interior</t>
  </si>
  <si>
    <t>Democratización del Estado, libertades fundamentales y agenda internacional para la vida</t>
  </si>
  <si>
    <t>3.6 Diversidades de género y orientación sexual: LGBTIQ+</t>
  </si>
  <si>
    <t>7. Actores Diferenciales para el Cambio
02. Colombia igualitaria, diversa y libre de discriminación
3. Fortalecimiento de la institucionalidad</t>
  </si>
  <si>
    <t>16.a.1.C Entidades territoriales asistidas técnicamente en procesos de diseño, implementación y seguimiento de planes, programas y proyectos en materia de Derechos Humanos</t>
  </si>
  <si>
    <t>Apoyo en la adpción de medidas para facilitar la participación efectiva de las mujeres en este escenario, incluidas aquellas que permitan superar los obstáculos relacionados con sus labores de cuidado y reproducción.</t>
  </si>
  <si>
    <t>Decreto 762 de 2019</t>
  </si>
  <si>
    <t xml:space="preserve">Promover y proteger los Derechos Humanos y sus garantías de no repetición en el territorio Nacional.
</t>
  </si>
  <si>
    <t>8. Reducción de la desigualdad social
34. Mujeres autónomas
35. Justicia étnica y racial</t>
  </si>
  <si>
    <t>Impulsar el mejoramiento de las capacidades de las entidades territoriales para transversalizar el enfoque de género en la gestión de la convivencia y la seguridad humana a nivel nacional.</t>
  </si>
  <si>
    <t>Porcentaje de avance del impulso al mejoramiento de las capacidades de las entidades territoriales para transversalizar el enfoque de género en la gestión de la convivencia y la seguridad humana a nivel nacional.</t>
  </si>
  <si>
    <t xml:space="preserve">(Número de actividades realizadas/número de actividades programadas)*100% </t>
  </si>
  <si>
    <t>12/31/2026</t>
  </si>
  <si>
    <t>Se avanzó en la elaboración de agendas de trabajo, así como en la selección de herramientas para la recolección y análisis de datos que servirán de insumo para la creación del documento diagnóstico sobre buenas prácticas en la gestión de la convivencia y seguridad humana con enfoque de género.</t>
  </si>
  <si>
    <t>El avance del trimestre es 42% lo programado destacando el desarrollo de 37 asistencias técnicas programadas para transversalizar el enfoque de género en los planes de desarrollo territorial y la guía práctica para la Incorporación del Enfoque Basado en Derechos Humanos en los instrumentos de planeación territorial. En 16 departamentos y 17 ciudades capitales.</t>
  </si>
  <si>
    <t>El avance del trimestre es 52% lo programado destacando el desarrollo de:
-	 3 documentos de seguimiento y evaluación del proyecto.
-	11 encuentros participativos con la sociedad civil y entes territoriales para identificar factores de riesgo asociados a la violencia basada en razones de sexo y género.
-	14 actividades para difundir políticas, programas y protocolos relacionados con la prevención de violencia de género, autoprotección y seguridad comunitaria.
-	6 acompañamientos a entidades territoriales para fortalecer la articulación con organizaciones de la sociedad civil en la gestión de convivencia y seguridad humana con enfoque de género.
-	10 talleres sobre gobernanza, convivencia y seguridad humana con enfoque de género.
-	10 mesas técnicas para la elaboración de proyectos enfocados en fortalecer las capacidades de las entidades territoriales para transversalizar el enfoque de género.
-	13 asistencias técnicas a entidades territoriales para gestionar recursos de cooperación internacional con el fin de fortalecer sus capacidades institucionales en la transversalización del enfoque de género.
-	5 talleres de socialización de la guía para transversalizar el enfoque de género en los PISCC.
-	16 jornadas de acompañamiento a la implementación del enfoque de género y los componentes de convivencia y seguridad humana en planes de desarrollo, programas y proyectos.
-	3 socializaciones de los lineamientos para transversalizar el enfoque de género y la guía práctica para la incorporación del Enfoque Basado en Derechos Humanos en instrumentos de planeación territorial</t>
  </si>
  <si>
    <t>El avance del trimestre es 77% lo programado destacando: i) 10 encuentros constructivos y participativos para identificar los factores de riesgo asociados a afectaciones de la seguridad de la población objeto de hechos de violencia basada en razones de sexo y género: ii) 13 jornadas de acompañamiento a entidades territoriales en la articulación con las organizaciones de la sociedad civil para fortalecer la gestión de la convivencia y seguridad humana con enfoque de género; iii) 16 talleres en temas de gobernanza, convivencia y seguridad humana con enfoque de género; iv) 19 mesas técnicas para la elaboración de proyectos que fortalezcan las capacidades de las entidades territoriales para la transversalización del enfoque de género: v) 21 asistencias a entidades territoriales en la gestión de recursos de cooperación internacional orientados a fortalecer las capacidades institucionales para la transversalización del enfoque de género; vi) 13 jornadas de socialización de la guía para transversalizar el enfoque de género en los Planes integrales de Seguridad Convivencia Ciudadana PISCC y acompañar a las entidades territoriales en este proceso.</t>
  </si>
  <si>
    <t>El avance de la vigencia es 68% de las actividades programadas para impulsar al mejoramiento de las capacidades de las entidades territoriales para transversalizar el enfoque de género en la gestión de la convivencia y la seguridad humana a nivel nacional.</t>
  </si>
  <si>
    <t xml:space="preserve">Durante este trimestre se avanzó en el documento que da cuenta del acompañamiento y asesoramiento técnico, jurídica y político a iniciativas legislativas que buscan fortalecer el marco de los derechos de las mujeres en todas sus diversidades y de los sectores LGBTIQ+. Así mismo se avanzó en el diseño de las metodologías que permitirán el trabajo con entidades territoriales, organizaciones de la sociedad civil y demás actores en temas relacionados con la transversalización del enfoque de género, la implementación y territorialización de los compromisos del Plan de Acción Nacional de la Resolución 1325 y el trabajo articulado con el Grupo de Paz del Ministerio, para la implementación de algunas iniciativas PDET priorizadas. Finalmente se avanza también en la articulación con las diferentes dependencias del sector interior para acompañarles en la transversalización del enfoque en sus acciones, planes, programas y políticas. </t>
  </si>
  <si>
    <t>Resimen de todos los avances</t>
  </si>
  <si>
    <t xml:space="preserve">Durante este trimestre se avanzó en el documento que da cuenta del acompañamiento y asesoramiento técnico, jurídica y político a iniciativas legislativas que buscan fortalecer el marco de los derechos de las mujeres en todas sus diversidades y de los sectores LGBTIQ+. Así mismo se realizan 108 espacios con entidades territoriales, organizaciones de la sociedad civil y demás actores en temas relacionados con la transversalización del enfoque de género y la implementación y territorialización de los compromisos del Plan de Acción Nacional de la Resolución 1325. Finalmente se avanza también en la articulación con las diferentes dependencias del sector interior para acompañarles en la transversalización del enfoque en sus acciones, planes, programas y políticas. </t>
  </si>
  <si>
    <t xml:space="preserve">Segunda edición de la Guía para la transversalización del enfoque de género y diversidad en instrumetos de planeación territorial. </t>
  </si>
  <si>
    <t>Documento</t>
  </si>
  <si>
    <t>Documento de lineamientos técnicos elaborados</t>
  </si>
  <si>
    <t>Sumatoria de documentos elaborados</t>
  </si>
  <si>
    <t>C-3702-1000-14</t>
  </si>
  <si>
    <t>MEJORAMIENTO DE LAS CAPACIDADES DE LAS ENTIDADES TERRITORIALES PARA TRANSVERSALIZAR EL ENFOQUE DE GÉNERO EN LA GESTIÓN DE LA CONVIVENCIA Y LA SEGURIDAD HUMANA A NIVEL NACIONAL.</t>
  </si>
  <si>
    <t>Gestión para la protección de los derechos</t>
  </si>
  <si>
    <t>Gestión con valores para resultados</t>
  </si>
  <si>
    <t>Fortalecimiento Organizacional y Simplificación de Procesos</t>
  </si>
  <si>
    <t>2. Plan Anual de Adquisiciones</t>
  </si>
  <si>
    <t>Marco estratégico para la incorporación del enfoque de género en la gestión pública territorial: bases conceptuales, rutas y gobernanza</t>
  </si>
  <si>
    <t>Documento marco estratégico elaborado</t>
  </si>
  <si>
    <t>Documento de lineamientos técnicos para promover la participación e incidencia política de mujeres en todas sus diversidades y de los sectores LGBTIQ+ en instancias e instrumentos de gestión de la convivencia y seguridad humana.</t>
  </si>
  <si>
    <t>Documento de lineamientos técnicos elaborado</t>
  </si>
  <si>
    <t>Acompañar a las entidades territoriales en la articulación con las organizaciones de la sociedad civil para fortalecer la gestión de la convivencia y seguridad humana con enfoque de género.</t>
  </si>
  <si>
    <t>Informe de las jornadas realizadas</t>
  </si>
  <si>
    <t>Jornadas de acompañamiento realizadas</t>
  </si>
  <si>
    <t>Sumatoria de número de jornadas de acompañamiento realizadas</t>
  </si>
  <si>
    <t>Articular y acompañar a las depedencias del sector interior en la transversalización del enfoque de género en todos sus planes, programas y proyectos y en el cumplimiento de los indicadores de género del plan marco de implemetación del Acuerdo final de Paz que tengan bajo su responsabilidad</t>
  </si>
  <si>
    <t>Jornadas de acompañamiento a las dependencias del sector interior</t>
  </si>
  <si>
    <t>Realizar talleres para la elaboración de proyectos que fortalezcan las capacidades en los territorios para la transversalización del enfoque de género.</t>
  </si>
  <si>
    <t>Informe de los talleres realizados</t>
  </si>
  <si>
    <t>Talleres para la elaboración de proyectos realizados</t>
  </si>
  <si>
    <t>Sumatoria de número de talleres para la elaboración de proyectos realizados</t>
  </si>
  <si>
    <t>Acompañar la implementación del enfoque de género y los componentes de convivencia y seguridad humana en los planes de desarrollo, programas y proyectos.</t>
  </si>
  <si>
    <t>Promoción de la transversalización del enfoque de género en los instrumentos de planeación y políticas de gestión pública de la convivencia y la seguridad humana</t>
  </si>
  <si>
    <t>Jornadas de promoción realizadas</t>
  </si>
  <si>
    <t>Sumatoria de número de jornadas de promoción realizadas</t>
  </si>
  <si>
    <t>Oficina de Control Disciplinario Interno</t>
  </si>
  <si>
    <t>Jaime Alonso García Navarro</t>
  </si>
  <si>
    <t>Ataque frontal a la corrupción</t>
  </si>
  <si>
    <t>DEMOCRATIZACIÓN DEL ESTADO, LIBERTADES FUNDAMENTALES Y AGENDA INTERNACIONAL PARA LA VIDA</t>
  </si>
  <si>
    <t>Ley 1952 de 2019, modificada por la Ley 2094 de 2021</t>
  </si>
  <si>
    <t>Procesos y/o actuaciones Disciplinarias Adelantadas.</t>
  </si>
  <si>
    <t xml:space="preserve">  Porcentaje  procesos y/o actuaciones Disciplinarias Adelantadas</t>
  </si>
  <si>
    <t xml:space="preserve">(Número procesos y/o actuaciones disciplinarias adelantadas /Número procesos y/o actuaciones disciplinarias recibidas)*100 </t>
  </si>
  <si>
    <t>Durante el I Trimestre de 2023 se tramitaron 12 procesos y/o actuaciones disciplinarias de 12 procesos y/o actuaciones disciplinarias recibidos para un cumplimiento del 100%.  En el mes de enero se tramitaron 3 procesos y/o actuaciones disciplinarias de 3 procesos recibidos En el mes de febrero se tramitaron 2 proceso y/o actuación disciplinaria y se recibieron 2 proceso. En marzo se tramitaron 5 procesos de 7 procesos recibidos.</t>
  </si>
  <si>
    <t>Durante el II Trimestre de 2023 se adelantaron 17 procesos y/o actuaciones disciplinarias de 15  procesos y/o actuaciones disciplinarias recibidos para un cumplimiento del 100%.  En el mes de abril  se adelantaron 2 procesos y/o actuaciones disciplinarias de 2  procesos recibidos En el mes de mayo se adelantaron 7 proceso y/o actuación disciplinaria y se recibieron 7 proceso. En junio se adelantaron 6 procesos de 6  procesos recibidos.</t>
  </si>
  <si>
    <t>Durante el III Trimestre de 2023 se adelantaron 19 procesos y/o actuaciones disciplinarias de 19 procesos y/o actuaciones disciplinarias recibidos para un cumplimiento del 100%.  En el mes de julio se adelantaron 6 procesos y/o actuaciones disciplinarias de 6 procesos recibidos En el mes de agosto se adelantaron 8 proceso y/o actuación disciplinaria y se recibieron 8 proceso. En septiembre se adelantaron 5 procesos de 5 procesos recibidos.</t>
  </si>
  <si>
    <t>Durante el IV Trimestre de 2023 se adelantaron 17 procesos y/o actuaciones disciplinarias de 17 procesos y/o actuaciones disciplinarias recibidos para un cumplimiento del 100%.  En el mes de octubre se adelantaron 4 procesos y/o actuaciones disciplinarias de 4 procesos recibidos En el mes de noviembre se adelantaron 8 proceso y/o actuación disciplinaria y se recibieron 8 proceso. En diciembre se adelantaron 5 procesos de 5 procesos recibidos.</t>
  </si>
  <si>
    <t xml:space="preserve">Durante la vigencia 2023, se adelantaron 63 procesos y/o actuaciones disciplinarias de 63 procesos y/o actuaciones disciplinarias recibidos para un cumplimiento del 100%.  </t>
  </si>
  <si>
    <t>Durante el I Trimestre de 2024 se tramitaron 18 procesos y/o actuaciones disciplinarias de 18 procesos y/o actuaciones disciplinarias recibidos para un cumplimiento del 100%.  En el mes de enero se tramitaron 6 procesos y/o actuaciones disciplinarias de 6 procesos recibidos En el mes de febrero se tramitaron 6 procesos y/o actuaciones disciplinarias y se recibieron 6 procesos. En marzo se tramitaron 6 procesos de 6 procesos recibidos.</t>
  </si>
  <si>
    <t>Durante el II Trimestre de 2024 se tramitaron 31 procesos y/o actuaciones disciplinarias de 31 procesos y/o actuaciones disciplinarias recibidos, de la siguiente manera:                                                   
Abril: Se tramitaron 8 procesos y/o actuaciones disciplinarias de 8 procesos recibidos.
Mayo: Se tramitaron 10 procesos y/o actuaciones disciplinarias y se recibieron 10 procesos. 
Junio: Se tramitaron 13 procesos de 13 procesos recibidos.</t>
  </si>
  <si>
    <t>Durante el III Trimestre de 2024 se tramitaron 29 procesos y/o actuaciones disciplinarias de 29 procesos y/o actuaciones disciplinarias recibidos, de la siguiente manera:                                                   
Julio: Se tramitaron 13 procesos y/o actuaciones disciplinarias de 13 procesos recibidos. 
Agosto: Se tramitaron 8 procesos y/o actuaciones disciplinarias y se recibieron 8 procesos.
Septiembre: Se tramitaron 8 procesos de 8 procesos recibidos.</t>
  </si>
  <si>
    <t>Durante el IV Trimestre de 2024 se tramitaron 33 procesos y/o actuaciones disciplinarias de 33 procesos y/o actuaciones disciplinarias recibidos, de la siguiente manera:                                                   
Octubre: Se tramitaron 9 procesos y/o actuaciones disciplinarias de 9 procesos recibidos. 
Noviembre: Se tramitaron 13 procesos y/o actuaciones disciplinarias y se recibieron 13 procesos.
Diciembre: Se tramitaron 11 procesos de 11 procesos recibidos.</t>
  </si>
  <si>
    <t xml:space="preserve">Durante la vigencia 2024, se adelantaron 111 procesos y/o actuaciones disciplinarias de 111 procesos y/o actuaciones disciplinarias recibidos para un cumplimiento del 100%.  </t>
  </si>
  <si>
    <t>Durante el I Trimestre de 2025 se tramitaron 31 procesos y/o actuaciones disciplinarias de 31 procesos y/o actuaciones disciplinarias recibidos para un cumplimiento del 100%.  En el mes de enero se tramitaron 8 procesos y/o actuaciones disciplinarias de 8 procesos recibidos En el mes de febrero se tramitaron 15 procesos y/o actuaciones disciplinarias y se recibieron 15 procesos. En marzo se tramitaron 8 procesos de 8 procesos recibidos.</t>
  </si>
  <si>
    <t>Durante el II Trimestre de 2025 se tramitaron 26 procesos y/o actuaciones disciplinarias de 26 procesos y/o actuaciones disciplinarias recibidos para un cumplimiento del 100%.  En el mes de abril se tramitaron 6 procesos y/o actuaciones disciplinarias de 6 procesos recibidos En el mes de mayo se tramitaron 9 procesos y/o actuaciones disciplinarias y se recibieron 9 procesos. En junio se tramitaron 11 procesos de 11 procesos recibidos.</t>
  </si>
  <si>
    <t>Durante el III Trimestre de 2025 se tramitaron 86 procesos y/o actuaciones disciplinarias de 86 procesos y/o actuaciones disciplinarias recibidos.  En el mes de julio se tramitaron 15 procesos y/o actuaciones disciplinarias de 15 procesos recibidos. En el mes de agosto se tramitaron 40 procesos y/o actuaciones disciplinarias y se recibieron 40 procesos. En septiembre se tramitaron 31 procesos de 31 procesos recibidos.</t>
  </si>
  <si>
    <t xml:space="preserve">Trámites o actuaciones disciplinarias conforme a la normatividad vigente </t>
  </si>
  <si>
    <t xml:space="preserve">Cuadro de procesos /Excel </t>
  </si>
  <si>
    <t>Quejas, informes o expedientes disciplinarios tramitados, para proceder respecto a la normatividad vigente.</t>
  </si>
  <si>
    <t>(Número de quejas, informes o expedientes disciplinarios tramitados/Número de quejas, informes o expedientes disciplinarios recibidos)*100</t>
  </si>
  <si>
    <t xml:space="preserve">OAP 17.03.2025: Con base al memorando ID 507432 solicita los siguientes ajustes al PEIA 2025
INICIATIVA 1: Se cambia el tipo de indicador pasando de un indicador de producto a gestión. Se cambiaron los indicadores de mantenimiento por Stock conforme lo indica la guía de indicadores del DNP
</t>
  </si>
  <si>
    <t>Ley 1952 de 2019, modificada por la Ley 2094 de 2022</t>
  </si>
  <si>
    <t>(Número procesos y/o actuaciones disciplinarias adelantadas /Número procesos y/o actuaciones disciplinarias recibidas)*101</t>
  </si>
  <si>
    <t xml:space="preserve">Analizar la documentación recibida sobre presuntos hechos constitutivos de posible falta disciplinaria para definir el inicio o no de una indagación previa </t>
  </si>
  <si>
    <t>Quejas, informes o expedientes disciplinarios analizados para proceder o no con la indagación previa</t>
  </si>
  <si>
    <t>(Número Indagaciones previas abiertas/Número de quejas y/o informes recibidos que ameriten indagación previa)*100</t>
  </si>
  <si>
    <t>Ley 1952 de 2019, modificada por la Ley 2094 de 2023</t>
  </si>
  <si>
    <t>(Número procesos y/o actuaciones disciplinarias adelantadas /Número procesos y/o actuaciones disciplinarias recibidas)*102</t>
  </si>
  <si>
    <t>Analizar las quejas y/o  informes  recibidos y los procesos activos para abrir o no investigación disciplinaria</t>
  </si>
  <si>
    <t>Quejas, informes o expedientes disciplinarios, para proceder o no con la investigación disciplinaria.</t>
  </si>
  <si>
    <t>(Número de investigaciones disciplinarias abiertas/Número de procesos que ameritan investigación disciplinaria)*100</t>
  </si>
  <si>
    <t>Ley 1952 de 2019, modificada por la Ley 2094 de 2024</t>
  </si>
  <si>
    <t>(Número procesos y/o actuaciones disciplinarias adelantadas /Número procesos y/o actuaciones disciplinarias recibidas)*103</t>
  </si>
  <si>
    <t xml:space="preserve">Evaluar las quejas, informes y procesos con el fin de definir si se remiten o no, a otras entidades de acuerdo a su competencia.           </t>
  </si>
  <si>
    <t>Quejas, informes o expedientes disciplinarios para proceder con la remisión o no por ser competencia de otras entidades .</t>
  </si>
  <si>
    <t>(Número de quejas, informes y expedientes remitidos a otras entidades/Número de quejas, informes y expedientes de competencia de otras entidades)*100</t>
  </si>
  <si>
    <t>Ley 1952 de 2019, modificada por la Ley 2094 de 2025</t>
  </si>
  <si>
    <t>(Número procesos y/o actuaciones disciplinarias adelantadas /Número procesos y/o actuaciones disciplinarias recibidas)*104</t>
  </si>
  <si>
    <t xml:space="preserve">Analizar y evaluar  el archivo y terminación definitiva de los procesos disciplinarios activos. </t>
  </si>
  <si>
    <t>Quejas, informes o expedientes disciplinarios para proceder respecto al archivo</t>
  </si>
  <si>
    <t>(Número de procesos archivados/Número de procesos que ameritan archivo)*100</t>
  </si>
  <si>
    <t>Ley 1952 de 2019, modificada por la Ley 2094 de 2026</t>
  </si>
  <si>
    <t>(Número procesos y/o actuaciones disciplinarias adelantadas /Número procesos y/o actuaciones disciplinarias recibidas)*105</t>
  </si>
  <si>
    <t xml:space="preserve">Analizar y evaluar  la investigación disciplinaria  para proferir auto de archivo o auto de pliego de cargos  de los procesos disciplinarios activos. </t>
  </si>
  <si>
    <t>Quejas, informes o expedientes disciplinarios para proceder respecto a la evaluación de la investigación,</t>
  </si>
  <si>
    <t>(Número de procesos con formulación de pliego de cargos /Número de procesos que ameritan formulación de pliego de cargos)*100</t>
  </si>
  <si>
    <t>Ley 1952 de 2019, modificada por la Ley 2094 de 2027</t>
  </si>
  <si>
    <t>(Número procesos y/o actuaciones disciplinarias adelantadas /Número procesos y/o actuaciones disciplinarias recibidas)*106</t>
  </si>
  <si>
    <t>Evaluar las quejas, informes y procesos con el fin de establecer la posibilidad de proferir una decisión inhibitoria .</t>
  </si>
  <si>
    <t xml:space="preserve">Quejas, informes o expedientes disciplinarios para proceder o no con la expedición de autos inhibitorios. </t>
  </si>
  <si>
    <t>(Número de autos inhibitorios proferidos/ número de informes/quejas que ameriten inhibirse.)*100</t>
  </si>
  <si>
    <t>Ley 1952 de 2019, modificada por la Ley 2094 de 2029</t>
  </si>
  <si>
    <t>Sin identificar</t>
  </si>
  <si>
    <t xml:space="preserve">Realizar capacitaciones a fin de sensibilizar al personal de planta y contratistas en materia de derecho disciplinario. </t>
  </si>
  <si>
    <t>Capacitaciones de sensibilización en materia disciplinaria a funcionarios y contratistas realizadas.</t>
  </si>
  <si>
    <t>Sumatoria de capacitaciones de sensibilización realizadas</t>
  </si>
  <si>
    <t>Durante el I trimestre de la vigencia 2023,  se realizó una capacitación programada sobre Aspectos Generales del Derecho Disciplinario.</t>
  </si>
  <si>
    <t>Durante el II trimestre de la vigencia 2023,  se realizó una capacitación programada sobre Acoso Laboral</t>
  </si>
  <si>
    <t>Durante el III trimestre de la vigencia 2023,  se realizó una capacitación programada sobre Responsabilidad Disciplinaria en la Participación Política.</t>
  </si>
  <si>
    <t>Durante el IVI trimestre de la vigencia 2023, se realizó una capacitación  programada sobre: El Deber Funcional en el Marco de la Contratación Estatal.</t>
  </si>
  <si>
    <t>Durante la vigencia 2023, re realizaron 4 capacitaciones programadas para un cumplimiento de 100%</t>
  </si>
  <si>
    <t>Durante el I trimestre de la vigencia 2024,  se realizó una capacitación programada sobre El Origen del Control Interno Disciplinario y los Beneficios en la Administración Pública</t>
  </si>
  <si>
    <t>Durante el II trimestre de la vigencia 2024,  se realizó una capacitación programada sobre "Encuentro sobre el Régimen del Servidor Publico y el Origen del Control Interno Disciplinario y los Beneficios en la Administración Pública"</t>
  </si>
  <si>
    <t>Durante el III trimestre de la vigencia 2024,  se realizó una capacitación virtual  programada sobre 
"Inhabilidades, incompatibilidades, conflicto
interés, recusaciones, impedimentos y PQRSD"</t>
  </si>
  <si>
    <t>Durante el IV trimestre de la vigencia 2024,  se realizó una capacitación virtual  programada sobre 
"Responsabilidad Penal y Disciplinaria por una Indebida Supervisión Contractual"</t>
  </si>
  <si>
    <t>Durante la vigencia 2024, re realizaron 4 capacitaciones programadas para un cumplimiento de 100%</t>
  </si>
  <si>
    <t>Durante el I trimestre de la vigencia 2025,  se realizó una capacitación programada sobre Generalidades del Servidor Público y responsabilidad disciplinaria por la no atención de PQRSD</t>
  </si>
  <si>
    <t>Durante el II trimestre de la vigencia 2025, se realizó una capacitación programada sobre: El Origen del Control Disciplinario Interno y los Beneficios en la Administración Pública.</t>
  </si>
  <si>
    <t>Durante el III trimestre de la vigencia 2025, se realizó una capacitación programada sobre: Inhabilidades, incompatibilidades, conflicto de intereses, recusaciones e impedimentos.</t>
  </si>
  <si>
    <t>Realizar capacitaciones presenciales o virtuales dirigidas a los funcionarios y contratistas del Ministerio del Interior en asuntos disciplinarios, a fin de sensibilizar el correcto cumplimiento de los deberes públicos y prevenir conductas sancionables de los mismos, de conformidad con la normatividad vigente.</t>
  </si>
  <si>
    <t xml:space="preserve">Lista de asistencia y registro fotografico </t>
  </si>
  <si>
    <t>Capacitaciones virtuales o presenciales realizadas</t>
  </si>
  <si>
    <t xml:space="preserve">OAP 17.03.2025: Con base al memorando ID 507432  solicita los siguientes ajustes al PEIA 2025
INICIATIVA 2: Se complemento la redacción del indicador
</t>
  </si>
  <si>
    <t>Ley 1952 de 2019, modificada por la Ley 2094 de 2033</t>
  </si>
  <si>
    <t xml:space="preserve">Realizar publicaciones vía correo electrónico, para la prevención de la acción disciplinaria . </t>
  </si>
  <si>
    <t>Material publicitario diseñado y enviado</t>
  </si>
  <si>
    <t xml:space="preserve">Sumatoria de Materiales publicitario diseñado y enviado                                                                                      </t>
  </si>
  <si>
    <t>Durante el l Trimestre de 2023, se realizaron 4 publicaciones relacionadas con prevención de la acción disciplinaria en los siguientes temas: 1. Que es el Código General Disciplinario - Ley 1952 de 2019. 2. Como se inicia el proceso disciplinario. 3. Canales por medio de los cuales se puede interponer una queja y/o informe disciplinario. 4. La información que debe contener una queja quejas.</t>
  </si>
  <si>
    <t>Durante el lI Trimestre de 2023, se realizaron 4 publicaciones relacionadas con prevención de la acción disciplinaria en los siguientes temas: 1. Diferencia entre indagación previa e investigación disciplinaria. 2. Deberes como servidor público. 3. Como actuar en un proceso disciplinario y  4. Etapas del proceso disciplinario.</t>
  </si>
  <si>
    <t>Durante el IlI Trimestre de 2023, se realizaron 4 publicaciones relacionadas con prevención de la acción disciplinaria en los siguientes temas: 1. Respuesta oportuna a las PQRSD. 2.Como se puede evitar la acción disciplinaria. 3. Contratación de apoyo a la supervisión de contratos 4. Cumplimiento de horario laboral.</t>
  </si>
  <si>
    <t>Durante el lV Trimestre de 2023, se realizaron 4 publicaciones relacionadas con prevención de la acción disciplinaria en los siguientes temas: 1. Intervención o supervisión de contratos estatales. 2. Rechazo a todo tipo de discriminación. 3.Llamado de atención con copia a la hoja de vida. 4. Actos de Corrupción.</t>
  </si>
  <si>
    <t>Durante la vigencia 2023, se realizaron 16 publicaciones relacionadas con prevención de la acción disciplinaria., para un cumplimiento del 100%</t>
  </si>
  <si>
    <t>Durante el l Trimestre de 2024, se realizaron 4 publicaciones relacionadas con prevención de la acción disciplinaria en los siguientes temas: 1. Sujetos disciplinables- Ley 1952 de 2019. 2. Deberes de los servidores públicos. 3. Preservación del orden interno. 4. Derechos y deberes del servidor público.</t>
  </si>
  <si>
    <t>Durante el II  Trimestre de 2024, se realizaron 4 publicaciones relacionadas con prevención de la acción disciplinaria en los siguientes temas: 1. Extinción de la acción disciplinaria. 2.Propósito del derecho disciplinario. 3. Como presentar una queja disciplinaria. 4. Como se inicia la acción disciplinaria.</t>
  </si>
  <si>
    <t>Durante el III  Trimestre de 2024, se realizaron 4 publicaciones relacionadas con prevención de la acción disciplinaria en los siguientes temas: 1. Materialización de la corrupción. 2. Conflicto de interés. 3. Cuándo un servidor público debe declararse impedido para actuar. 4. Cómo se incurre en una falta disciplinaria.</t>
  </si>
  <si>
    <t>Durante el IV  Trimestre de 2024, se realizaron 4 publicaciones relacionadas con prevención de la acción disciplinaria en los siguientes temas: 1. Cuando no se puede designar a un servidor público como supervisor de un contrato. 2. Sabes en qué consiste la Supervisión de Contratos Estatales. 3. Recordar al Supervisor,  garantizar el cumplimiento del contrato: plazos, calidad y recursos. 4. Responsabilidad civil, penal y fiscal Ley 80 de 1993 y el Estatuto Anticorrupción.</t>
  </si>
  <si>
    <t xml:space="preserve">Durante la vigencia 2024 ,  se realizaron 16 publicaciones relacionadas con prevención de la acción disciplinarias programadas, para un cumplimiento del 100% de la meta de la actividad. </t>
  </si>
  <si>
    <t>Durante el l Trimestre de 2025, se realizaron 4 publicaciones relacionadas con prevención de la acción disciplinaria en los siguientes temas: 1. Qué es el Derecho Disciplinario. 2. Sujetos Procesales en el Derecho Disciplinario Colombiano. 3. Sujetos Disciplinables. 4. Sanciones en el Derecho Disciplinario Colombiano</t>
  </si>
  <si>
    <t>Durante el lI Trimestre de 2025, se realizaron 4 publicaciones relacionadas con prevención de la acción disciplinaria en los siguientes temas: 1. ¿Sabías el origen del Control Interno Disciplinario? 2.  ¿Sabes cuál es la función del Control Disciplinario en la administración pública? 3. ¿Sabes quién ejerce el Control Disciplinario en la administración pública? 4. ¡Conoce los beneficios del Control Interno Disciplinario!</t>
  </si>
  <si>
    <t xml:space="preserve">Durante el IlI Trimestre de 2025, se realizaron 4 publicaciones relacionadas con prevención de la acción disciplinaria en los siguientes temas: 1. Conflicto de intereses 2. Inhabilidades 3. Incompatibilidades 4. Diferencia entre Inhabilidad e incompatibilidad </t>
  </si>
  <si>
    <t>Realizar publicaciones de divulgación vía correo electrónico,  para promover la transparencia, la integridad y evitar la  corrupción en los servidores del ministerio del Interior, así como el correcto cumplimiento de los deberes públicos dentro del marco del derecho disciplinario.</t>
  </si>
  <si>
    <r>
      <t>Piezas gráficas informativas</t>
    </r>
    <r>
      <rPr>
        <sz val="9"/>
        <color theme="1"/>
        <rFont val="Arial"/>
        <family val="2"/>
      </rPr>
      <t>/PDF</t>
    </r>
  </si>
  <si>
    <t xml:space="preserve">Publicaciones vía correo electrónico realizadas. </t>
  </si>
  <si>
    <t>Sumatoria del número de publicaciones realizadas</t>
  </si>
  <si>
    <t>OAP 17.03.2025: Con base al memorando ID 507432  solicita los siguientes ajustes al PEIA 2025
INICIATIVA 3 Se valido el tipo de indicador, cambiándolo a Gestión.</t>
  </si>
  <si>
    <t>Ley 1952 de 2019, modificada por la Ley 2094 de 2035</t>
  </si>
  <si>
    <t>Rendir informes a la Oficina de Control Interno sobre los procesos disciplinarios a la Oficina de Control Interno</t>
  </si>
  <si>
    <t>Informes elaborados y entregados a la Oficina de Control Interno</t>
  </si>
  <si>
    <t xml:space="preserve">Sumatoria de Informes elaborados y entregados a la Oficina de Control Interno                                                               </t>
  </si>
  <si>
    <t>Rendir informe a la Oficina de Control Interno sobre los procesos disciplinarios en materia de investigaciòn.</t>
  </si>
  <si>
    <t>Informe /Documento en word</t>
  </si>
  <si>
    <t>Rendición de informes de los procesos disciplinarios a la Oficina de Control Interno</t>
  </si>
  <si>
    <t>Sumatoria de informes entregados a la Oficina de Control Interno</t>
  </si>
  <si>
    <t>Subdirección de Gestión Humana</t>
  </si>
  <si>
    <t>Ehtel Vásquez Rojas</t>
  </si>
  <si>
    <t>9. Jóvenes en paz</t>
  </si>
  <si>
    <t>3. DE LA DESIGUALDAD HACIA UNA SOCIEDAD GARANTE DE DERECHOS:
HAREMOS REALIDAD LA CONSTITUCIÓN DEL 91 POR FUERA DEL NEGOCIO
3.1.3. Jóvenes con derechos liderando las transformaciones para la vida</t>
  </si>
  <si>
    <t xml:space="preserve">6. Colombia, sociedad para la vida: Actores diferenciales para el cambio-6.          Jóvenes con derechos que lideran las transformaciones para la vida    -3.    Oportunidades de empleo para cerrar la brecha de acceso al mercado laboral.   </t>
  </si>
  <si>
    <t>Trabajo digno y decente para todos y todas</t>
  </si>
  <si>
    <t>Generar estrategias para la formalización del empleo público en el Ministerio del Interior</t>
  </si>
  <si>
    <t>Estrategias para la formalización del empleo público</t>
  </si>
  <si>
    <t>(Estrategias generadas / Estrategias formuladas) * 100%</t>
  </si>
  <si>
    <t>Resultado</t>
  </si>
  <si>
    <t>Durante el año 2023,Se dio cumplimiento al 74% de lo programado.</t>
  </si>
  <si>
    <t>Se dio cumplimiento a 3 actividades de las 4 programadas para el I trimestre. Se cumplieron las actividades 1.1 , 1.3 y la actividad 1,2 parcialmente.</t>
  </si>
  <si>
    <t xml:space="preserve">Se dio cumplimiento a las actividades 1.1 y 1.2 programadas para el II trimestre   </t>
  </si>
  <si>
    <t>Se dio cumplimiento a 4 actividades ( 1.1- 1.2- 1.4-1.5) de las 6 programadas para el trimestre</t>
  </si>
  <si>
    <t xml:space="preserve">Durante la vigencia se desarrollaron las estrategias  de acuerdo a la programación desarrollada, dificultades en la   actividad 1,8  no se pudo presentar al DAPRE (Departamento Administrativo de la Presidencia de la República) y Ministerio de Hacienda, ya que es necesario obtener el visto bueno de función pública para poder continuar con la radicación  y este proceso es un poco demorado debido que  se debe obtener el visto bueno de la entidad para poderlo radicar en  la siguiente entidad. </t>
  </si>
  <si>
    <t xml:space="preserve">Durante el primer trimestre  se realizaron 2 actividades que se vieron programadas de acuerdo a la necesidad , como es el caso de la vinculación de judicantes y practicantes  y la  realización de  la provisión de vacantes </t>
  </si>
  <si>
    <t>Durante el segundo trimestre se dio cumplimiento a la actividad 1.1 y 1.2. La actividad 1.3 no fue realizada y la 1.4 no requirió su utilización</t>
  </si>
  <si>
    <t xml:space="preserve">Durante el tercee trimestre se han gestinado 3 vinculaciones, con sus correpondientes actos administrativos. </t>
  </si>
  <si>
    <t xml:space="preserve">Durante las vigencias se ha realizado un 85% de acuerdo a las actividades programadas. </t>
  </si>
  <si>
    <t xml:space="preserve">Realizar procesos de vinculación de judicantes y practicantes. </t>
  </si>
  <si>
    <t>Actos administrativos</t>
  </si>
  <si>
    <t>Porcentaje de vinculación de practicantes y judicantes efectuadas</t>
  </si>
  <si>
    <t>(Número de vinculaciones efectivas / Número de actos administrativos de vinculaciones formativas)
*100%</t>
  </si>
  <si>
    <t xml:space="preserve">A-02-02-02-007-001-03-3 </t>
  </si>
  <si>
    <t>Servicios conexos y financieros</t>
  </si>
  <si>
    <t>Gestión del Talento Humano</t>
  </si>
  <si>
    <t>Talento Humano</t>
  </si>
  <si>
    <t>Política de Talento Humano</t>
  </si>
  <si>
    <t>• Correo electronico del 15-04-2025,Se modifico lo siguiente:  Para la iniciativa 1 “ generar estrategias para la formalización del empelo publico en el
Ministerio del Interior” 
* Correo electronico de fecha 3-04-2025 Se modifico el tipo de acumulación a (Stock) de acuerdo con la programación de las meta.
Se modifico de las iniciativas lo siguiente:
.</t>
  </si>
  <si>
    <t>12. Pacto por el trabajo digno y decente</t>
  </si>
  <si>
    <t xml:space="preserve">2. DE UNA ECONOMÍA EXTRACTIVISTA HACIA UNA ECONOMÍA PRODUCTIVA-2.4.5. Pacto por el trabajo digno </t>
  </si>
  <si>
    <t xml:space="preserve">4.    Políticas de trabajo decente y promoción de los derechos de los trabajadores </t>
  </si>
  <si>
    <t>Realizar la provisión de vacantes del Ministerio del Interior</t>
  </si>
  <si>
    <t>Provisión de vacantes</t>
  </si>
  <si>
    <t>Sumatoria de vacantes provistas</t>
  </si>
  <si>
    <t>Plan Anual de Vacantes y Plan de Previsión de Recursos Humanos</t>
  </si>
  <si>
    <t>Garantizar el pago de los conceptos relacionados con el concurso de mérito del Ministerio del Interior y lo relacionado con el uso de lista de elegibles</t>
  </si>
  <si>
    <t>Resoluciones de orden de pago</t>
  </si>
  <si>
    <t xml:space="preserve">Porcentaje de Pagos ejecutados </t>
  </si>
  <si>
    <t xml:space="preserve">  (Pagos realizados/ Pagos requeridos)*100 </t>
  </si>
  <si>
    <t>A-02-02-02-008-005</t>
  </si>
  <si>
    <t>Servicios de Soporte</t>
  </si>
  <si>
    <t xml:space="preserve">2.     Seguridad humana y justicia social - B.   Políticas de inclusión productiva con trabajo decente y apoyo al emprendimiento - 4.    Políticas de trabajo decente y promoción de los derechos de los trabajadores    </t>
  </si>
  <si>
    <t>Implementar las acciones generadas para la ejecución del 100% de los planes y programas de gestión humana en el marco de MIPG</t>
  </si>
  <si>
    <t>Porcentaje de acciones ejecutadas</t>
  </si>
  <si>
    <t>(Número de acciones realizadas/ Número de acciones programadas) *100%</t>
  </si>
  <si>
    <t>20.8%</t>
  </si>
  <si>
    <t>30.8%</t>
  </si>
  <si>
    <t>21.4%</t>
  </si>
  <si>
    <t xml:space="preserve">Durante el año 2023,se dio cumplimiento al 99% de las actividades programadas mediante la inicitaiva  </t>
  </si>
  <si>
    <t>Se dio cumplimiento a 9 actividades de las 10 programadas para el I trimestre. Se cumplieron las actividades 2.2, 2.3, 2.4, 2.5, 2.7, 2.8, 2.9, 2.10, 2.11 y la actividad 2.6 parcialmente.</t>
  </si>
  <si>
    <t>Durante el trimestre se dio cumplimiento a las 7 actividades  programadas : 2.2,2.3,2.4,2.6,2.7,2.9,2.10</t>
  </si>
  <si>
    <t>Durante el trimestre se dio cumplimiento a las 8 actividades  programadas : 2.2,2.3,2.4,2.5,2.6,2.7,2.9,2.10</t>
  </si>
  <si>
    <t xml:space="preserve">Se implementaron las acciones generadas para la ejecución  de los planes y programas de Gestión humana en el marco de MIPG. No se cumplio la meta debido a que la progamacion de la meta 2.1 , no se cumplio,  por que no  se realizo el pago de las publicaciones por efectos del fallecimiento de algún funcionario, por que  no sucedió este proceso. </t>
  </si>
  <si>
    <t>Durante el primer trimestre  se realizaron 10 actividades ejecutadas  que se vieron programadas de acuerdo a la necesidad , como lo es el desarrollo del programa de bienestar social, plan institucional de capacitación, plan de incentivos, acciones del teletrabajo, implementación del Sistema de Seguridad y salud en el trabajo, riesgo psicosocial, promoción , prevención  y ejecución del plan anual de trabajo de seguridad y salud en el trabajo.</t>
  </si>
  <si>
    <t>Durante el segundo trimestre  se realizaron 7 actividades de las 9 programadas,   que se desarrollaron de acuerdo a la necesidad así: actividades del programa de bienestar social, del plan de incentivos, actividades contempladas en el PVE y se realizaron capacitacioes en el marco del programa SST y jornadas de actividades de promoción y prevención en temas de SST.</t>
  </si>
  <si>
    <t xml:space="preserve">Durante las vigencias se ha realizado un 70% de acuerdo a las actividades programadas. </t>
  </si>
  <si>
    <t>Garantizar el pago de las publicaciones por efectos del fallecimiento de algún funcionario.</t>
  </si>
  <si>
    <t xml:space="preserve">Porcentaje de pagos ejecutados </t>
  </si>
  <si>
    <t>(Pagos realizados / pagos requeridos)*100</t>
  </si>
  <si>
    <t>A-02-02-02-008-009</t>
  </si>
  <si>
    <t>Otros servicios de fabricación; servicios de edición, impresión y reproducción; servicios de recuperación de materiales</t>
  </si>
  <si>
    <t xml:space="preserve">Correo electronico de fecha 3-04-2025 Se modifico el tipo de acumulación a (Stock) de acuerdo con la programación de las meta.
</t>
  </si>
  <si>
    <t xml:space="preserve">Diseñar y ejecutar el programa de bienestar laboral, teniendo en cuenta la normatividad vigente. </t>
  </si>
  <si>
    <t>Listas de asistencia, registro fotográfico, piezas comunicativas</t>
  </si>
  <si>
    <t>Programa Institucional de Bienestar Social diseñado  y ejecutado</t>
  </si>
  <si>
    <t>Sumatoria de actividades realizadas para el diseño, aprobación y ejecución del programa de bienestar social</t>
  </si>
  <si>
    <t xml:space="preserve">Resultado </t>
  </si>
  <si>
    <t>Adquisición de bienes y servicios</t>
  </si>
  <si>
    <t>A-02-02-02-009-006</t>
  </si>
  <si>
    <t>Servicios recreativos, Culturales y Deportivos</t>
  </si>
  <si>
    <t xml:space="preserve"> Diseñar y ejecutar el Plan Institucional de Capacitación, de acuerdo con la normatividad vigente Y evaluar el impacto en los funcionarios.</t>
  </si>
  <si>
    <t>Listas de asistencia, registro fotográfico, piezas comunicativas e instrumento de evaluación de impactos</t>
  </si>
  <si>
    <t>Diseñar y  ejecutar el Plan Institucional de Capacitación</t>
  </si>
  <si>
    <t>Sumatoria de actividades realizadas para el diseño, aprobación, ejecución y medición del impacto  del Plan Institucional de Capacitación</t>
  </si>
  <si>
    <t>A-02-02-02-009-002</t>
  </si>
  <si>
    <t xml:space="preserve">Servicios de Educación </t>
  </si>
  <si>
    <t>Plan Institucional de Capacitación</t>
  </si>
  <si>
    <t>Diseñar y ejecutar el Plan Institucional de Incentivos con base en las normas vigentes.</t>
  </si>
  <si>
    <t>Resolución de Adopción del Plan de Incentivos y Resolución de reconocimiento y Pago</t>
  </si>
  <si>
    <t>Diseñar y ejecutar el Plan Institucional de Incentivos</t>
  </si>
  <si>
    <t>Sumatoria de actividades realizadas para el diseño, aprobación y ejecución del Plan Institucional de Incentivos</t>
  </si>
  <si>
    <t>Plan de Incentivos Institucional</t>
  </si>
  <si>
    <t>Adelantar las acciones orientadas a la implementación de la modalidad de teletrabajo.</t>
  </si>
  <si>
    <t>Convocatorias y Resoluciones de Autorización, acuerdos de teletrabajo</t>
  </si>
  <si>
    <t>Número de acciones generadas</t>
  </si>
  <si>
    <t>Sumatoria de acciones generadas</t>
  </si>
  <si>
    <t>Ejecutar actividades de implementación del Sistema de Gestión de Seguridad y Salud en el Trabajo asociadas a procesos contractuales.</t>
  </si>
  <si>
    <t>Minutas de contratos firmados</t>
  </si>
  <si>
    <t xml:space="preserve">Contratos  implementados del Sistema de Gestión de Seguridad y Salud en el trabajon </t>
  </si>
  <si>
    <t>Sumatoria de procesos contractuales realizados y ejecutados</t>
  </si>
  <si>
    <t>A-02-02-02-009-003</t>
  </si>
  <si>
    <t>Servicios para el cuidado de la salud humana y servicios socialess</t>
  </si>
  <si>
    <t>Gestión de Talento Humano</t>
  </si>
  <si>
    <t>Plan de Trabajo anual en SST</t>
  </si>
  <si>
    <t>2.7</t>
  </si>
  <si>
    <t>En el marco del Riesgo Psicosocial, desarrollar la Evaluación, la  intervención de ambiente laboral, cultura de la innovación y factores de riesgo psicosocial con puntuncion alta y muy alta,  logrando minimizar el riesgo  y  favoreciendo la cultura</t>
  </si>
  <si>
    <t>Listados de asistencias e informes</t>
  </si>
  <si>
    <t xml:space="preserve">Actividades realizadas en desarrollo del PVE de Riesgo Psicosocial, orientado al fortalecimiento del compromiso y de la consolidación de la estrategia Mininterior, Un mejor lugar para trabajar. </t>
  </si>
  <si>
    <t xml:space="preserve">Sumatoria de las actividades realizadas en desarrollo del PVE de Riesgo Psicosocial, orientado al fortalecimiento del compromiso y de la consolidación de la estrategia Mininterior, Un mejor lugar para trabajar. </t>
  </si>
  <si>
    <t>2.8</t>
  </si>
  <si>
    <t xml:space="preserve">Diseño, implementación  y ejecucion del plan de capacitación por competencias en Seguridad y Salud en el Trabajo. </t>
  </si>
  <si>
    <t>Listados de asistentes</t>
  </si>
  <si>
    <t xml:space="preserve">Capacitaciones realizadas para la consolidación del Plan de capacitación por competencias de Seguridad y Salud en el Trabajo 
</t>
  </si>
  <si>
    <t xml:space="preserve">Sumatoria de las capacitaciones realizadas para la consolidación del Plan de capacitación por competencias de Seguridad y Salud en el Trabajo 2025 
</t>
  </si>
  <si>
    <t>2.9</t>
  </si>
  <si>
    <t xml:space="preserve">Ejecutar actividades de promoción y prevención en temas de seguridad y salud en el trabajo autogestionadas. </t>
  </si>
  <si>
    <t>Listados de asistencias, encuestas de satisfaccion</t>
  </si>
  <si>
    <t xml:space="preserve">Actividades de promoción y prevención en temas de seguridad y salud en el trabajo autogestionadas. </t>
  </si>
  <si>
    <t>Sumatoria de las actividades realizadas autogestionadas</t>
  </si>
  <si>
    <t>2.10</t>
  </si>
  <si>
    <t xml:space="preserve"> Ejecutar actividades de promoción y prevención en temas de seguridad y salud en el trabajo con apoyo de la ARL.</t>
  </si>
  <si>
    <t>Actividades realizadas en promoción y prevención en temas de seguridad y salud en el trabajo con apoyo de la ARL.</t>
  </si>
  <si>
    <t xml:space="preserve">Sumatoria de las actividades realizadas  programadas con apoyo de la ARL </t>
  </si>
  <si>
    <t>2.11</t>
  </si>
  <si>
    <r>
      <t xml:space="preserve">Diseñar </t>
    </r>
    <r>
      <rPr>
        <b/>
        <sz val="9"/>
        <color theme="9" tint="-0.249977111117893"/>
        <rFont val="Aptos Narrow"/>
        <family val="2"/>
        <scheme val="minor"/>
      </rPr>
      <t>el plan estrategico y e</t>
    </r>
    <r>
      <rPr>
        <sz val="9"/>
        <color rgb="FF000000"/>
        <rFont val="Aptos Narrow"/>
        <family val="2"/>
        <scheme val="minor"/>
      </rPr>
      <t>l plan</t>
    </r>
    <r>
      <rPr>
        <b/>
        <sz val="9"/>
        <color theme="9" tint="-0.249977111117893"/>
        <rFont val="Aptos Narrow"/>
        <family val="2"/>
        <scheme val="minor"/>
      </rPr>
      <t xml:space="preserve"> Anual </t>
    </r>
    <r>
      <rPr>
        <sz val="9"/>
        <color rgb="FF000000"/>
        <rFont val="Aptos Narrow"/>
        <family val="2"/>
        <scheme val="minor"/>
      </rPr>
      <t>de trabajo de Seguridad y Salud en el Trabajo, por medio de  informe de condiciones de salud, Encuesta de necesidades del Sistema de Gestión de la Seguridad y Salud en el Trabajo, encuesta de partes interesadas,  encuestas de ambiente y cultura  (dic 2019), resultado de la la intervencion en riesgo psicosocial (2024)  y resultados de encuestas de satisfacción..</t>
    </r>
  </si>
  <si>
    <t xml:space="preserve">Plan de Trabajo </t>
  </si>
  <si>
    <t xml:space="preserve">
 Publicación Plan Estrategico  y Plan  Anual de Seguridad y Salud en el Trabajo 2025</t>
  </si>
  <si>
    <t xml:space="preserve">
Plan Estrategico  y Plan  Anual de Seguridad y Salud en el Trabajo 2025</t>
  </si>
  <si>
    <t xml:space="preserve">2. DE UNA ECONOMÍA EXTRACTIVISTA HACIA UNA ECONOMÍA PRODUCTIVA-2.4.5. Pacto por el  trabajo digno </t>
  </si>
  <si>
    <t>Dar cumplimiento oportuno a la entrega de dotación de vestuario y calzado de labor.</t>
  </si>
  <si>
    <t>Porcentaje de actividades ejecutadas</t>
  </si>
  <si>
    <t>Durante el año 2023, se cumplio con el 88% de las actividades programadas en la iniciativa, refefente a la entrega oportuna de la dotacion.</t>
  </si>
  <si>
    <t>Se dio cumplimiento a 3 actividades de las 4 programadas para el I trimestre. Se cumplieron las actividades 3.1, 3.2, 3.3 y la actividad 3.4 parcialmente.</t>
  </si>
  <si>
    <t>Durante el trimestre se programaron 3 actividades. dando cumplimiento a 2. Se cumplió con las actividades 3.2 y 3.3.
La actividad 3.4 se reprogramara para el  tercer trimestre.</t>
  </si>
  <si>
    <t>Durante el trimestre se dio cumplimiento a las 2 actividades programadas 3.1 y 3.4</t>
  </si>
  <si>
    <t xml:space="preserve">Durante la vigencia se dió cumplimiento oportuno a la entrega de dotación  de vestuario  y calzado de labor </t>
  </si>
  <si>
    <t xml:space="preserve">Durante el primer trimestre  se realizaron 2 actividades ejecutadas   de acuerdo a lo programado  y a su  necesidad , como lo es la identificación de la entrega de dotación y la realización del estudio de mercado de la entrega de la dotación. </t>
  </si>
  <si>
    <t>Durante el segundo trimestre se realizó una actividad de las dos programadas</t>
  </si>
  <si>
    <t>Para el tercer trimestre se programaron 3 actividades las cuales se cumplieron</t>
  </si>
  <si>
    <t xml:space="preserve">Durante las vigencias se ha realizado un 96% de acuerdo a las actividades programadas. </t>
  </si>
  <si>
    <t>Identificar  a los funcionarios que cumplan requisitos para la entrega de dotación de vestuario y calzado de labor.</t>
  </si>
  <si>
    <t>Listado de beneficiarios</t>
  </si>
  <si>
    <t>Listado actualizado</t>
  </si>
  <si>
    <t>Listado de beneficiarios aprobado</t>
  </si>
  <si>
    <t xml:space="preserve">A-02-02-01-002-008 </t>
  </si>
  <si>
    <t>Dotación (Prendasde vestir y calzado)</t>
  </si>
  <si>
    <t>Correo electronico del 15-04-2025 -Iniciativa 3 “ Dar cumplimiento oportuno a la entrega de dotación
de vestuario y calzado de labor “ cambiar el tipo de acumulación de acumulado a stock para
tener un mejor reporte de este.</t>
  </si>
  <si>
    <t>Solicitar la realización del proceso contractual</t>
  </si>
  <si>
    <t>Memorando de radicación</t>
  </si>
  <si>
    <t>Número de procesos contractuales solicitados</t>
  </si>
  <si>
    <t xml:space="preserve">Sumatoria de  procesos  contractuales ejecutados </t>
  </si>
  <si>
    <t>Realizar entrega de dotaciones de vestuario y calzado para los funcionarios del Ministerio del Interior con derecho a ella, en cumplimiento de la ley 70 de 1998 y el decreto 1978 de 1989.</t>
  </si>
  <si>
    <t>Dotación entregada</t>
  </si>
  <si>
    <t xml:space="preserve">Número de entrega de dotaciones realizadas </t>
  </si>
  <si>
    <t>Sumatoria de entregas de dotaciones realizadas</t>
  </si>
  <si>
    <t>36. Paz total</t>
  </si>
  <si>
    <t>5. DEJAREMOS ATRÁS LA GUERRA Y ENTRAREMOS POR FIN EN UNA
ERA DE PAZ
5.2. Colombia hacia una cultura de
paz</t>
  </si>
  <si>
    <t xml:space="preserve">6. Colombia, sociedad para la vida: Actores diferenciales para el cambio.        </t>
  </si>
  <si>
    <t xml:space="preserve">Diseñar e implementar estrategias de atención, reconocimiento, inclusión y fortalecimiento para el personal con discapacidad, grupo de mujeres y personal que desarrolla actividades relacionadas directamente con víctimas de conflicto armado. </t>
  </si>
  <si>
    <t>(Número de acciones implementadas/ Número de acciones programadas )*100%</t>
  </si>
  <si>
    <t>Durante el año 2023, Se cumplio con el 100% de las actividades ejecutadas atraves de la iniciativa de diseñar e implementar estrategias de atencion a mujeres y al personal con discapacidad y relacionado directamente con conflicto armado</t>
  </si>
  <si>
    <t>Se dio cumplimiento a 2 actividades de las 2 programadas para el I trimestre. Se cumplieron las actividades 4.1, 4.3 y la actividad 4.2 no estaba programada para el primer trimestre pero se realizaron las siguientes actividades; Enero (1): Conoce los resultados de la investigación realizada al interior de nuestra entidad sobre Violencias Basadas en Genero y Discriminación, Febrero (1): Resiliencia organizacional.</t>
  </si>
  <si>
    <t>Se dio cumplimiento a las 3 actividades programadas para este trimestre: 4.1,4.2,4.3</t>
  </si>
  <si>
    <t xml:space="preserve"> Se dio cumplimiento a las 3  actividades  programadas  4.1-4.2-4.3 </t>
  </si>
  <si>
    <t xml:space="preserve">Se dió cumplimiento al 100% de las actividades programadas para la vigencia, </t>
  </si>
  <si>
    <t xml:space="preserve">Durante el primer trimestre  se realizaron 3 actividades ejecutadas   de acuerdo a lo programado  y a su  necesidad , como lo son el acompañamineto del ejercicio de los derechos de la mujeres, la inclusión de las personas discapacidad  y de las personas victimas del conflicto armado. </t>
  </si>
  <si>
    <t>Durante el segundo trimestre  se realizaron 3 actividades ejecutadas  de acuerdo a lo programado de la siguiente manera: acompañamiento del ejercicio de los derechos de la mujeres, la inclusión del personal en situación de discapacidad  y de las personas victimas del conflicto armado.</t>
  </si>
  <si>
    <t xml:space="preserve">Durante el tercer trimestre se desarrollaron 3 actividades: Julio(1): Mujeres que amana demasiado, Agosto: (1) Mujeres que aman demasiado Septiembre: Genero y cultura </t>
  </si>
  <si>
    <t xml:space="preserve">Identificación y priorización de necesidades, acompañamiento desde SST en la promoción y ejercicio de los derechos de las mujeres. </t>
  </si>
  <si>
    <t>Comunicaciones institucionales, Listas de asistencia, registro fotográfico, piezas comunicativas</t>
  </si>
  <si>
    <t xml:space="preserve">Actividades realizadas para el ejercicio del derechos de las mujeres </t>
  </si>
  <si>
    <t xml:space="preserve">Sumatoria de las actividades realizadas  programadas </t>
  </si>
  <si>
    <t xml:space="preserve">Correo electronico del 15-04-2025, De la iniciativa 4 “ Diseñar e implementar estrategias de atención , reconocimiento , inclusión
y fortalecimiento para el personal con discapacidad , grupo de mujeres y personal que
desarrolla actividades relaciones directamente con victimas de conflicto armado” </t>
  </si>
  <si>
    <t>Identificación y priorización de necesidades, acompañamiento desde SST en las estrategias para el fortalecer el personal que desarrolla actividades relacionadas directamente con víctimas del conflicto armado</t>
  </si>
  <si>
    <t xml:space="preserve">Actividades realizadas  con victimas  del conflicto armado </t>
  </si>
  <si>
    <t>Identificación y priorización de necesidades locativas y de accesibilidad, desde la perspectiva de Seguridad y Salud en el Trabajo, que se requieran para el reconocimiento, participación e inclusión efectiva del personal con discapacidad del Ministerio del Interior; así como el diseño e implementación de acciones de vinculación, acompañamiento y formación del personal, en articulación con el Grupo de Desarrollo del Talento Humano y el Grupo de Registro y Control del Ministerio del Interior, para faviorecer el cumplimiento normativo en los temas de discapacidad</t>
  </si>
  <si>
    <t>Comunicaciones institucionales,  Base de datos del personal, Listas de asistencia, registro fotográfico, piezas comunicativas</t>
  </si>
  <si>
    <t>Actividades realizadas  de reconocimiento e inclusión del personal  con discapacidad del Ministerio del Interior</t>
  </si>
  <si>
    <t>Fortalecer al Ministerio en la gestión oportuna de comisiones de servicio y autorización de desplazamiento  para asegurar la presencia institucional en territorio..</t>
  </si>
  <si>
    <t xml:space="preserve">(Número de actividades ejecutadas/Número de actividades programadas)*100_x000B_(según programación)  </t>
  </si>
  <si>
    <t>Durante el año 2023, Se cumplio con el 100% de las actividades ejecutadas para comision de servicios y autorizacion de desplazamiento del personal</t>
  </si>
  <si>
    <t xml:space="preserve">Se dio cumplimiento a 3 actividades de las 3 programadas para el I trimestre. Se cumplieron las actividades 5.2, 5.3 y 5.4 </t>
  </si>
  <si>
    <t>Se dio cumplimiento a 3 actividades de las 3 programadas para el II trimestre. Se cumplieron las actividades 5.1, 5.2 y 5.4, segun programación.</t>
  </si>
  <si>
    <t>Durante el trimestre se cumplieron las 3 actividades programadas   5.2- 5.3  y 5.4</t>
  </si>
  <si>
    <t xml:space="preserve">Durante el primer trimestre  se realizaron 3 actividades ejecutadas   de acuerdo a lo programado  y a su  necesidad , como lo es tramitar las comisiones del Ministerio del Interior, capacitaciones del proceso de las comisiones  y los informes de la ejecución del contrato de servicios del transporte. </t>
  </si>
  <si>
    <t>Durante el segundo trimestre  se realizaron 2 actividades de las 3 programadas ejecutadas así: tramitar las comisiones del Ministerio del Interior, y los informes de la ejecución del contrato de servicios del transporte.</t>
  </si>
  <si>
    <t xml:space="preserve">Durantes las vigencias se han desarrollado el 100 % de las actividades programadas </t>
  </si>
  <si>
    <t>Realizar la contratación del servicio de transporte aéreo para el desplazamiento nacional o internacional de los funcionarios y contratistas del Ministerio del Interior.</t>
  </si>
  <si>
    <t>Secop II</t>
  </si>
  <si>
    <t>Contrato de servicio de transporte aéreo para funcionarios y contratistas que realizan desplazamiento  al interior o exterior del país</t>
  </si>
  <si>
    <t>Sumatoria de contrato de servicio de transporte aéreo para funcionarios y contratistas que realizan comisiones al interior y exterior del país</t>
  </si>
  <si>
    <t>Adquisición de servicios</t>
  </si>
  <si>
    <t xml:space="preserve">A-02-02-02-006-004 </t>
  </si>
  <si>
    <t>Servicios de transporte de pasajeros</t>
  </si>
  <si>
    <t>Tramitar el 100% de las comisiones de acuerdo con el procedimiento de comisión de servicios y autorizaciones de desplazamiento al interior y exterior del país.</t>
  </si>
  <si>
    <t>SIIF- INTEGRA</t>
  </si>
  <si>
    <t>Porcentaje de comisiones tramitadas respecto de las solicitadas</t>
  </si>
  <si>
    <t>(Número de comisiones tramitadas en tiempos / número de comisiones solicitadas por las dependencias)*100%</t>
  </si>
  <si>
    <t>A-02-02-02-010</t>
  </si>
  <si>
    <t xml:space="preserve">Viaticos de Funcionarios en comisión </t>
  </si>
  <si>
    <t>Fortalecer la gestión y legalización de comisiones de servicio y autorización de desplazamiento.</t>
  </si>
  <si>
    <t>Otros</t>
  </si>
  <si>
    <t>Capacitaciones sobre la gestión y legalización de comisiones y/o autorización de desplazamiento</t>
  </si>
  <si>
    <t>Sumatoria de número de capacitaciones realizadas</t>
  </si>
  <si>
    <t>Elaborar informes de avance de la ejecución del contrato de servicio de transporte aéreo, con el fin de que las dependencias  tomen  decisiones en el marco de los lineamientos de austeridad del gasto.</t>
  </si>
  <si>
    <t xml:space="preserve"> Informes de avance de la ejecución del contrato de servicio de transporte aéreo elaborados</t>
  </si>
  <si>
    <t>Sumatoria del número de informes elaborados</t>
  </si>
  <si>
    <t>10.Ataque frontal a la corrupción</t>
  </si>
  <si>
    <t xml:space="preserve"> 4. DEMOCRATIZACIÓN DEL ESTADO, LIBERTADES FUNDAMENTALES
Y AGENDA INTERNACIONAL PARA LA VIDA
4.3. Democratización del Estado y
erradicación del régimen de corrupción.</t>
  </si>
  <si>
    <t xml:space="preserve">2.     Seguridad humana y justicia social   -C.  Garantía de derechos como fundamento de la dignidad humana y condiciones para el bienestar   -11.  Datos al servicio del bienestar social y el bien común.     </t>
  </si>
  <si>
    <t>Diseñar y ejecutar estrategias de apropiación y  sensibilización del Código de Integridad y reporte de conflicto de intereses.</t>
  </si>
  <si>
    <t>Campañas, socializaciones o talleres realizados.</t>
  </si>
  <si>
    <t>Durante el año 2023, Se ejecuto el 25% de las actividades, que hacen referencia a la iniciativa de apropiacion  y sencibilizacion del codigo de integridad y conflicto de intereses</t>
  </si>
  <si>
    <t>Se dio cumplimiento a 2 actividades de las 2 programadas para el I trimestre. Se cumplieron las actividades 6.1 y 6.2</t>
  </si>
  <si>
    <t>Duarante el trimestre Se dio cumplimiento a las actividades programadas  en el II trimestre.</t>
  </si>
  <si>
    <t>Durante se cumplió con  las actividades programadas  6.1 y 6.2</t>
  </si>
  <si>
    <t xml:space="preserve">Durante el primer trimestre  se realizaron 2 actividades ejecutadas   de acuerdo a lo programado  y a su  necesidad , como lo es campañas de apropiación  del código de integridad y las campañas sobre el conflicto de intereses. </t>
  </si>
  <si>
    <t xml:space="preserve">En el segundo trimestre se realizaron 2 actividades desarrolladas de acuerdo a lo programado, como campañas de apropiación del código de integridad y las campañas sobre el conflicto de intereses. </t>
  </si>
  <si>
    <t xml:space="preserve">Durantes las vigencias se han desarrollado el 75 % de las actividades programadas </t>
  </si>
  <si>
    <t>6.1</t>
  </si>
  <si>
    <t>Diseñar e implementar campañas, capacitaciones o actividades de apropiación del Código de Integridad y los valores institucionales.</t>
  </si>
  <si>
    <t>Campañas de apropiación de valores implementadas</t>
  </si>
  <si>
    <t>Sumatoria  de campañas realizadas</t>
  </si>
  <si>
    <t>Gestión Estratégica del Talento Humano</t>
  </si>
  <si>
    <t>Correo electronico del 15-04-2025. Iniciativa 6  Se modifico lo siguiente:“ diseñar y ejecutar estrategias de apropiación y sensibilización del Código de
integridad y reporte de conflicto de intereses” cambiar el tipo de indicador de resultado a
gestión , para tener un mejor control de seguimiento de los indicadores.</t>
  </si>
  <si>
    <t>6.2</t>
  </si>
  <si>
    <t xml:space="preserve">Diseñar y ejecutar campañas, socializaciones o talleres sobre conflicto de intereses. </t>
  </si>
  <si>
    <t>Campañas, socializaciones o talleres sobre conflicto de intereses</t>
  </si>
  <si>
    <t>Sumatoria  de campañas, socializaciones o talleres realizadas</t>
  </si>
  <si>
    <t>Registrar y actualizar los sistemas de información aplicables a la Gestión Humana en el Ministerio del Interior generando reportes para la toma de decisiones.</t>
  </si>
  <si>
    <t>Sistemas de información actualizados</t>
  </si>
  <si>
    <t>Sumatoria del número de informes y número de alertas realizadas sobre los sistemas de información</t>
  </si>
  <si>
    <t>Durante el año 2023, se dio cumplimiento a las actividades programadas atraves de diferentes medios de comunicacion, para dar cumplimiento al seguimiento y actualizacion de los sistemas de informacion aplicables a gestion humana</t>
  </si>
  <si>
    <t>Se dio cumplimiento a 2 actividades de las 2 programadas para el I trimestre. Se cumplieron las actividades 7.1 y 7.2</t>
  </si>
  <si>
    <t>Durante el trimestre se dio cumplimiento a las 2 actividades programadas para este  I trimestre:  actividad 7.1 y 7.2</t>
  </si>
  <si>
    <t>Duarante el trimestre se dio cumplimiento a las actividades programadas :
7,1 ( 3 actividades)  7,2 ( 1 actividad)</t>
  </si>
  <si>
    <t>Se actualizaron y se dio cumplimeinto a las actividades de los sistemas de información para la adecuada de la  toma de decisiones.</t>
  </si>
  <si>
    <t xml:space="preserve">Durante el primer trimestre  se realizaron  4 actividades ejecutadas   de acuerdo a lo programado   como lo son los respectivos reportes de SIGEP y las alertas del aplicativo EDL. </t>
  </si>
  <si>
    <t xml:space="preserve">Durante el segundo trimestre se realizaron 2 actividades de acuerdo a lo programado de la siguiente manera: reporte de seguimiento al registro de la información del SIGEP y las alertas del aplicativo EDL. </t>
  </si>
  <si>
    <t>para el tercer trimestre se programaron 4 actividades las cuales se cumplieron</t>
  </si>
  <si>
    <t xml:space="preserve">Durante las vigencias se han desarrollado 36 actividades para el cumplimiento de la iniciativa. </t>
  </si>
  <si>
    <t>7.1</t>
  </si>
  <si>
    <t xml:space="preserve"> Realizar reporte de seguimiento al registro de la información del SIGEP por parte de los servidores públicos.</t>
  </si>
  <si>
    <t>Reportes generados</t>
  </si>
  <si>
    <t xml:space="preserve">Informes de seguimiento al registro de la informacion de SIGEP. </t>
  </si>
  <si>
    <t xml:space="preserve">Sumatoria de  informes de seguimiento </t>
  </si>
  <si>
    <t xml:space="preserve"> Correo electronico del 15-04-2025. Se modifico lo siguiente:La iniciativa 7 “registrar y actualizar los sistemas de información aplicables a la Gestión
Humana ene le Ministerio del INTERIOR GENERANDO REPORTES PARA LA toma de
decisiones” , en esta quedo mala la programación de las metas para la vigencia 2025, es
modificar cada trimestre a 4 para un total de 16 informes y alcanzar el resultado que se
compromete la Subdirección a desarrollar</t>
  </si>
  <si>
    <t>(Informes o alertas generadas / informes o alertas programadas) * 100</t>
  </si>
  <si>
    <t>7.2</t>
  </si>
  <si>
    <t>Generar alertas para evitar el incumplimiento frente al registro y actualización del aplicativo EDL-APP.</t>
  </si>
  <si>
    <t>Piezas comunicativas y correos</t>
  </si>
  <si>
    <t>Alertas generadas vía correo electrónico</t>
  </si>
  <si>
    <t>Sumatoria de alertas generadas vía correo electrónico</t>
  </si>
  <si>
    <t>Subdirección Administrativa y Financiera</t>
  </si>
  <si>
    <t>Diana Patricia Olmos Montenegro.</t>
  </si>
  <si>
    <t>10. Ataque frontal contra la corrupción</t>
  </si>
  <si>
    <t>4. Democratización del Estado, libertades fundamentales y agenda internacional para la vida. 
4.3. Democratización del Estado y erradicación del régimen de corrupción. Lucha frontal contra la corrupción. El proceso de democratización del ESTADO pasa por asegurar un mayor nivel de participación vinculante de la ciudadanía en las decisiones públicas, incluyendo el impulso a los presupuestos participativos y el acceso a la información pública sobre todo el ciclo de la gestión de los recursos en todos los niveles del ESTADO. En la perspectiva de garantizar el carácter público de las finanzas</t>
  </si>
  <si>
    <t>"*Transformación: 5. Convengencia Regional
*Catalizador: 5. Fortalecimiento institucional como motor de cambio para recuperar  la  confianza de la ciudadanía y el fortalecimiento del vínculo Estado-ciudadanía:
a. Lucha contra la corrupción en las entidades públicas nacionales y territoriales
 b. Entidades públicas territoriales y nacionales fortalecidas
c. Calidad, efectividad, transparencia y coherencia de las normas
d. Gobierno digital para la gente"</t>
  </si>
  <si>
    <t>Garantizar la conservación, archivo y disponibilidad de los documentos generados para evidenciar el cumplimiento de la gestión del Ministerio del Interior, fortaleciendo el sistema de gestión documental</t>
  </si>
  <si>
    <t>Porcentaje de actividades realizadas</t>
  </si>
  <si>
    <t xml:space="preserve"> (Total actividades realizadas/ Total actividades planificadas)*100</t>
  </si>
  <si>
    <t>La iniciativa no tiene programación de meta para el primer trimestre</t>
  </si>
  <si>
    <t>Para el trimestre III. Se lograron obtener 747.218 imágenes digitalizadas a septiembre 30 del 2023.
Trimeste III se alcanzó: 747.288/2.800.000=26,7%
Nota 1: la meta para el trimestre III: era de 1.000.000 de imagenes: 35,71%; luego, estuvo por debajo, pero a diciembre 31 de 2023, se logrará cumplir la meta año: 2.800.000 imagenes (100%)
Nota 2. El contrato con La Imprenta Nacional no inicio en la hecha prevista.</t>
  </si>
  <si>
    <t>Para el trimestre IV. Se lograron obtener 3,000,000 de imágenes digitalizadas a diciembre 31 del 2023.
Trimestre IV se alcanzó: 3,000,000 de 2,800,000. (2052712/2800000) = 73%
Nota. La meta para el trimestre IV era 2,800,000 imágenes por lo cual, se supera la meta establecida con 3,000,000 para el año 2023.</t>
  </si>
  <si>
    <t>Para la vigencia del 2023  aunque el contrato con la imprenta nacional en el III trimestre no inició en la fecha prevista. Se logró la digitalización de  3.000.000 de 2.800.000 imágenes superando la meta establecida,ejecutando el 107%.</t>
  </si>
  <si>
    <t>Durante el I trimestre del 2024, se ha realizado un proceso en la implementaciòn de las actividades acordadas en la iniciativa , según el cronograma estipulado para el I trimestre se lograron completar satisfactoriamente 2  actividades del total de 8 actividades ejecutando el 25%, debido a la priorizacion de los procesos de contratacion  y la evaluacion de las TVD para actualizar los instrumentos archivisticos.</t>
  </si>
  <si>
    <t>Durante el II trimestre del 2024 , se ha realizado un proceso en la implementación de las actividades acordadas en la iniciativa, según el cronograma estipulado para el II trimestre se lograron completar satisfactoriamente 4 actividades del total de 9 actividades ejecutando el 44,44%, debido a la adecuación de las areas para la operación y conservación de la información, actividades de soporte y mantenimiento a la implementración de la solución tecnológica, visitas de seguimiento a la implementación de los procesos, instrumentos y técnicas archivisticas de las unidades productoras de documentos y procesos de contratación.</t>
  </si>
  <si>
    <t xml:space="preserve">Durante el III trimestre de 2024, se avanzó en la implementación de las actividades acordadas en la iniciativa. Según el cronograma estipulado, se completaron satisfactoriamente 8 de las 9 actividades planificadas, alcanzando un porcentaje de ejecución del 89% cumpliendo con el resultado esperado para la meta del tercer trimestre.
1.	Adecuación de áreas: Se realizaron mejoras en los espacios para la operación y conservación de la información.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t>
  </si>
  <si>
    <t>Durante el IV trimestre de 2024, se avanzó en la implementación de las actividades acordadas en la iniciativa. Según el cronograma estipulado, se completaron satisfactoriamente 9 de las 9 actividades planificadas, alcanzando un porcentaje de ejecución del 100% cumpliendo con el resultado esperado para la meta del tercer trimestre.
1.	Adecuación de áreas: Se realizaron mejoras en los espacios para la operación y conservación de la información a un 100%
2.	Soporte y mantenimiento: Se llevaron a cabo actividades de soporte técnico y mantenimiento de la solución tecnológica.
3.	Visitas de seguimiento: Se realizaron visitas para monitorear la implementación de procesos, así como el uso de instrumentos y técnicas archivísticas en las unidades productoras de documentos.
4.	Procesos de contratación: Se continuó con la revisión y mejora de los procesos de contratación.
5.  Se recibieron las transferencias primarias de 21 dependencias del Ministerio Del Interior.</t>
  </si>
  <si>
    <t xml:space="preserve">Durante la vigencia 2024, el Grupo de Conservación Documental cumplió con el 100% de las nueve actividades proyectadas en el PEIA, en cuanto a metas propuestas y ejecución presupuestal. De esta manera, se cumplieron las metas proyectadas en cuanto a elaboración, implementación y seguimiento de  instrumentos archivísticos; organización del patrimonio documental del Ministerio; adecuación y mantenimiento de espacios para la conservación de documentos físicos; seguimiento a la implementación de la herramienta tecnológica y solución de fallas técnicas, implementación de la estrategia de posicionamiento de los procesos de Gestión Documental y la recepción de transferencias documentales primarias </t>
  </si>
  <si>
    <t>Durante el I trimestre, se cumple la meta del 100% propuesta. El Grupo de Conservación Documental recibió y atendió 335 solicitudes de soporte de la herramienta ControlDoc, concretamente relacionados con activación y desactivación de usuarios, reasignación de ID, actualización de dependencias y cargos y registro de firmas de usuarios.</t>
  </si>
  <si>
    <t xml:space="preserve">Durante el II trimestre de 2025, se avanzó en la implementación de las actividades acordadas en la iniciativa. Según el cronograma estipulado, se completaron satisfactoriamente 5 de las 7 actividades planificadas, alcanzando un porcentaje de ejecución del 71%, cumpliendo con el resultado esperado para la meta del II trimestre.
1.1 Elaborar y/o actualizar  los instrumentos definidos en las normas archivísticas y su articulación con el Modelo Integrado de Planeación y Gestión - MIPG
1.2 Implementar los instrumentos  archivísticos en articulación  con el Modelo Integrado de Planeación y Gestión - MIPG
1.3 Realizar seguimiento a la implementación de los procesos, instrumentos y técnicas archivísticas
1.7 Implementar la solución tecnológica para la administración y gestión de los documentos de la entidad
Implementar la estrategia de posicionamiento e interiorización de los procesos de Gestión Documental"
1.9 Realizar las transferencias documentales de acuerdo a las capacitaciones hechas por el grupo de Conservación Documental.
1.10 Realizar seguimiento y mantenimiento de la solución tecnológica
1.11 Realizar seguimiento de la estrategia de posicionamiento e interiorización de los procesos de Gestión Documental
</t>
  </si>
  <si>
    <t>Durante el III trimestre de 2025, se avanzó en la implementación de las actividades acordadas en la inciativa, según el cronograma estipulado, se completaron 3 de las 6 actividades planificadas para el trimestre.
1.3 Realizar segumiento a la implementación de los procesos, instrumentos y técnicas archvísticas
1.10 Realizar seguimiento a la solución tecnológica
1.12 Realizar seguimiento de la estrategia de posicionamiento e interiorización de los procesos de Gestión Documental</t>
  </si>
  <si>
    <t>Realizar seguimiento a la implementación de los procesos, instrumentos y técnicas archivísticas</t>
  </si>
  <si>
    <t>Instrumentos implementados</t>
  </si>
  <si>
    <t>Número de instrumentos  archivísticos   implementados</t>
  </si>
  <si>
    <t xml:space="preserve"> Sumatoria de instrumentos archivísticos implementados</t>
  </si>
  <si>
    <t>C-3799-1000-12</t>
  </si>
  <si>
    <t xml:space="preserve">Implementación de un Sistema Integral de Gestión de documentos y Administración de Archivos, en el Ministerio del Interior, Nacional </t>
  </si>
  <si>
    <t>Gestión Documental y Archivo</t>
  </si>
  <si>
    <t>Politica de Gestión Documental</t>
  </si>
  <si>
    <t xml:space="preserve">Porcentaje de actividades realizadas </t>
  </si>
  <si>
    <t>Realizar la intervención archivística del patrimonio documental del Ministerio del Interior aplicando los procedimientos y técnicas archivísticas.</t>
  </si>
  <si>
    <t>Informe de ejecucion contrato</t>
  </si>
  <si>
    <t>Informe de ejecucion del contrato</t>
  </si>
  <si>
    <t>sumatoria informes elaborados</t>
  </si>
  <si>
    <t>Realizar la adquisición y/o adecuación de las áreas para la operación y conservación de la información</t>
  </si>
  <si>
    <t>Realizar las transferencias documentales de acuerdo al plan de transferencias documentales elaborado por el grupo de Conservación Documental</t>
  </si>
  <si>
    <t>Plan de transferencias</t>
  </si>
  <si>
    <t>Transferencias documentales del archivo de gestion de las dependencias al archivo central</t>
  </si>
  <si>
    <t>sumatoria de transferencias verificadas / sumatoria de transferencias recibidas</t>
  </si>
  <si>
    <t>porcentaje</t>
  </si>
  <si>
    <t>Realizar seguimiento y mantenimiento a la solución tecnológica.</t>
  </si>
  <si>
    <t>Realizar seguimiento de la estrategia de posicionamiento e interiorización de los procesos de Gestión Documental</t>
  </si>
  <si>
    <t>Informe  de piezas diseñadas</t>
  </si>
  <si>
    <t>Número de piezas de seguimiento diseñadas</t>
  </si>
  <si>
    <t>Sumatoria del número de piezas diseñadas</t>
  </si>
  <si>
    <t>1.7</t>
  </si>
  <si>
    <t xml:space="preserve">Realizar el resepectivo analisis de información, registro en el SGDA y direccionamiento al área competente </t>
  </si>
  <si>
    <t xml:space="preserve">Informe de totales radicados </t>
  </si>
  <si>
    <t xml:space="preserve">Totales de radicados </t>
  </si>
  <si>
    <t>producto</t>
  </si>
  <si>
    <t xml:space="preserve">Gastos funcinamiento </t>
  </si>
  <si>
    <t xml:space="preserve">Grupo de correspodencia </t>
  </si>
  <si>
    <t>1.8</t>
  </si>
  <si>
    <t xml:space="preserve">Notificar a las diferentes entidades y usurios externos a traves de sistema SIPOST </t>
  </si>
  <si>
    <t xml:space="preserve">Informe de correspodencia enviada </t>
  </si>
  <si>
    <t xml:space="preserve">Total de correspondencia enviada </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</si>
  <si>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</si>
  <si>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Porcentaje de necesidades Administrativas atendidas</t>
  </si>
  <si>
    <t xml:space="preserve">(Total de necesidades Administrativas atendidas en el periodo/ Total de necesidades recibidas en el periodo)*100
</t>
  </si>
  <si>
    <t>flujo</t>
  </si>
  <si>
    <t xml:space="preserve">En el TRIMESTRE I DE 2023: el porcentaje de avance, fue del 9%, de la ejecución presupuestal de Adquisición de bienes y servicios - Gastos Generales (Obligado) a cargo de la SAF: 
Enero 2023:  el 1% ($42.473.420/$5.254´801.161)
Febrero 2023: el 5% ($251.392.025/$5.254´801.161)
Marzo 2023:  9% ($470.519.103/$5.254´801.161). 
Se evidencia que se cumple la meta del primer trimestre: 9% sobre los $5.254.801.161 </t>
  </si>
  <si>
    <t>En el TRIMESTRE II DE 2023: el porcentaje de avance, fue del 33%, de la ejecución presupuestal de Adquisición de bienes y servicios - Gastos Generales (Obligado) a cargo de la SAF: 
Abril 2023:  el 14% ($724.987.627,13/$5.235.920.155)
Mayo 2023: el 26% ($1.352´959.784,84/$5.235.920.155)
Junio 2023:  33% ($1.718.837.048,59/$5.235.920.155). 
Se evidencia cumplimiento de la meta en el segundo trimestre del 2023, sobrepasando el 3%. La establecida para trimestre II: 30%</t>
  </si>
  <si>
    <t>En el TRIMESTRE III DE 2023: el porcentaje de avance, fue del 50,7% , de la ejecución presupuestal de Adquisición de bienes y servicios - Gastos Generales (Obligado) a cargo de la SAF: 
Julio 2023:  2.495.543.167,99/6.743.254.373=37%
Agosto 2023: 3.006.592.250,72/6.743.254.373= 45%
Septiembre 2023:  3.418.075.500,29/6.743.254.373=50,7% (obligado)
Comprometido: 72% acorde valor SIIF
Nota: Se ratifica que para el cuarto trimestre se estará alcanzando una meta final cercana al 100% (OBLIGADO)</t>
  </si>
  <si>
    <t>En el TRIMESTRE IV DE 2023: el porcentaje de avance, fue del 76% , de la ejecución presupuestal de Adquisición de bienes y servicios - Gastos Generales (Obligado) a cargo de la SAF: 
Octubre2023:  3.913.383.301,42/6.733.370.145,08=58%
Noviembre 2023: 5.149.573.484,41/6.843.254.373= 75%
Diciembre 2023: 5.222.335.713/6.843.254.373=76% (obligado)
Comprometido: 83% acorde valor SIIF</t>
  </si>
  <si>
    <t>Para la vigencia 2023 se obligo el 76% del presupuesto asignado para las necesidades de funcionamiento que requirió el Ministerio del Interior y se comprometio el 83%.</t>
  </si>
  <si>
    <t xml:space="preserve">Durante el I trimestre se ejecutó el 11%  atendiendo las solicitudes  acorde a  las necesidades de funcionamiento, las cuales  se apoyan mediante   los contratos de funcionamiento vigentes para el 2024.
Nota: La apropiación del esquema de seguridad contra el compromiso actual y  la obligación depende del esquema de seguridad del actual Ministro del interior.
</t>
  </si>
  <si>
    <t xml:space="preserve">El presupuesto inicial para la iniciativa 2 era $7.451.557.491 para el segundo trimestre se realizo un aplazamiento por parte del ministerio de hacienda por valor de $896.954.662 quedando para la ejecución un total de $6.554.602.829 valor sobre el cual se realiza el reporte de la ejecución del segundo trimestre. (1.155.755.610/6.554.602.829)= 18% de ejecución atendiendo las solicitudes acorde a las necesidades de funcionamiento vigentes para el 2024.  
NOTA:  La apropiación del esquema de seguridad contra el compromiso actual y la obligación depende del esquema de seguridad del actual Ministro del Interior. </t>
  </si>
  <si>
    <t xml:space="preserve">El Ministerio de Hacienda desbloqueó  los rubros de funcionamiento por lo que la ejecución del presupuesto asignado $7.451.557.491 y las obligaciones con corte al 30 de septiembre ascendieron a la suma de $4.182.217.257 obteniendo un 56% de la ejecución, en la que se atendieron las solicitudes para el funcionamiento de la entidad.
NOTA: La ejecución del Fondo de Proteccion es muy baja, debido a que la UNP implementó el esquema para el nuevo Ministro de manera tardia, por lo cual, en el mes de septiembre no hubo ejecucion, que corresponde al servicio prestado en el mes de agosto, ya que la UNP no radico factura del mismo. </t>
  </si>
  <si>
    <t>El porcentaje de ejecución de los recursos de funcionamiento ejecutado, está dos puntos porcentuales por debajo del esperado, no obstante están próximos a suscribirse varios contratos que permitirán cumplir e incluso sobrepasar la meta fijada para el segundo trimestre.
Adicionalmente se suscribió el contrato interadministrativo No. 447 por un valor aportado por parte del Ministerio de $ 798.785.934, que inicio su ejecución el 30 de enero de 2025.</t>
  </si>
  <si>
    <t xml:space="preserve">En el II trimestre la Subdirección Administrativa y financiera le ha dado un oportuno cubrimiento a las necesidades de funcionamiento del Ministerio del Interior, los recursos de adquisición de bienes y servicios son ejecutados de acuerdo al cronograma de pagos y las condiciones establecidas en los contratos de mantenimiento, a la fecha se han obligado el 35% de los recursos asignados y obligados y se ha comprometido un 64%.
Con relación a la gestión de control y verificación del inventario institucional, se realizo la toma física en 7 dependencias del Ministerio del Interior.
  </t>
  </si>
  <si>
    <t>En el II trimestre la Subdirección Administrativa y financiera le ha dado un oportuno cubrimiento a las necesidades de funcionamiento del Ministerio del Interior, los recursos de adquisición de bienes y servicios son ejecutados de acuerdo al cronograma de pagos y las condiciones establecidas en los contratos de mantenimiento, a la fecha se han obligado el 66% de los recursos asignados y obligados y se ha comprometido un 79%.
Con relación a la gestión de control y verificación del inventario institucional, se realizó la toma física en 16 dependencias del Ministerio del Interior.</t>
  </si>
  <si>
    <t>Ejecutar el presupuesto asignado para cubrir las necesidades de funcionamiento que requiera el Ministerio del Interior.</t>
  </si>
  <si>
    <t>Informes de ejecución del presupuesto</t>
  </si>
  <si>
    <t>Ejecución presupuestal de las necesidades de funcionamiento</t>
  </si>
  <si>
    <t>(Total Presupuesto ejecutado en el periodo (comprometido) / Total de presupuesto asignado en el período) *100</t>
  </si>
  <si>
    <t>A-02-01
A-02-02</t>
  </si>
  <si>
    <t>Adquisición de Bienes y Servicios</t>
  </si>
  <si>
    <t xml:space="preserve">Gestión Administrativa </t>
  </si>
  <si>
    <t>Gestión presupuestal y eficiencia del gasto público</t>
  </si>
  <si>
    <t>Garantizar el esquema de seguridad de protección del Ministro(a) del Interior</t>
  </si>
  <si>
    <t xml:space="preserve">Documentos </t>
  </si>
  <si>
    <t>Número de convenios con la Unidad Nacional de Protección para la vigencia 2026, suscrito y en ejecución</t>
  </si>
  <si>
    <t>Sumatoria de convenios suscritos y en ejecución</t>
  </si>
  <si>
    <t>A-03-03-01-053</t>
  </si>
  <si>
    <t>FONDO DE PROTECCIÓN DE JUSTICIA. DECRETO 1890/99 Y DECRETO 200/03</t>
  </si>
  <si>
    <t>Compras y Contratación Pública</t>
  </si>
  <si>
    <t>Realizar toma Física Anual de bienes a las 27 dependencias del Ministerio</t>
  </si>
  <si>
    <t xml:space="preserve">Número de toma física anual realizada a las dependencias del Ministerio </t>
  </si>
  <si>
    <t>Sumatoria de tomas físicas realizadas por dependencia</t>
  </si>
  <si>
    <t>Gestión con Valores para el Resultado</t>
  </si>
  <si>
    <t>Fortalecimiento Institucional y Simplificación de Procesos</t>
  </si>
  <si>
    <t>Realizar depuración de los bienes a través del proceso de baja de los inventarios de los mismos</t>
  </si>
  <si>
    <t>Número de documentos que soportan la baja de los bienes de los inventarios</t>
  </si>
  <si>
    <t>Sumatoria de resoluciones de aprobación de las bajas</t>
  </si>
  <si>
    <t xml:space="preserve">Gestionar, liderar y hacer seguimiento periódico a la ejecución presupuestal, al Plan Anual de Adquisiciones, a los compromisos y pagos del Ministerio del Interior y realizar reportes al Comité Institucional de gestión y desempeño 2023-2026 </t>
  </si>
  <si>
    <t>% de reportes de alertas  seguimiento a la ejecución presupuestal</t>
  </si>
  <si>
    <t>(Número de seguimientos realizados en el periodo / Total de reportes de seguimientos programados)*100</t>
  </si>
  <si>
    <t>Durante el I trimestre se realizaron 10 seguimientos a la ejecución presupuestal y al plan anual de adquisiciones PAA, así: 
Enero (3): Se realizaron 2 reuniones de estructuración del PAA y presupuesto. (1) Seguimiento al PAA el 23 de enero.
Febrero (3): Se remitió correo de seguimiento a la ejecución presupuestal el 14 y 17 de febrero (2) por parte del Subdirector. (1) Seguimiento al PAA el 13 de febrero.
Marzo (4): Se remitió correo de seguimiento a la ejecución presupuestal el 08, 12 y 26 de marzo (3) por parte del Subdirector. (1) Seguimiento al PAA  el 28 de marzo</t>
  </si>
  <si>
    <t>Durante el trimestre II, se hicieron 3 seguimientos a la ejecución presupuestal, convocadas por la Secretaria General, así:
Seguimiemiento: abril 25. Convocado por Secretario General
Seguimiento: mayo 09. Convocado por Secretario General
Seguimiento: junio 06. Convocada por secretario general
Durante el trimestre II, se hicieron 3 seguimientos al Plan Anual de Adquisiciones, convocados por SAF: 
Seguimiento: abril 20 
Seguimiento: mayo 29 
 Seguimiento: junio 30 de 2023</t>
  </si>
  <si>
    <t>Durante el tirmestre III, se hicieron 4 seguimientos a al ejecución presupuestal, así:
Seguimiento julio 27: se hizo seguimiento a la ejecución presupuestal teniendo en cuenta que se hizo una modificación a la PAA, versión 11.
Seguimiento Agosto 30: convocó secretaria general
SEguimiento Septiembre 22: convoco secretaria general
Seguimiento Septiembre 25: convocó Secretaria General
Seguimientos Plan anual de adquisiciones:
julio 27
Agosto 25
Septiembre 25</t>
  </si>
  <si>
    <t xml:space="preserve">Durante la vigencia 2023 inicialmente se proyectaron 12 seguimientos a la ejecucion y debido a la necesidad de agilizar el presupuesto se empiezan a realizar más seguimientos y se proyectan 24 de los cuales se realizan 23 superando la meta trazada inicial del año. </t>
  </si>
  <si>
    <t xml:space="preserve">A través de la Subdirección Administrativa y financiera durante el I trimestre se realizan los  informes requeridos de la ejecución presupuestal del Ministerio del Interior y se remiten al grupo de  Unidad de cumplimiento para el seguimiento a la ejecución presupuestal de Secretaria general encargado del seguimiento a la ejecución y al Plan Anual de Adquisiciones; por medio del correo electrònico institucional cada lunes de la semana. </t>
  </si>
  <si>
    <t xml:space="preserve">A través de la Subdirección Administrativa y financiera durante el 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</si>
  <si>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 xml:space="preserve">A través de la Subdirección Administrativa y financiera durante el III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</si>
  <si>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 xml:space="preserve">A través de la Subdirección Administrativa y financiera durante el IV trimestre se hizo seguimiento y control periódico a la ejecución presupuestal del Ministerio del Interior y al PAA, se remitió por correo institucional según lo requerido en informe semanal de la ejecución presupuestal del Ministerio del Interior al grupo de Unidad de cumplimiento para el seguimiento a la ejecución presupuestal de Secretaría general encargado del seguimiento a la ejecución; teniendo un balance de una ejecución mensual para un total de 3 en el trimestre. </t>
  </si>
  <si>
    <t>Durante la vigencia 2024  se proyectaron 12 seguimientos a la ejecucion cumpliendo con  la meta trazada inicial del año en el 100% .</t>
  </si>
  <si>
    <t>A través de la Subdirección Administrativa y financiera durante el Itrimestre se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Enero,Febrero,Marzo"</t>
  </si>
  <si>
    <t>En el II trimestre la Subdirección Administrativa y financiera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Abril, Mayo realizado el 4 de Junio debido a contratiempos, y Junio"</t>
  </si>
  <si>
    <t xml:space="preserve">
En el III trimestre la Subdirección Administrativa y financiera hizo seguimiento y control periódico a la ejecución presupuestal del Ministerio del Interior y al PAA, se remitió por correo institucional informe semanal de la ejecución presupuestal del Ministerio del Interior al grupo de Unidad de cumplimiento para el seguimiento a la ejecución presupuestal de Secretaría general encargado del seguimiento a la ejecución y  se realizó 1 seguimiento al Plan Anual de Adquisiciones por mes correspondientes a Julio, Agosto y Septiembre.
</t>
  </si>
  <si>
    <t>Hacer seguimiento y control periódico a la ejecución presupuestal del Ministerio del Interior y al PAA, para el cumplimiento de la misión institucional y las políticas del Gobierno Nacional</t>
  </si>
  <si>
    <t>% de reportes de alertas  seguimiento a la ejecución presupuestal y PAA</t>
  </si>
  <si>
    <t>(Número de reportes de alertas seguimientos realizados al presupuesto y al PAA en periodo/ Total de reportes de alertas de seguimientos programados en el periodo) *100</t>
  </si>
  <si>
    <t>Gestión Financiera</t>
  </si>
  <si>
    <t xml:space="preserve"> Gestión presupuestal y eficiencia del gasto público</t>
  </si>
  <si>
    <t>Expedir los CDP y RP solicitados por las áreas de responsabilidad</t>
  </si>
  <si>
    <t xml:space="preserve">% de CDP y RP expedidos </t>
  </si>
  <si>
    <t>(% de CDP y RP expedidos en el periodo/ total de CDP y RP solicitados en el periodo)*100</t>
  </si>
  <si>
    <t>Verificar, obligar y pagar las solicitudes de pago radicadas por las áreas de responsabilidad</t>
  </si>
  <si>
    <t>% de pagos realizados en el periodo</t>
  </si>
  <si>
    <t xml:space="preserve">
 (Número de pagos oportunos realizados/Total  de solicitudes de pagos radicados)*100
</t>
  </si>
  <si>
    <t xml:space="preserve"> (Número de pagos oportunos realizados/Total  de solicitudes de pagos radicados)*100
</t>
  </si>
  <si>
    <t xml:space="preserve">Radicación de cuentas </t>
  </si>
  <si>
    <t>Informe de cuentas</t>
  </si>
  <si>
    <t>Porcentaje de cuentas aprobadas</t>
  </si>
  <si>
    <t xml:space="preserve">
(Número de cuentas efectivas/ numero de cuentas radicadas)*100</t>
  </si>
  <si>
    <t>Subdirección de Gestión Contractual</t>
  </si>
  <si>
    <t>Garantizar la transparencia de la contratación estatal</t>
  </si>
  <si>
    <t xml:space="preserve">Porcentaje de contratos y/o convenios publicados </t>
  </si>
  <si>
    <t>Número de Contratos y/o Convenios publicados / Número de Contratos y/o Convenios que requieren ser reportados s*100</t>
  </si>
  <si>
    <t xml:space="preserve">Durante el periodo a reportar la Subdirección de Gestión Contractual, en cumplimiento a lo estipulado en el estatuto general de contratación realizó la publicación de 1053 procesos de contratación en las plataformas habilitadas por Colombia Compra Eficiente </t>
  </si>
  <si>
    <t xml:space="preserve">Durante el periodo a reportar la Subdirección de Gestión Contractual, en cumplimiento a lo estipulado en el estatuto general de contratación realizó la publicación de 375 procesos de contratación en las plataformas habilitadas por Colombia Compra Eficiente, 94 del mes de abril, 23 del mes de mayo y 258 del mes de junio. </t>
  </si>
  <si>
    <t xml:space="preserve">Durante el periodo a reportar la Subdirección de Gestión Contractual, en cumplimiento a lo estipulado en el estatuto general de contratación realizó la publicación de 693 procesos de contratación en las plataformas habilitadas por Colombia Compra Eficiente, 253 del mes de julio, 264 del mes de agosto y 176 del mes de septiembre. </t>
  </si>
  <si>
    <t>Durante el periodo a reportar, la Subdirección de Gestión Contractual en cumplimiento a lo estipulado en el estatuto general de contratación pública, realizó la publicación de 246 procesos de contratación en las plataformas habilitadas por Colombia Compra Eficiente, así: 124 en el mes de octubre,  94 en noviembre y 28 en diciembre.</t>
  </si>
  <si>
    <t>Durante el año 2023, el Ministerio del Interior a través de la Subdirección de Gestión Contractual, publicó en las plataformas habilitadas por Colombia Compra Eficiente 2367 contratos/convenios de un total de 2367 contratos/convenios suscritos; para un cumplimiento del 100% de la meta de la iniciativa</t>
  </si>
  <si>
    <t xml:space="preserve">Durante el periodo a reportar, el Ministerio del Interior a través de la Subdirección de Gestión Contractual, publicó en las plataformas habilitadas por Colombia Compra eficiente 1046 contratos/convenios de un total de 1046, para el cumplimiento del 100% de la meta de la iniciativa. </t>
  </si>
  <si>
    <t xml:space="preserve">Durante los meses de abril, mayo y junio de 2024 respectivamente, el Ministerio del Interior a través de la Subdirección de Gestión Contractual, publicó en las plataformas habilitadas por Colombia Compra eficiente 238 contratos/convenios de un total de 238, para el cumplimiento del 100% de la meta de la iniciativa. </t>
  </si>
  <si>
    <t xml:space="preserve">Durante los meses de julio, agosto y septiembre de 2024 respectivamente, el Ministerio del Interior a través de la Subdirección de Gestión Contractual, publicó en las plataformas habilitadas por Colombia Compra eficiente 97 contratos/convenios de un total de 97, para el cumplimiento del 100% de la meta de la iniciativa. </t>
  </si>
  <si>
    <t>Durante el año 2024, el Ministerio del Interior a través de la Subdirección de Gestión Contractual, publicó en las plataformas habilitadas por Colombia Compra Eficiente 2228 contratos/convenios de un total de 2228 contratos/convenios suscritos; para un cumplimiento del 100% de la meta de la iniciativa</t>
  </si>
  <si>
    <t xml:space="preserve">Durante los meses de Enero, Febrero y Marzo de 2025 respectivamente, el Ministerio del Interior a través de la Subdirección de Gestión Contractual, publicó en las plataformas habilitadas por Colombia Compra eficiente 655 contratos/convenios de un total de 655, para el cumplimiento del 100% de la meta de la iniciativa. </t>
  </si>
  <si>
    <t>Durante los meses de abril, mayo y junio de 2025 respectivamente, el Ministerio del Interior a través de la Subdirección de Gestión Contractual, publicó en las plataformas habilitadas por Colombia Compra Eficiente 500 contratos/convenios, de un total de 500, para el cumplimiento del 100% de la meta de la iniciativa.</t>
  </si>
  <si>
    <t>Durante los meses de julio a septiembre de 2025, el Ministerio del Interior a través de la subdirección de gestión contractual, publicó en las plataformas habilitadas por Colombia Compra Eficiente 385 contratos/convenios, para el cumplimiento del 100% de la meta de la iniciativa.</t>
  </si>
  <si>
    <t>Reportar mensualmente a la Contraloría General de la República, mediante su aplicativo del SIRECI, los contratos y/o convenios suscritos por el Ministerio del Interior.</t>
  </si>
  <si>
    <t>Certificaciones</t>
  </si>
  <si>
    <t xml:space="preserve">
Certificaciones Sistema de Rendición Electrónica de la Cuenta e Informes - SIRECI expedidas</t>
  </si>
  <si>
    <t>Sumatoria del número de certificaciones de informes reportados en SIRECI</t>
  </si>
  <si>
    <t>Gestión de bienes y servicios</t>
  </si>
  <si>
    <t>Direccionamiento Estratégico</t>
  </si>
  <si>
    <t>Compras y contratación pública</t>
  </si>
  <si>
    <t>Remitir a la Oficina de Información Pública las certificaciones de los reportes efectuados en el Sistema de Rendición Electrónica de la Cuenta e Informes - SIRECI,  de la Contraloría General de la República.</t>
  </si>
  <si>
    <t>Correos</t>
  </si>
  <si>
    <t>Soporte de remisión de certificaciones a la Oficina de Información Pública</t>
  </si>
  <si>
    <t>Sumatoria del número de certificaciones Sistema de Rendición Electrónica de la Cuenta e Informes - SIRECI  remitidas</t>
  </si>
  <si>
    <t>Publicar los contratos y/o convenios en la plataforma establecida por  "Colombia Compra Eficiente".</t>
  </si>
  <si>
    <t>Base de datos de Excel con los contratos y/o convenios</t>
  </si>
  <si>
    <t xml:space="preserve">Contratos y/o convenios publicados en la plataforma establecida por  "Colombia Compra Eficiente" </t>
  </si>
  <si>
    <t>(Sumatoria de contratos y/o convenios publicados en plataforma / Contratos y/o convenios suscritos)*100</t>
  </si>
  <si>
    <t xml:space="preserve">Verificar el cumplimiento de la planeación de las areas solicitantes de los procesos de contratación </t>
  </si>
  <si>
    <t>Porcentaje de contratos y/o convenios verificados</t>
  </si>
  <si>
    <t>Número de Contratos y/o Convenios verificados/ Número de Contratos y/o Convenios suscritos*100</t>
  </si>
  <si>
    <t xml:space="preserve">Previa la publicación de cada uno de los procesos de contratación los abogados de la Subdirección de Gestión Contractual realizaron la verificación de la coherencia de 1053 procesos con el Plan Anual de Adquisiciones </t>
  </si>
  <si>
    <t xml:space="preserve">Previa la publicación de cada uno de los procesos de contratación los abogados de la Subdirección de Gestión Contractual realizaron la verificación de la coherencia de 375 procesos con el Plan Anual de Adquisiciones,  94 del mes de abril, 23 del mes de mayo y 258 del mes de junio. </t>
  </si>
  <si>
    <t xml:space="preserve">Previa la publicación de cada uno de los procesos de contratación los abogados de la Subdirección de Gestión Contractual realizaron la verificación de la coherencia de 693 procesos con el Plan Anual de Adquisiciones,  253 del mes de julio, 264 del mes de agosto y 176 del mes de septiembre. </t>
  </si>
  <si>
    <t>Previa la publicación de cada uno de los procesos de contratación, los abogados de la subdirección de gestión contractual, realizaron la verificación de la coherencia de los 246 procesos de contratación con el Plan anual de adquisiciones, así: 124 en el mes de octubre,  94 en noviembre y 28 en diciembre.</t>
  </si>
  <si>
    <t>Previa la publicación de cada uno de los procesos de contratación, los abogados de la subdirección de gestión contractual, realizaron la verificación de la coherencia de los 2367 procesos de contratación celebrados en la vigencia 2023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</si>
  <si>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1046 procesos de contratación celebrados entre el mes de enero y marzo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</si>
  <si>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238 procesos de contratación celebrados entre los meses de abril a junio de 2024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</si>
  <si>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97 procesos de contratación celebrados entre los meses de julio a septiembre de 2024 con el Plan Anual de Adquisiciones, para un cumplimiento del 100% de la meta de la iniciativa </t>
  </si>
  <si>
    <t>Previa la publicación de cada uno de los procesos de contratación, los abogados de la subdirección de gestión contractual, realizaron la verificación de la coherencia de los 2228 procesos de contratación celebrados en la vigencia 2024 con el Plan anual de adquisiciones, para un cumplimiento del 100% de la meta de la iniciativa</t>
  </si>
  <si>
    <t xml:space="preserve">Previa la publicación de cada uno de los procesos de contratación, los abogados de la subdirección de gestión contractual, realizaron la verificación de la coherencia de los 655 procesos de contratación celebrados entre los meses de octubre a diciembre de 2025 con el Plan Anual de Adquisiciones, para un cumplimiento del 100% de la meta de la iniciativa </t>
  </si>
  <si>
    <t xml:space="preserve">Previa la publicación de cada uno de los procesos de contratación, los abogados de la subdirección de gestión contractual, realizaron la verificación de la coherencia de los 500 procesos de contratación celebrados entre los meses de abril a junio de 2025 con el Plan Anual de Adquisiciones, para un cumplimiento del 100% de la meta de la iniciativa </t>
  </si>
  <si>
    <t>Previa la publicación de cada uno de los procesos de contratación, los abogados de la Subdirección de Gestión Contractual, realizaron la verificación de la coherencia de los 385 procesos de contratación celebrados entre los meses de julio, agosto y septiembre de 2025 respectivamente, con el Plan Anual de Adquisiciones, para un cumplimiento del 100% de la meta de la iniciativa.</t>
  </si>
  <si>
    <t>Verificar las modificaciones del Plan Anual de Adquisiciones previa la publicación del mismo.</t>
  </si>
  <si>
    <t>Matriz de seguimiento de las modificaciones al Plan Anual de Adquisiciones revisadas</t>
  </si>
  <si>
    <t>Modificaciones al Plan Anual de Adquisiciones revisadas</t>
  </si>
  <si>
    <t>(Numero de modificaciones revisadas/modificaciones solicitadas)*100</t>
  </si>
  <si>
    <t xml:space="preserve">Porcentaje de contratos y/o convenios verificados </t>
  </si>
  <si>
    <t>Verificar, previo a publicación, la coherencia entre los contratos/convenios y el Plan Anual de Adquisiciones (PAA) actualizado.</t>
  </si>
  <si>
    <t>Base de datos de Excel con los enlaces de publicación de los contratos y/o convenios</t>
  </si>
  <si>
    <t>Contratos y/o convenios publicados en la plataforma establecida por  "Colombia Compra Eficiente"</t>
  </si>
  <si>
    <t>(Sumatoria de contratos y/o convenios revisados / Sumatoria de contratos y/o convenios publicados)</t>
  </si>
  <si>
    <t>Remitir fichas informativas a los supervisores recordando la publicacion de los informes de ejecución en la plataforma SECOP</t>
  </si>
  <si>
    <t>Fichas informativas</t>
  </si>
  <si>
    <t>Sumatoria de las fichas informativas socializadas dirigidas a los supervisores de contratos y/o convenios del Ministerio del Interior</t>
  </si>
  <si>
    <t>Sumatoria de las fichas informativas socializadas dirigidas a los supervisores de contratos y/o convenios</t>
  </si>
  <si>
    <t xml:space="preserve">Fortalecer el control y seguimiento de los contratos y/o convenios suscritos por el Ministerio del Interior 
</t>
  </si>
  <si>
    <t>Capacitaciones a los supervisores de los contratos</t>
  </si>
  <si>
    <t>Número de capacitaciones realizadas a los supervisores</t>
  </si>
  <si>
    <t xml:space="preserve">Durante el primer trimestre la Subdirección de Gestión Contractual Capacito a los supervisores de la Subdirección de Proyectos para la elaboración y proyección de modificaciones contractuales, en cumplimiento del Estatuto General de Contrataación y el Manual de Contratación del Ministerio del Interior. </t>
  </si>
  <si>
    <t xml:space="preserve">Durante el segundo trimestre a reportar se realizó capacitación a los abogados de la Subdirección de Gestión Contractual y al equipo de la Subdirección de Proyectos el 22 de junio de 2023, en la elaboración y proyección de convenios financiados por el Fondo Nacional de Seguridad y Convivencia Ciudadana - FONSECON </t>
  </si>
  <si>
    <t>Durante el tercer trimestre la Subdirección de Gestión Contractual capacitó a los supervisores de la Subdirección de Proyectos en la elaboración y proyección de modificaciones contractuales de los convenios financiados por el Fondo Nacional de Seguridad y Convivencia Ciudadana - FONSECON.</t>
  </si>
  <si>
    <t>Durante el IV trimestre, la subdirección de gestión contractual capacitó a los abogados de la SGC y a los supervisores de convenios de la subdirección de proyectos en los requisitos para liquidar los mismos, conforme la normatividad legal vigente.</t>
  </si>
  <si>
    <t>Durante el año 2023, la subdirección de gestión contractual adelantó 4 capacitaciones a los supervisores de contratos/convenios, en temas relacionados con las responsabilidades del supervisor, modificacioines contractuales y liquidación de contratos; para un cumplimiento del 100% de la meta de la iniciativa</t>
  </si>
  <si>
    <t>Durante el periodo a reportar, la Subdirección de Gestión Contractual adelantó una capacitación a los supervisores de la subdirección de proyectos en temas relacionados con los procesos de incumplimientos; para un cumplimiento del 100% de la meta de la iniciativa</t>
  </si>
  <si>
    <t>Durante los meses de abril a junio de 2024 respectivamente, la Subdirección de Gestión Contractual adelantó tres capacitaciones a los supervisores de contratos en temas relacionados con los análisis del sector y liquidación de convenios; para un cumplimiento del 100% de la meta de la iniciativa</t>
  </si>
  <si>
    <t>Durante los meses de abril a junio de 2024 respectivamente, la Subdirección de Gestión Contractual adelantó tres capacitaciones a los supervisores de contratos en temas relacionados con el seguimiento a la ejecución de contratos y liquidación de convenios; para un cumplimiento del 100% de la meta de la iniciativa</t>
  </si>
  <si>
    <t>Durante el año 2024, la subdirección de gestión contractual adelantó 7 capacitaciones a los supervisores de contratos/convenios, en temas relacionados con las responsabilidades del supervisor, modificacioines contractuales y liquidación de contratos; para un cumplimiento del 100% de la meta de la iniciativa</t>
  </si>
  <si>
    <t>Durante los meses de Enero a Marzo de 2025 respectivamente, la Subdirección de Gestión Contractual adelantó dos capacitaciones a los supervisores de contratos en temas relacionados con el seguimiento a la ejecución de contratos y liquidación de convenios; para un cumplimiento del 100% de la meta de la iniciativa</t>
  </si>
  <si>
    <t>Durante los meses de abril a junio de 2025, la Subdirección de Gestión Contractual adelantó 5 capacitaciones a los supervisores de contratos en temas relacionados con el seguimiento a la ejecución y liquidación de convenios; para un cumplimiento del 100% de la meta de la iniciativa</t>
  </si>
  <si>
    <t>Durante los meses de julio, agosto y septiembre de 2025 respectivamente, la Subdirección de Gestión Contractual adelantó 3 capacitaciones a los supervisores de contratos en temas relacionados con el seguimiento a la ejecución y liquidación de convenios, para un cumplimiento del 100% de la meta de la iniciativa.</t>
  </si>
  <si>
    <t>Realizar capacitaciones dirigidas a supervisores y apoyos a la supervisión de contratos/convenios del Ministerio del Interior, sobre seguimiento, modificación, liquidación, riesgos contractuales, transparencia y buen gobierno.</t>
  </si>
  <si>
    <t>Listas de asistencia a las capacitaciones</t>
  </si>
  <si>
    <t>Sumatoria de las capacitaciones realizadas a supervisores y apoyos a la supervisión de los contratos y/o convenios del Ministerio del Interior</t>
  </si>
  <si>
    <t>Sumatoria del número de capacitaciones realizadas a los supervisores de los contratos y/o convenios</t>
  </si>
  <si>
    <t>Remitir comunicaciones/memorandos a los jefes de las dependencias y  Supervisores informando sobre los contratos y/o convenios pendientes de liquidar.</t>
  </si>
  <si>
    <t>Comunicaciones</t>
  </si>
  <si>
    <t>Comunicaciones remitidas a la los jefes de las dependencias y  Supervisores informando de los contratos y/o convenios pendientes por liquidar.</t>
  </si>
  <si>
    <t>Sumatoria del número comunicaciones remitidas a las dependencias de contratos y/o convenios pendientes por liquidar</t>
  </si>
  <si>
    <t>Dirección de Asuntos Legislativos</t>
  </si>
  <si>
    <t>Henry Hernando Luna Salcedo</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</si>
  <si>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</si>
  <si>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</si>
  <si>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</si>
  <si>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</si>
  <si>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Garantizar la seguridad jurídica y la efectiva divulgación normativa de las ramas del poder público- Seguridad Normativa</t>
  </si>
  <si>
    <t>1. Fortalecer las relaciones entre el Gobierno y el Congreso de la Republica, con el fin de impulsar la capacidad de gestión legislativa en cumplimiento de los diferentes temas de la agenda pública: Asuntos Legislativos</t>
  </si>
  <si>
    <t xml:space="preserve">Mejorar capacidad técnica institucional para responder a las necesidades del Ministerio del Interior en el relacionamiento con el Congreso de la República. </t>
  </si>
  <si>
    <t>Documentos  relacionados con el trámite de los proyectos de ley</t>
  </si>
  <si>
    <t>No Documentos  relacionados con el trámite de los proyectos de ley</t>
  </si>
  <si>
    <t xml:space="preserve">Durante el periodo se realizaron la fichas bullets  de los proyectos en trámite en el Congreso de  interés del Gobierno Nacional entre los cuales se destacan.
PL 338-23C PL 274-23S Plan Nacional de Desarrollo
PL 342-23C PL 278-23S Adición presupuestal
PL 345-23C Subrogación uterina
</t>
  </si>
  <si>
    <t>Durante el periodo se adelantaron 18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</si>
  <si>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 xml:space="preserve">Durante el periodo se adelantaron 46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  </t>
  </si>
  <si>
    <t>Durante el periodo se adelantaron 39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</si>
  <si>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la vigencia 2023 se adelantaron 119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</si>
  <si>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el periodo se adelantaron 21 documentos de planeación entre los que se destacan, agendas legislativas semanales, resúmenes de las sesiones, los cuales permiten generar estrategias para el seguimiento e impulso de la agenda Legislativa en el Gobierno Nacional, en el Congreso de la Republica
Enero: 4
Febrero:8
Marzo:9</t>
  </si>
  <si>
    <t>Durante el periodo se adelantaron 16 documentos de planeación entre los que se destacan, agendas legislativas semanales, resúmenes de las sesiones, los cuales permiten generar estrategias para el seguimiento e impulso de la agenda Legislativa en el Gobierno Nacional, en el Congreso de la Republica
Abril: 6
Mayo:6
Junio:4</t>
  </si>
  <si>
    <t>Durante el periodo se adelantaron 23 documentos de planeación entre los que se destacan, agendas legislativas semanales, resúmenes de las sesiones, los cuales permiten generar estrategias para el seguimiento e impulso de la agenda Legislativa en el Gobierno Nacional, en el Congreso de la Republica
Julio:5
Agosto:9
Septiembre:9</t>
  </si>
  <si>
    <t xml:space="preserve">Durante el periodo se adelantaron 24 documentos de planeación entre los que se destacan, agendas legislativas semanales, resúmenes de las sesiones, los cuales permiten generar estrategias para el seguimiento e impulso de la agenda Legislativa en el Gobierno Nacional, en el Congreso de la Republica
</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</si>
  <si>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</si>
  <si>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Durante el periodo se elaboraron 9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Marzo:4</t>
  </si>
  <si>
    <t>Durante el periodo se elaboraron 20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Abril: 7
Mayo: 8
Junio:5</t>
  </si>
  <si>
    <t>Durante el periodo se elaboraron 16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Julio:5
Agosto:  5
Septiembre: 6</t>
  </si>
  <si>
    <t>Generar documentos de análisis, acción y seguimiento estratégico para los proyectos priorizados por el Ministerio del Interior y el Gobierno Nacional</t>
  </si>
  <si>
    <t xml:space="preserve">
Documentos Realizados</t>
  </si>
  <si>
    <t>Documentos de información generados, relacionadas con el trámite de los proyectos de ley</t>
  </si>
  <si>
    <t>Número de documentos de información generados,  relacionadas con el trámite de los proyectos de ley realizados</t>
  </si>
  <si>
    <t xml:space="preserve">Inversión </t>
  </si>
  <si>
    <t xml:space="preserve">
C-3799-1000-18-53105B-3799054-02</t>
  </si>
  <si>
    <t xml:space="preserve">Fortalecimiento de las relaciones entre el Gobierno Nacional y el Congreso de la República en los procesos técnicos y administrativos a nivel nacional </t>
  </si>
  <si>
    <t>Gestión política y gobierno</t>
  </si>
  <si>
    <t xml:space="preserve">Gestión don valores para resultados  </t>
  </si>
  <si>
    <t xml:space="preserve">Fortalecimiento institucional y simplificación de procesos </t>
  </si>
  <si>
    <t>Documentos de Planeación relacionadas con el trámite de los proyectos de ley</t>
  </si>
  <si>
    <t xml:space="preserve">No Documentos de Planeación Elaborados </t>
  </si>
  <si>
    <t>Realizar y Participar en  foros, socializaciones, sesiones de trabajo y discusión de las iniciativas legislativas  de interés del Gobierno Nacional con los grupos de interés.</t>
  </si>
  <si>
    <t xml:space="preserve">Sesiones de trabajo Realizadas </t>
  </si>
  <si>
    <t>Sesiones de trabajo y socialización de los Proyectos de Ley realizadas</t>
  </si>
  <si>
    <t>Número sesiones de trabajo y socialización de los Proyectos de Ley realizadas</t>
  </si>
  <si>
    <t>Lideraremos la Agenda Legislativa a través de la radicación y seguimiento de reformas para el logro de la Paz Total y el Cambio para la Vida.</t>
  </si>
  <si>
    <t>Reuniones de seguimiento y coordinación de la agenda legislativa</t>
  </si>
  <si>
    <t>No Reuniones de seguimiento y coordinación de la agenda legislativa</t>
  </si>
  <si>
    <t xml:space="preserve">Durante el periodo se adelantaron las reuniones semanales de seguimiento y coordinación de la agenda legislativa 
Enero  7
Febrero 8
Marzo 10
</t>
  </si>
  <si>
    <t xml:space="preserve">Durante el periodo se adelantaron 23 reuniones  de seguimiento y coordinación de la agenda legislativa 
Abril  8
Mayo 8
Junio 7
</t>
  </si>
  <si>
    <t>Durante el periodo se adelantaron 30 reuniones  de seguimiento y coordinación de la agenda legislativa 
Julio  8
Agosto  8
Septiembre  14</t>
  </si>
  <si>
    <t>Durante el periodo se adelantaron 23 reuniones  de seguimiento y coordinación de la agenda legislativa 
Octubre: 8
Noviembre:10
Diciembre:5</t>
  </si>
  <si>
    <t xml:space="preserve">En cumplimiento a lo estipulado en esta iniciativa desde la Dirección de Asuntos Legislativos se adelantaron 102, reuniones de seguimiento, coordinación e impulso de la agenda legislativa del Gobierno Nacional, en trámite en el Congreso de la República </t>
  </si>
  <si>
    <t>Durante el periodo se adelantaron las reuniones semanales de seguimiento y coordinación de la agenda legislativa 
Abril: 6
Mayo:10
Junio:7</t>
  </si>
  <si>
    <t>Durante el periodo se adelantaron las reuniones semanales de seguimiento y coordinación de la agenda legislativa 
Julio:7
Agosto:8
Septiembre:10</t>
  </si>
  <si>
    <t>Durante el periodo se adelantaron las reuniones semanales de seguimiento y coordinación de la agenda legislativa 
Octubre :11
Noviembre :9
Diciembre:4</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</si>
  <si>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</si>
  <si>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el periodo se adelantaros 12 reuniones de articulación de Agenda Legislativa y Control Político.
Enero: 1
Febrero:3
Marzo:8 </t>
  </si>
  <si>
    <t>Durante el periodo se adelantaros 12 reuniones de articulación de Agenda Legislativa y Control Político.
Abril: 3
Mayo: 4
Junio:5</t>
  </si>
  <si>
    <t>Durante el periodo se adelantaros 15reuniones de articulación de Agenda Legislativa y Control Político.
Julio:9
Agosto: 3
Septiembre: 3</t>
  </si>
  <si>
    <t xml:space="preserve">Realizar reuniones con los enlaces legislativos de las entidades del Gobierno Nacional con el fin de establecer estrategias para  los proyectos priorizados por cada una de las carteras. </t>
  </si>
  <si>
    <t>Listas de Asistencia y Actas de Reunión</t>
  </si>
  <si>
    <t>Reuniones realizadas con el fin establecer estrategias para los  proyectos priorizados del  Gobierno Nacional</t>
  </si>
  <si>
    <t>Número de reuniones  con los enlaces Realizadas</t>
  </si>
  <si>
    <t xml:space="preserve">Realizar reuniones semanales con el equipo legislativo del Ministerio del Interior,  para establecer acciones frente a los proyectos priorizados. </t>
  </si>
  <si>
    <t xml:space="preserve">Reuniones realizadas para establecer acciones frente a las prioridades del Ministerio del Interior </t>
  </si>
  <si>
    <t xml:space="preserve">Número de reuniones  realizadas con el equipo legislativo  del Mininterior </t>
  </si>
  <si>
    <t>Optimizar los procesos administrativos de la Dirección de Asuntos Legislativos en el tratamiento de flujos de información y respuesta a solicitudes</t>
  </si>
  <si>
    <t>Servicios de información actualizados.</t>
  </si>
  <si>
    <t>No Servicios de información actualizados.</t>
  </si>
  <si>
    <t xml:space="preserve">
Aunque esta iniciativa se encuentre  programa para el tercer y cuarto trimestre durante el primer trimestre se adelantaron reuniones con la agencia Nacional Digital  y la Oficina de Información pública donde se evaluaron las distintas alternativas para adelantar  el rediseño y mantenimiento de la plataforma legislapp 
</t>
  </si>
  <si>
    <t>Esta iniciativa se encuentra contemplada para el tercer trimestre, sin embargo durante el periodo fue realizado por la oficina de información pública el diagnóstico técnico del estado de la plataforma Legislapp y se comenzó con la elaboración de la ficha técnica donde se ponen en conocimiento los ajustes que se desena realizar.</t>
  </si>
  <si>
    <t xml:space="preserve">Durante el periodo se realizo la implementación de  mejoras del banco de respuestas, diseñando tablas dinámicas que nos permiten tener el balance del estado de las peticiones, adicional se adelantaron los estudios precontractuales para el rediseño y mantenimiento de la plataforma legislapp 2.0 </t>
  </si>
  <si>
    <t>El proceso Legisllapp se proyectó a partir del 17/08/2023 con la elaboración de los documentos técnicos previos, aprobado por comité de contratación el 17/11/2023 y aceptado por el contratista el 21/11/2023; finalmente el proceso fue rechazado por CINTEL el 13/12/2023, pues se prolongó esta decisión a tal punto, en que por los términos de ejecución era imposible ejecutar el objeto contractual.</t>
  </si>
  <si>
    <t>Durante la vigencia 2023 se adelanto el rediseño del la matriz banco de respuestas con la cual  se logro implementar módulos que permiten tener un balance, de los estados de las peticiones en tramite por el grupo de control político</t>
  </si>
  <si>
    <t xml:space="preserve">
Durante el periodo se realizo la implementación de la matriz banco de respuestas 2024 , diseñando tablas dinámicas que nos permiten tener el balance del estado de las peticiones.</t>
  </si>
  <si>
    <t xml:space="preserve">Durante el periodo se realizo el flujograma de la plataforma legislapp con el fin de identificar las necesidades funcionales de la misma </t>
  </si>
  <si>
    <t>Durante el periodo se solicitó el CDP para el proceso de hiperconvergencia, necesario para contar con las licencia y capacidad para el desarrollo de la plataforma Legislapp 
Desde la dirección se realizo un cronograma plan de choque en el cual se contemplan las faces precontractual, contractual y postcontractual</t>
  </si>
  <si>
    <t xml:space="preserve">Durante el periodo se adelantaron sesiones de trabajo con las oficina de información publica en las cuales  se dio viabilidad  el desarrollo de la plataforma Legislapp, atendiendo los nuevos lineamientos de desarrollo Inhause </t>
  </si>
  <si>
    <t xml:space="preserve">Durante la vigencia se logro la implantación de la matriz banco de respuestas el cual permite realizar un seguimiento detallado al estado de las peticiones Remitidas por el Congreso de la Republica </t>
  </si>
  <si>
    <t>La iniciativa no tiene programación de meta en el primer trimestre, sin embargo, se realizó socialización de la ficha de viabilidad técnica del desarrollo de la plataforma Legisllapp, aprobada por la oficina de información publica con el Viceministro General, con el fin de establecer la ruta para el desarrollo de la misma.</t>
  </si>
  <si>
    <t>La iniciativa no tiene programación de meta en el segundo  trimestre, sin embargo, se realizo la actualización de la ficha de viabilidad técnica para el desarrollo de la plataforma legislapp, para la cual se adelantaron mesas de trabajo con la Oficina de Información publica, dejando en firme la ficha aprobado para el inicio de la plataforma legislapp</t>
  </si>
  <si>
    <t>Durante el periodo se llevó a cabo la implementación de la matriz “Banco de Respuestas”, una herramienta diseñada para fortalecer el seguimiento y la gestión de las peticiones que son allegadas a la Dirección de Asuntos Legislativos. Esta matriz permite registrar, clasificar y monitorear el total de solicitudes recibidas, garantizando una trazabilidad efectiva de las respuestas</t>
  </si>
  <si>
    <t xml:space="preserve">Rediseño y Mantenimiento de la Plataforma Legislapp </t>
  </si>
  <si>
    <t xml:space="preserve">Plataforma Legislapp </t>
  </si>
  <si>
    <t xml:space="preserve">Rediseño y mantenimiento   de la plataforma Legislapp.  </t>
  </si>
  <si>
    <t>Porcentaje de avance en el mantenimiento y rediseño de la plataforma Legislapp</t>
  </si>
  <si>
    <t>Capacidad</t>
  </si>
  <si>
    <t>C-3799-1000-18-53105B-3799060-02</t>
  </si>
  <si>
    <t>OAP 20251212: El equipo de DAL, con corte del III trimestre de 2025, ha avanzado un 25% en esta actividad. Por lo tanto, se plantea que sea una Capacidad que tiene como linea base 25%.</t>
  </si>
  <si>
    <t>Actualizar periódicamente la plataforma de seguimiento de Proyectos de Ley y de Acto Legislativo del Ministerio del Interior
–Legislapp-.</t>
  </si>
  <si>
    <t xml:space="preserve">Plataforma Legislapp Actualizada </t>
  </si>
  <si>
    <t xml:space="preserve">Proyectos de Ley y Actos Legislativos registrados </t>
  </si>
  <si>
    <t>(Numero de proyectos registrados en la plataforma Legislapp/Numero de proyectos de Ley Radicados por el Gobierno Nacional) *100%</t>
  </si>
  <si>
    <t>Actualizar periódicamente el banco de respuestas a derechos de petición, control político y conceptos técnicos y jurídicos.</t>
  </si>
  <si>
    <t xml:space="preserve">Matriz Banco de Respuestas Actualizada </t>
  </si>
  <si>
    <t xml:space="preserve">Porcentajes de peticiones registradas </t>
  </si>
  <si>
    <t>(No de peticiones remitidas por el Congreso de la Republica registradas en el banco de respuestas  / No de peticiones remitidas por el Congreso de la Republica al Ministerio del Interior) * 100%</t>
  </si>
  <si>
    <t xml:space="preserve">Atender oportunamente el 100 % de las peticiones remitidas por el Congreso de la República al Ministerio del Interior </t>
  </si>
  <si>
    <t>Respuestas de control político  al Congreso de la Republica</t>
  </si>
  <si>
    <t>(No de Peticiones Atendidas / Numero de peticiones Remitidas por el Congreso de la Republica) * 100</t>
  </si>
  <si>
    <t xml:space="preserve">Durante el periodo se atendieron 6 cuestionarios de debates de control político remitidos por el Congreso de la Republica 
Marzo 6
</t>
  </si>
  <si>
    <t>Durante el periodo se dio respuesta a 13 cuestionarios de debates de control político remitidos por el congreso de la republica 
Abril : 5
Mayo: 4
Junio: 4</t>
  </si>
  <si>
    <t>Durante el periodo se atendieron 29 cuestionarios de debates de control político remitidos por el Congreso de la Republica 
Julio  1
Agosto  22
Septiembre  6</t>
  </si>
  <si>
    <t>Durante el periodo se atendieron 7 cuestionarios de debates de control político remitidos por el Congreso de la Republica 
Octubre: 1
Noviembre:5
Diciembre:1</t>
  </si>
  <si>
    <t xml:space="preserve">Durante la vigencia 2023 se atendieron oportunamente el 100% (55 solicitudes) de los debates cuestionarios de control político remitidos por el Congreso de la Republica y se generaron estrategias para la articulación efectiva con las áreas del ministerio del interior </t>
  </si>
  <si>
    <t>Durante el periodo se atendieron 15 cuestionarios de debates de control político remitidos por el Congreso de la Republica 
Enero: 1
Febrero: 4
Marzo:9</t>
  </si>
  <si>
    <t>Durante el periodo se atendieron cuestionarios de debates de control político remitidos por el Congreso de la Republica 
Abril: 5
Mayo: 12
Junio:4</t>
  </si>
  <si>
    <t>Durante el periodo se atendieron 23 cuestionarios de debates de control político remitidos por el Congreso de la Republica 
Julio 0
Agosto  16
Septiembre 7</t>
  </si>
  <si>
    <t>Durante el periodo se atendieron 26 cuestionarios de debates de control político remitidos por el Congreso de la Republica 
Octubre: 14
Noviembre: 8
Diciembre: 4</t>
  </si>
  <si>
    <t xml:space="preserve">Durante la vigencia 2025 se atendieron oportunamente los diabetes de control político remitidos por el Congreso de la Republica al ministerio del interior  </t>
  </si>
  <si>
    <t>Durante el periodo se atendieron el 100 % de las peticiones allegadas a la Dirección de Asuntos Legislativos.
Enero: 65
Febrero: 95
Marzo: 77</t>
  </si>
  <si>
    <t>Durante el periodo se tramito internamente 100 % de las peticiones allegadas a la Dirección de Asuntos Legislativos.
Abril: 87
Mayo: 185
Junio:142
Es importante mencionar que la respuesta de las peticiones depende de la remisión oportuna de la información de las áreas del ministerio según sus competencias</t>
  </si>
  <si>
    <t>Durante el periodo se tramito internamente 100 % de las peticiones allegadas a la Dirección de Asuntos Legislativos.
Julio: 144
Agosto: 118
Septimbre:113
Es importante mencionar que la respuesta de las peticiones depende de la remisión oportuna de la información de las áreas del ministerio según sus competencias</t>
  </si>
  <si>
    <t>Atender el 100% los cuestionarios de control político recibidos, (Solicitud de Insumos a las areas del Ministerior del Interior)</t>
  </si>
  <si>
    <t xml:space="preserve">Peticiones Atendidas </t>
  </si>
  <si>
    <t>Atender el  100% los cuestionarios de control político recibidos</t>
  </si>
  <si>
    <t>(Número de cuestionarios de control político atendidos/ Número de cuestionarios allegados) *100%</t>
  </si>
  <si>
    <t>Atender el 100% derechos de petición de congresistas (Solicitud de Insumos a las areas del Ministerior del Interior)</t>
  </si>
  <si>
    <t>Atender el 100% derechos de petición de congresistas</t>
  </si>
  <si>
    <t>(Número de derechos de petición atendidos/Numero de derechos de petición allegados) *100%</t>
  </si>
  <si>
    <t>Dirección para la Democracia, la Participación Ciudadana y la Acción Comunal</t>
  </si>
  <si>
    <t>Paula Andrea Sierra Palencia</t>
  </si>
  <si>
    <r>
      <rPr>
        <b/>
        <sz val="8"/>
        <rFont val="Aptos Narrow"/>
        <family val="2"/>
        <scheme val="minor"/>
      </rPr>
      <t xml:space="preserve">14. </t>
    </r>
    <r>
      <rPr>
        <sz val="8"/>
        <rFont val="Aptos Narrow"/>
        <family val="2"/>
        <scheme val="minor"/>
      </rPr>
      <t>Una sociedad para la vida, garante de derechos y en condiciones de igualdad hasta que la dignidad se haga costumbre</t>
    </r>
  </si>
  <si>
    <r>
      <rPr>
        <b/>
        <sz val="8"/>
        <rFont val="Aptos Narrow"/>
        <family val="2"/>
        <scheme val="minor"/>
      </rPr>
      <t xml:space="preserve">II. </t>
    </r>
    <r>
      <rPr>
        <sz val="8"/>
        <rFont val="Aptos Narrow"/>
        <family val="2"/>
        <scheme val="minor"/>
      </rPr>
      <t xml:space="preserve">Colombia, Sociedad para la Vida 
</t>
    </r>
    <r>
      <rPr>
        <b/>
        <sz val="8"/>
        <rFont val="Aptos Narrow"/>
        <family val="2"/>
        <scheme val="minor"/>
      </rPr>
      <t>3.</t>
    </r>
    <r>
      <rPr>
        <sz val="8"/>
        <rFont val="Aptos Narrow"/>
        <family val="2"/>
        <scheme val="minor"/>
      </rPr>
      <t xml:space="preserve"> De la desigualdad hacia una sociedad garante de derechos: Haremos realidad la Constitución del 91 por fuera del negocio
</t>
    </r>
    <r>
      <rPr>
        <b/>
        <sz val="8"/>
        <rFont val="Aptos Narrow"/>
        <family val="2"/>
        <scheme val="minor"/>
      </rPr>
      <t>4.</t>
    </r>
    <r>
      <rPr>
        <sz val="8"/>
        <rFont val="Aptos Narrow"/>
        <family val="2"/>
        <scheme val="minor"/>
      </rPr>
      <t xml:space="preserve"> Democratización del Estado, libertades fundamentales y agenda internacional para la vida</t>
    </r>
  </si>
  <si>
    <r>
      <rPr>
        <b/>
        <sz val="8"/>
        <color theme="1"/>
        <rFont val="Aptos Narrow"/>
        <family val="2"/>
        <scheme val="minor"/>
      </rPr>
      <t>5.</t>
    </r>
    <r>
      <rPr>
        <sz val="8"/>
        <color theme="1"/>
        <rFont val="Aptos Narrow"/>
        <family val="2"/>
        <scheme val="minor"/>
      </rPr>
      <t xml:space="preserve"> Convergencia regional
</t>
    </r>
    <r>
      <rPr>
        <b/>
        <sz val="8"/>
        <color theme="1"/>
        <rFont val="Aptos Narrow"/>
        <family val="2"/>
        <scheme val="minor"/>
      </rPr>
      <t xml:space="preserve">6. </t>
    </r>
    <r>
      <rPr>
        <sz val="8"/>
        <color theme="1"/>
        <rFont val="Aptos Narrow"/>
        <family val="2"/>
        <scheme val="minor"/>
      </rPr>
      <t xml:space="preserve">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t>
    </r>
  </si>
  <si>
    <t>6. Promover la democracia, la participación política y el respeto por la libertad de cultos, mediante la implementación y articulación de políticas y estrategias orientadas a fortalecer la acción comunal, las veedurías ciudadanas, organizaciones religiosas y demás instancias sociales para el desarrollo comunitario: Democracia, Participación Ciudadana y libertad religiosa y de cultos</t>
  </si>
  <si>
    <t>Propender por la transparencia electoral por medio de la herramienta URIEL</t>
  </si>
  <si>
    <t>Número de actividades para propender por la transparencia electoral realizadas</t>
  </si>
  <si>
    <t>Sumatoria de actividades para propender por la transparencia electoral realizadas</t>
  </si>
  <si>
    <t>I TRIMESTRE: Se efectuaron cuatro actividades para propender por la transparencia electoral por medio de la URIEL - Unidad de Recepción Inmediata para la Transparencia Electoral.  
(Tres informes de la Uriel y una mesa técnica)</t>
  </si>
  <si>
    <t>II TRIMESTRE: Se efectuaron seis actividades en la Ciudad de Bogotá, para propender por la transparencia electoral por medio de la URIEL - Unidad de Recepción Inmediata para la Transparencia Electoral:
*3 informes realizados de las quejas y denuncias recibidas y tramitadas en la plataforma URIEL
* 3 mesas técnicas con las entidades integrantes de URIEL para fortalecer el trabajo articulado con los responsables de la plataforma.
Abril: 2, Mayo: 1, Junio: 3 Total: (6/6)</t>
  </si>
  <si>
    <t>III TRIMESTRE: SE efectuaron 3 actividades para propender por la transparencia electoral por medio de la URIEL (Tres informes de la URIEL)
Julio: 1, Agosto: 1, Septiembre: 1</t>
  </si>
  <si>
    <t>IV TRIMESTRE: SE efectuaron 4 actividades para propender por la transparencia electoral por medio de la URIEL (Tres informes de la URIEL y una mesa técnica con las entidades)
Octubre: 1, Noviembre: 2, Diciembre: 1. Total (4/4)</t>
  </si>
  <si>
    <t xml:space="preserve">Durante el año 2023 se realizaron un total de 17 actividades para propender por la transparencia electoral por medio de la URIEL, correspondiente a 12 informes de la URIEL y 5 mesas técnicas con las entidades responsables. </t>
  </si>
  <si>
    <t>Durante el primer trimestre de 2024 se realizaron un total de 1 actividad para propender por la transparencia electoral por medio de la URIEL correspondiente a 1 informe consolidado trimestral de las quejas allegadas a la Unidad de Recepción Inmediata para la Transparencia Electoral - URIEL</t>
  </si>
  <si>
    <t>Durante el segundo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reuniones con entidades de la URIEL.
Abr: 0, May: 1, Jun: 2</t>
  </si>
  <si>
    <t>Durante el tercer trimestre de 2024 se realizaron un total de 2 actividades para propender por la transparencia electoral por medio de la URIEL correspondiente a 1 informe consolidado trimestral de las quejas allegadas a la Unidad de Recepción Inmediata para la Transparencia Uriel y 1 reunión con entidades de la URIEL.
Jul: 0; Ago: 0; Sept: 2</t>
  </si>
  <si>
    <t>Durante el cuarto trimestre de 2024 se realizaron un total de  3 actividades para propender por la transparencia electoral por medio de la URIEL correspondientes a 1 informe consolidado trimestral de las quejas allegadas a la Unidad de Recepción Inmediata para la Transparencia Electoral - URIEL y 2 mejoras de la plataforma URIEL
Oct:0; Nov: 1; Dic:2</t>
  </si>
  <si>
    <t>Durante el año 2024 se realizaron un total de 9 actividades para propender por la transparencia electoral por medio de la URIEL correspondientes a 4 informes consolidado trimestrales de las quejas URIEL,  dos mejoras de la plataforma URIEL y 3 mesas URIEL.</t>
  </si>
  <si>
    <t>Durante el primer trimestre de 2025 se realizaron un total de 2 actividades para propender por la transparencia electoral por medio de la URIEL correspondiente a 1 informe consolidado trimestral de las quejas URIEL y 1 informe de la Mesa URIEL.
Ene: 0, Feb: 0, Mar: 2</t>
  </si>
  <si>
    <t>Durante el segundo trimestre de 2025 se realizaron un total de 2 actividades para propender por la transparencia electoral por medio de la URIEL correspondientes a 1 informe consolidado trimestral de las quejas URIEL y 1 acta de la mesa técnica URIEL
Abr: 0, May: 0, Jun: 2</t>
  </si>
  <si>
    <t>Durante el tercer trimestre de 2025 se realizaron un total de 3 actividaes para propender por la transparencia electoral por medio de la URIEL correspondientes a 1 informe de mejoras realizadas al sistema de información, 1 informe consolidado trimestral de las quejas URIEL y 1 acta de la mesa técnica de URIEL
Jul: 0, Ago: 0, Sep: 3</t>
  </si>
  <si>
    <t>Documentos de mejora</t>
  </si>
  <si>
    <t>Mejoras URIEL implementadas</t>
  </si>
  <si>
    <t>Sumatoria de número de mejoras implementadas</t>
  </si>
  <si>
    <t>A-03-03-04-035</t>
  </si>
  <si>
    <t>FONDO PARA LA PARTICIPACION CIUDADANA Y EL FORTALECIMIENTO DE LA DEMOCRACIA. ARTICULO 96 LEY 1757 DE 2015</t>
  </si>
  <si>
    <t xml:space="preserve">Gestión presupuestal y eficiencia del gasto público </t>
  </si>
  <si>
    <t>Plan Anual de Adquisiciones
PTEP</t>
  </si>
  <si>
    <t>Población General</t>
  </si>
  <si>
    <t>Realizar mesas de trabajo con las entidades integrantes de la Unidad de Recepción Inmediata para la Transparencia Electoral - URIEL para fortalecer el trabajo colaborativo entre los responsables.</t>
  </si>
  <si>
    <t>Actas de reunión</t>
  </si>
  <si>
    <t xml:space="preserve">Mesas de trabajo URIEL realizadas </t>
  </si>
  <si>
    <t>Sumatoria de número de mesas URIEL realizadas</t>
  </si>
  <si>
    <t>Realizar informes trimestrales de las quejas y/o denuncias recibidas y tramitadas en la plataforma de la Unidad de Recepción Inmediata para la Transparencia Electoral - URIEL.</t>
  </si>
  <si>
    <t>Sumatoria de número de informes realizados</t>
  </si>
  <si>
    <t>ODS No. 5 "Porcentaje de mujeres candidatas del total de personas candidatizadas</t>
  </si>
  <si>
    <t>PMI B.E.20</t>
  </si>
  <si>
    <t>*Plan Acción PIGMLDH 
*Plan Acción ARN
*PPPCyE</t>
  </si>
  <si>
    <t>32. Implementación del Acuerdo de Paz con las FARC</t>
  </si>
  <si>
    <t>Coordinar las elecciones y mecanismos de participación ciudadana y promover la transparencia electoral por medio de procesos pedagógicos</t>
  </si>
  <si>
    <t>Número de actividades para coordinar las elecciones y mecanismos de participación y promover la transparencia electoral por medio de procesos pedagógicos realizadas</t>
  </si>
  <si>
    <t>Sumatoria de  actividades para coordinar las elecciones y mecanismos de participación y promover la transparencia electoral por medio de procesos pedagógicos realizadas</t>
  </si>
  <si>
    <t>I TRIMESTRE: Se elaboró el documento metodológico de los talleres de ruta electoral.</t>
  </si>
  <si>
    <t>II TRIMESTRE. Se efectuaron 19 talleres para jóvenes y mujeres así:
Mayo. Puerto Carreño (2), Pereira, Ibagué, 
Junio: Medellín, Achi (Bolivar), Cartagena, Valledupar, Itsmina (chocó), Lloró (Chocó), Qubdó, Florencia, Puerto Inírida, La Plata, Neiva, Rivera, Cúcuta, San Andrés, Yopal
Abri: 0, Mayo: 4; Junio: 15 Total: (19/19)</t>
  </si>
  <si>
    <t>III TRIMESTRE: Se efectuaron dos talleres para jóvenes así:
Septiembre 21: Pamplona. Septiembre 28: Rionegro
Julio:0, Agosto:0, Septiembre: 2  Total: (2/2)</t>
  </si>
  <si>
    <t>IV TRIMESTRE: Se efectuaron 9 talleres así:
Noviembre: 5 en Caldas (2 en Manizales, 1 en Neira, 1 en Palestina, 1 en Villamaría
Diciembre: 1 en Ricaurte - Nariño, 1 en Santiago - Putumayo,  1 en Gachantivá y 1 en Pueblorrico Antioquia 
Octubre: 0; Noviembre: 5; Diciembre:4 Total 9/9</t>
  </si>
  <si>
    <t>Durante el año 2023 se realizaron 31 actividades que apoyaron en la coordinación de elecciones y mecanismos de participación mediante la realización de 30 talleres de formación y 1 documento metodológico de pedagogía.</t>
  </si>
  <si>
    <t>Durante el primer trimestre de 2024 no se realizaron actividades que apoyen la coordinación de elecciones y mecanismos de participación ciudadana.</t>
  </si>
  <si>
    <t>Durante el segundo trimestre de 2024 se realizaron 23 actividades que apoyan la coordinación de elecciones y mecanismos de participación ciudadana: 13 talleres de formación electoral, 4 diagnósticos de leyes o normas a modificar en aspectos electorales, 1 divulgación de las normativas electorales y 5 talleres con partifos políticos.
Abr: 2, May: 2, Jun: 19</t>
  </si>
  <si>
    <t>Durante el tercer trimestre de 2024 se realizaron un total de 29 actividades que apoyan la coordinación de elecciones y mecanismos de participación ciudadana: 10 talleres de formación electoral, 1 diagnósitico de leyes o normas a modificar con aspectos electorales, 5 actividades de divulgación de las normativas electorales y 13 talleres con partidos políticos
Jul: 4; Ago: 11; Sep: 14</t>
  </si>
  <si>
    <t>Durante el cuarto trimestre de 2024 se realizaron un total de 23 actividades que apoyan la coordinación de elecciones y mecanismos de participación ciudadana:  16 talleres de formación electoral , 5 actividades de divulgación de las normas electorales y 2 talleres con partidos políticos
Oct: 9; Nov: 13; Dic: 1</t>
  </si>
  <si>
    <t xml:space="preserve">Durante el año 2024 se realizaron 75 actividades que apoyan la coordinación de elecciones y mecanismos de participación: 5 diagnósicos de leyes,  39 talleres formación electoral, 11 actividades divulgación de  normas  y 20 talleres con partidos políticos
</t>
  </si>
  <si>
    <t>Durante el primer trimestre no se tiene meta programada.</t>
  </si>
  <si>
    <t>Durante el segundo trimestre de 2025 se realizaron 20 actividades que apoyan la coordinación de elecciones y mecanismos de participación mediante: 14 talleres de formación política electoral para jóvenes y curules transitorias especiales de paz y 6 talleres de formación política electoral a partidos y movimientos politicos. 
Abr: 0, May: 5, Jun: 15</t>
  </si>
  <si>
    <t>Durante el tercer trimestre de 2025 se realizaron 47 actividdaes que apoyan la coordinación de elecciones y mecanismos de participación mediante: 36 talleres de formación política electoral para jovenes, mujeres y curules transitorias especiales de paz, 1 actividad de divulgación de normas electorales y 10 talleres de formación política electoral a partidos y movimientos políticos
Jul: 15, Ago: 13, Sep: 19</t>
  </si>
  <si>
    <t>Realizar talleres de formación política electoral que estimulen la participación electoral.</t>
  </si>
  <si>
    <t>Actas o Informes de talleres</t>
  </si>
  <si>
    <t xml:space="preserve">Talleres de formación política electoral realizados </t>
  </si>
  <si>
    <t>Sumatoria de número de talleres de formación política electoral realizados</t>
  </si>
  <si>
    <t>PMI B.166
PMI B.170</t>
  </si>
  <si>
    <t>Realizar actividades de divulgación de las normativas electorales con la ciudadania</t>
  </si>
  <si>
    <t>Documento informe de Presentacion de campaña</t>
  </si>
  <si>
    <t>Actividades de divulgación realizadas</t>
  </si>
  <si>
    <t>Sumatoria de número de actividades de divulgación realizadas</t>
  </si>
  <si>
    <t>PMI B.MT.3</t>
  </si>
  <si>
    <t>PPPCyE</t>
  </si>
  <si>
    <t>Realizar talleres de formación política electoral a los partidos y movimientos políticos.</t>
  </si>
  <si>
    <t>Talleres de formación política electoral realizados</t>
  </si>
  <si>
    <t>Partidos Políticos / Movimientos Políticos</t>
  </si>
  <si>
    <t>Tramitar todas las solicitudes recibidas por medio de la VUEP (Ventanilla Única Electoral Permanente)</t>
  </si>
  <si>
    <t xml:space="preserve">Porcentaje de  solicitudes de trámite Ventanilla Única Electoral Permanente </t>
  </si>
  <si>
    <t xml:space="preserve">Número de solicitudes de trámite Ventanilla Única Electoral Permanente desarrolladas/ Número de solicitudes de trámite Ventanilla Única Electoral Permanente allegadas)*100
</t>
  </si>
  <si>
    <t>I TRIMESTRE: Se tramitaron las solicitudes allegadas a la Ventanilla Única Electoral Permanente así: Ene: 12, Feb: 26, Mar: 33. Para un total de 71 solicitudes tramitadas sobre 71 solicitudes recibidas.</t>
  </si>
  <si>
    <t>II TRIMESTRE. Se tramitaron las solicitudes allegadas a la Ventanilla Única Electoral Permanente así:
Abril: 52; Mayo: 94; Junio: 163
Para un total de 309 solicitudes tramitadas sobre 309 solicitudes recibidas.</t>
  </si>
  <si>
    <t>III TRIMESTRE: Se tramitaron las solicitudes allegadas a la Ventanilla Única electoral Permanente para un total de 1208 solicitudes tramitadas sobre 1208 solicitudes recibidas
Julio: 924, Agosto: 259, Septiembre: 25</t>
  </si>
  <si>
    <t>IV TRIMESTRE: Se tramitaron las solicitudes allegadas a la Ventanilla Única electoral Permanente para un total de 6 solicitudes tramitadas sobre 6 solicitudes recibidas
Octubre: 4, Noviembre: 2, Diciembre: 0. Total: (6/6)</t>
  </si>
  <si>
    <t>Durante el año 2023 se tramitaron un total de 1594 solicitudes allegadas a la Ventanilla Única electoral Permanente.</t>
  </si>
  <si>
    <t>Durante el primer trimestre de 2024 se tranmitaron un total de 17 solicitudes allegadas a la Ventanilla Única Electoral Permanente - VUEP desagregadas de la siguiente forma: Enero:6, Febrero: 8 y Marzo: 3</t>
  </si>
  <si>
    <t>Durante el segundo trimestre de 2024 se tramitaron un total de 12 acciones relacionadas con la VUEP: 11 reuniones con Entidades de la VUEP y  informe trimestral  de Ventanilla Única Electoral Permanente - VUEP.
Abr: 4, May: 2, Jun: 6</t>
  </si>
  <si>
    <t xml:space="preserve">Durante el tercer trimestre de 2024 se tramitaron un total de 11 acciones relacionadas con la VUEP: 10 reuniones con entidades de la VUEP y 1 informe trimestral de Ventanilla Única Electoral Permanente VUEP.
Jul: 5; Ago: 5; Sep: 1 </t>
  </si>
  <si>
    <t>Durante el cuarto trimestre de 2024 se tramitaron un total de 5  acciones relacionadas con la Ventanilla Única Electoral Permanente; 1 mejora de  la plataforma, 3 reuniones con entidades de la VUEP  y 1 informe trimestral de Ventanilla Única Electoral Permanente
Oct:3; Nov: 2; Dic: 0</t>
  </si>
  <si>
    <t>Durante el año 2024 se tramitaron un total de 45 acciones relacionadas con la Ventanilla Única Electoral Permanente.</t>
  </si>
  <si>
    <t>Durante el primer trimestre de 2025 se desarrollaron un total de 2 solicitudes de trámite de Ventanilla Única Electoral, sobre 2 solicitudes allegadas. 
Ene: 0, Feb: 0, Mar: 2</t>
  </si>
  <si>
    <t xml:space="preserve">Durante el segundo trimestre de 2025 se desrrollaron un total de 2 solicitudes de trámites de Ventanilla Única Electoral permanente sobre 2 solicitudes allegadas
Abr: 0, May: 0, Jun: 2 </t>
  </si>
  <si>
    <t xml:space="preserve">Durante el tercer trimestre de 2025 se desarrollaron un total de 2 actividades de Ventanilla Única Electoral Permanente sobre 3 solicitudes allegadas.
Jul: 0, Ago: 0, Sep: 2
</t>
  </si>
  <si>
    <t>Realizar mejoras de la plataforma VUEP (Ventanilla Única Electoral Permanente).</t>
  </si>
  <si>
    <t>Documento de mejora</t>
  </si>
  <si>
    <t>Mejoras VUEP implementadas</t>
  </si>
  <si>
    <t>Realizar mesas de trabajo con las entidades integrantes de la VUEP (Ventanilla Única Electoral Permanente) para fortalecer el trabajo colaborativo entre los responsables.</t>
  </si>
  <si>
    <t xml:space="preserve">Mesas de trabajo VUEP realizadas </t>
  </si>
  <si>
    <t>Sumatoria de número de mesas VUEP realizadas</t>
  </si>
  <si>
    <t>Realizar informes trimestrales de las quejas y/o denuncias tramitadas en la plataforma VUEP (Ventanilla Única Electoral Permanente).</t>
  </si>
  <si>
    <t>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</si>
  <si>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</si>
  <si>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</si>
  <si>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</si>
  <si>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</si>
  <si>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TRIMESTRE: Se asistieron técnicamente 86 comisiones departamentales</t>
  </si>
  <si>
    <t>IV TRIMESTRE: Se asistieron técnicamente 41 comisiones departamentales
Octubre: 33, Noviembre: 2, Diciembre: 6 Total: (41/41)</t>
  </si>
  <si>
    <t xml:space="preserve">Durante el año 2023 se realizaron un total de 234 asistencias técnicas a las comisiones departamentales. </t>
  </si>
  <si>
    <t>Durante el primer trimestre de 2024 se efectuó acompañamiento a la comisión departamental de Santander (13 de marzo de 2024)</t>
  </si>
  <si>
    <t>Durante el segundo trimestre de 2024 se realizaron 9 acciones para el proceso de Comisiones Departamentales: 7 acompañamientos a comisiones, 1 PMU implementado y 1 informe de proceso electoral.
Abr: 2, May: 1, Jun: 6</t>
  </si>
  <si>
    <t>Durante el tercer trimestre de 2024 se realizaron 13 acciones para el proceso de comisiones departamentales: 13 acompañamiento a comisiones
Jul: 4; Ago: 4; Sep: 5</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</si>
  <si>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</si>
  <si>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</si>
  <si>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primer trimestre de 2025 se realizaron 17 acciones para el acompañamiento a comisiones departamentales y nacionales y mecanismos de participación: 8 acompañamientos a comisiones departamentales, 3 PMU's implementados, 5 informes de procesos electorales y 1 comisión nacional para la coordinación y seguimiento de los procesos electorales.
Ene: 3, Feb: 6, Mar: 8</t>
  </si>
  <si>
    <t>Durante el segundo trimestre de 2025 se realizaron 39 acciones para el acompañamiento a comisiones departamentales y nacionales y mecanismos de participación: 26 acompañamientos a comisiones departamentales, 4 PMU´s implementados, 8 informes de procesos  electorales y 1 comisión nacional para la coordinacón y seguimiento de los procesos electorales
Abr: 14, May: 12, Jun: 13</t>
  </si>
  <si>
    <t>Durante el Tercer Trimestre se realizaron 31 acciones para el acompañamiento a comisiones departamentales y nacionales y mecanismos de participación: 25 acompañamientos a comisiones departamentales ; 2 PMU's implementados; 3 informes de procesos electorales y 1 comisión nacional para la Coordinación y Seguimiento de los procesos Electorales
Jul: 10, Ago: 8, Sep: 13</t>
  </si>
  <si>
    <t>Acompañar las comisiones departamentales para la coordinación y seguimiento de los procesos electorales.</t>
  </si>
  <si>
    <t>Informes de comisión</t>
  </si>
  <si>
    <t>Comisiones departamentales acompañadas</t>
  </si>
  <si>
    <t>Sumatoria de número de Comisiones departamentales acompañadas</t>
  </si>
  <si>
    <t>Implementar puestos de mando unificado a nivel departamental, municipal y/o nacional, de acuerdo con el tipo de elección, para coordinar y monitorear las elecciones 2026.</t>
  </si>
  <si>
    <t>Informes PMU</t>
  </si>
  <si>
    <t>Puestos de mando unificados implementados</t>
  </si>
  <si>
    <t>Número de puestos de mando unificados implementados / Número de puestos de mando solicitados *100</t>
  </si>
  <si>
    <t>*Indicador Programático 02</t>
  </si>
  <si>
    <t>Elaborar informes relativos de cada proceso electoral que contenga la información preelectoral, electoral y postelectoral.</t>
  </si>
  <si>
    <t>Informes procesos electorales</t>
  </si>
  <si>
    <t>Informes de procesos electorales elaborados</t>
  </si>
  <si>
    <t>Número de informes de procesos electorales elaborados / Número de informes de procesos electorales solicitados *100</t>
  </si>
  <si>
    <t>Realizar comisiones nacionales para la coordinación y seguimiento de los procesos electorales.</t>
  </si>
  <si>
    <t>Comisiones nacionales realizadas</t>
  </si>
  <si>
    <t>Sumatoria de número de Comisiones nacionales realizadas</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</si>
  <si>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</si>
  <si>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</si>
  <si>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</si>
  <si>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Talleres de formación en liderazgo y participación política electoral desarrollados con partidos y movimientos políticos</t>
  </si>
  <si>
    <t>Número de talleres de formación en liderazgo y participación política electoral desarrollados</t>
  </si>
  <si>
    <t>Sumatoria del número de talleres de formación de jóvenes en liderazgo y participación política electoral realizadas</t>
  </si>
  <si>
    <t>I TRIMESTRE: No se tiene programada meta para el trimestre, sin embargo se adelantaron las visitas en las sedes de los partidos políticos para el diseño de la metodología de trabajo.</t>
  </si>
  <si>
    <t>II TRIMESTRE. Se efectuaron 7 talleres dirigidos a partidos y movimientos políticos así:
ABRIL.  
17 de Abril. Taller con partidos Liberal, Conservador, Alianza Verde, ASI, de la U, Polo Democrático, Unión Patriotica, MAIS, Comunes, Renaciente, Movimiento Alianza Democrática Amplia, Colombia Humana y Comunista.
24 de abril. Taller con Partidos: Centro Democrático, Salvación Nacional, Verde Oxígeno, Liga de Gobernantes Anticorrupción y Cambio Radical.
26 de abril. Taller con Partidos: AICO, MIRA, Justa y Libres, Dignidad y Nuevo Liberalismo
MAYO
3 de Mayo. Taller con partidos: Partido Demócrata Colombiano, Ecologista, Fuerza de la Paz, Fuerza Ciudadana, Agrupación Política En Marcha, Nueva Fuerza Democrática, Independientes, Movimiento Esperanza, Paz y Libertad.
23 de mayo. Taller con todos los partidos.
JUNIO
9 de junio. Taller con partidos en la DIPRO
13 de junio. Taller con partidos en el Hotel Holiday Inn"
Abril: 3; Mayo: 2; Junio: 2</t>
  </si>
  <si>
    <t>III TRIMESTRE: Se efectuaron 5 talleres con partidos politicos de los cuales 4 fueron virtuales y 1 presenciales.
Julio: 1, Agosto: 2, Septiembre: 2 Total (5/5)</t>
  </si>
  <si>
    <t>IVTRIMESTRE: Se efectuaron 8 talleres con partidos políticos 
Octubre: 1, Noviembre: 2, Diciembre: 0 Total (8/8)"</t>
  </si>
  <si>
    <t>Durante el año 2023 se desarrollaron un total de 20 talleres de formación en liderazgo político y electoral con partidos políticos.</t>
  </si>
  <si>
    <r>
      <rPr>
        <b/>
        <sz val="8"/>
        <rFont val="Aptos Narrow"/>
        <family val="2"/>
        <scheme val="minor"/>
      </rPr>
      <t>7</t>
    </r>
    <r>
      <rPr>
        <sz val="8"/>
        <rFont val="Aptos Narrow"/>
        <family val="2"/>
        <scheme val="minor"/>
      </rPr>
      <t xml:space="preserve">. Actores Diferenciales para el Cambio
</t>
    </r>
    <r>
      <rPr>
        <b/>
        <sz val="8"/>
        <rFont val="Aptos Narrow"/>
        <family val="2"/>
        <scheme val="minor"/>
      </rPr>
      <t>07.</t>
    </r>
    <r>
      <rPr>
        <sz val="8"/>
        <rFont val="Aptos Narrow"/>
        <family val="2"/>
        <scheme val="minor"/>
      </rPr>
      <t xml:space="preserve"> Garantías hacia un mundo sin barreras para las personas con discapacidad</t>
    </r>
  </si>
  <si>
    <t>*Ley 1618/2013
*Decreto 1350/2018
*Ley Estatutaria 1757/2015
*Ley 850/2003 (Control Social)</t>
  </si>
  <si>
    <t xml:space="preserve">Fortalecer a las organizaciones de personas con discapacidad en materia de participación ciudadana y en normatividad sobre discapacidad e inclusión social. </t>
  </si>
  <si>
    <t>Número de organizaciones de personas con discapacidad fortalecidas</t>
  </si>
  <si>
    <t>Sumatoria de número de organizaciones de personas con discapacidad fortalecidas</t>
  </si>
  <si>
    <t>I TRIMESTRE: Se implementaron 8 acciones para el fortalecimiento de las organizaciomes de personas de discapacidad, se avanzó en el proceso estructurado para la representación de personas con discapacidad, 3 talleres de aportes al documento protocolo de consulta y democrático, 3 reuniones para la construcción de la ficha técnica de Banco de Proyectos, 1  reunión para  encuentro de Secretarías Técnicas de Comités de Departamentales y Distritales de Discapacidad. Febrero (1); Marzo ( 7)</t>
  </si>
  <si>
    <t>II TRIMESTRE: Se implementaron 9 acciones para el fortalecimiento de las organizaciomes de personas de discapacidad, mediante 1 avance del proceso estructurado para la representación de personas con discapacidad, 7 talleres de aportes al documento protocolo de consulta y democrático y 1  encuentro de Secretarías Técnicas de Comités de Departamentales y Distritales de Discapacidad. 
Abril: (0); Mayo: (5); Junio (4 )</t>
  </si>
  <si>
    <t>III TRIMESTRE: Se implementaron 3 acciones para el fortalecimiento de las organizaciones de personas con discapacidad mediante el desarrollo de 2 talleres de aportes al documento de protocolo de consulta y democrático y 1 Encuentro Entre Pares. Representantes de Sociedad Civil de los Comités Departamentales, Distritales de Discapacidad y consejeros Nacionales de Discapacidad.
Julio: 2, Agosto: 1, Septiembre: 0 Total: (3/3)</t>
  </si>
  <si>
    <t>IV TRIMESTRE: Se implementaron 8 acciones para el fortalecimiento de las organizaciones de personas con discapacidad mediante el desarrollo de 7 talleres de aportes al documento de protocolo de consulta y democrático y elaboración de 1 documento para la construcción de una representatividad efectiva e inclusiva para la población con discapacidad
Octubre: 4, Noviembre: 4, Diciembre: 0 Total (8/8)</t>
  </si>
  <si>
    <t>Durante el año 2023 se implementaron 20 acciones de fortalecimiento de organizaciones de personas con discapacidad: 16 talleres, 1 avance de gestión y 1 documento para construcción de una representatividad efectiva e inclusiva para la población con discapacidad y 2 encuentros de deliberación.</t>
  </si>
  <si>
    <t>I TRIMESTRE :Se implementó 1 acciòn  para empoderar a las personas con discapacidad con enfoque diferencial (niñas, niños, jóvenes, población étnica, LGTBI, mujer, adulto mayor, víctimas, entre otros), para la participación en la vida política y publica. Enero (0), Febrero (0),Marzo (1)</t>
  </si>
  <si>
    <t>Durante el segundo trimestre de 2024 se realizaron 13 acciones para fortalecimiento a organizaciones de personas con discapacidad: 5 iniciativas aprobadas, 3 talleres de mujeres con discapacidad, 1 reunión mesa multipartidista, 2 documentos de enfoque diferencial y 2 encuentros secretarías técnicas.
Abr: 1, May: 2, Jun: 10</t>
  </si>
  <si>
    <t>Durante el tercer trimestre de 2024 se realizaron 3 acciones para fortalecimiento a organizaciones de personas con discapacidad: 1 taller de mujeres con discapacidad, 1 material informativo de semilleros, 1 documento para niños y niñas con discapacidad.
Jul: 0, Ago: 1, Sep: 2</t>
  </si>
  <si>
    <t>Durante el cuarto trimestre de 2024 se realizaron 14 acciones para el fortalecimiento a organizaciones de personas con discapacidad: 2 videos ley 1757 de 2015 y control social, 6 talleres de mujeres con discapacidad, 1 material informativo semilleros, 2 encuentros de delibración e intercambio de saberes, 2 estrategias de articulación y coordinación, 1 documento protocolo de consulta y democrático.
Oct: 2; Nov: 5; Dic: 7</t>
  </si>
  <si>
    <t>Durante el año 2024 se realizaron 31 acciones de fortalecimiento a organizaciones de personas con discapacidad: 2 videos, 10 talleres mujeres, 5 iniciativas aprobadas, 2 materiales semilleros, 4 encuentros deliberación, 3 estrategias articulación, 4 documentos enfoque diferencial, 1 documento protocolo de consulta</t>
  </si>
  <si>
    <t xml:space="preserve">Durante el primer trimestre de 2025, se realizó una acción de fortalecimiento a una organización de personas con discapacidad, mediante el desarrollo de 1 "Taller a padres informados, niños con más oportunidades" correspondiente al empoderamiento de niños y niñas con discapacidad en la participación ciudadana y política, el 14 de marzo en el Colegio Las Américas con la asistencia de 28 personas. 
Ene: 0, Feb: 0, Mar: 1 </t>
  </si>
  <si>
    <t>Durante el segundo trimestre de 2025 se realizaron 4 acciones para el fortalecimiento a organizaciones de personas con discapacidad mediante el desarrollo de 1 material accesible para personas con discapacidad visual, 1 estrategia de coordinación y articulación enfocada especificamente con jóvenes, 2 eventos de formación virtual a universidades con la temática  Participación en la Vida Política
Abr: 2, May: 0, Jun: 2</t>
  </si>
  <si>
    <t>Durante el tercer trimestre de 2025 se realizaron 14 acciones para el fortalecimiento a organizaciones con discapacidad mediante el desarrollo de 1 material accesible para personas con discapacidad auditiva, 1 encuentro "Nuestras organizaciones construyen participación ciudadana”, 5 encuentros de mujeres rurales con discapacidad, 1 estrategia de coordinación y articulación, 1 evento de formación con universidades públicas, 1 acción para el  empoderamiento de victimas con discapacidad,  4 encuentros de formación para promover y fortalecer el movimiento asociativo de las personas con discapacidad.
Jul: 1, Ago: 4, Sep: 9</t>
  </si>
  <si>
    <t>Crear materiales audiovisuales accesibles y con enfoque diferencial por tipo de discapacidad que permitan apropiar las competencias necesarias para aplicar los mecanismos, instancias y espacios de participación ciudadana (Ley 1757/2015) y el control social (Ley 850/2003).</t>
  </si>
  <si>
    <t xml:space="preserve">Material audiovisual </t>
  </si>
  <si>
    <t>Material audiovisual creado</t>
  </si>
  <si>
    <t>Sumatoria de material audiovisual creado</t>
  </si>
  <si>
    <t>A-03-03-01-065</t>
  </si>
  <si>
    <t>APOYO A LAS DISPOSICIONES PARA GARANTIZAR EL PLENO EJERCICIO DE LOS DERECHOS DE LAS PERSONAS CON DISCAPACIDAD. LEY 1618 DE 2021</t>
  </si>
  <si>
    <t>Organizaciones de Personas con Discapacidad / Población con Discapacidad</t>
  </si>
  <si>
    <t>*Ley 1618/2013
*Decreto 1350/2018</t>
  </si>
  <si>
    <t>Impulsar el desarrollo y gestión de las organizaciones de personas con discapacidad que impacten a los territorios a través de un estímulo y/o acompañamiento a sus iniciativas y actividades.</t>
  </si>
  <si>
    <t>Informe de selección de iniciativas o actividades apoyadas</t>
  </si>
  <si>
    <t>Iniciativas para organizaciones de personas con discapacidad apoyadas</t>
  </si>
  <si>
    <t>Sumatoria de número de iniciativas para organizaciones de personas con discapacidad apoyadas</t>
  </si>
  <si>
    <t>*Ley 1618/2013
*Decreto 1350/2018
*Indicador sectorial PND ID-225
*Indicador Programático 06</t>
  </si>
  <si>
    <t>6.3</t>
  </si>
  <si>
    <t>Promover espacios de encuentro, intercambio y diálogo de saberes entre las organizaciones de personas con discapacidad de orden departamental y nacional, que contribuyan a la participación y generación de conocimiento.</t>
  </si>
  <si>
    <t xml:space="preserve">Actas o Informes </t>
  </si>
  <si>
    <t xml:space="preserve">Espacios de deliberación, intercambio y diálogo promovidos </t>
  </si>
  <si>
    <t>Sumatoria de número de espacios de deliberación, intercambio y diálogo promovidos</t>
  </si>
  <si>
    <t>*Ley 1618/2013
*Decreto 1350/2018
*Indicador sectorial PND ID-225 
*Plan Acción PIGMLDH Act. 1.3.1.</t>
  </si>
  <si>
    <t>6.4</t>
  </si>
  <si>
    <t>Fortalecer y empoderar a las mujeres con discapacidad en la participación política y ciudadana.</t>
  </si>
  <si>
    <t>Talleres dirigidos a mujeres con discapacidad realizados</t>
  </si>
  <si>
    <t>Sumatoria de número de talleres dirigidos a mujeres con discapacidad realizados</t>
  </si>
  <si>
    <t>6.5</t>
  </si>
  <si>
    <t>Desarrollar estrategias que faciliten los procesos de coordinación y articulación de las instituciones nacionales, territoriales y Organizaciones No Gubernamentales para el fomento de la participación política de las personas con discapacidad.</t>
  </si>
  <si>
    <t>Documento de estrategias</t>
  </si>
  <si>
    <t>Estrategias para procesos de coordinación y articulación desarrolladas</t>
  </si>
  <si>
    <t>Sumatoria de número de estrategias para procesos de coordinación y articulación desarrolladas</t>
  </si>
  <si>
    <t>*Ley 1618/2013
*Decreto 1350/2018
*Indicador sectorial PND ID-225</t>
  </si>
  <si>
    <t>6.6</t>
  </si>
  <si>
    <t>Desarrollar eventos de formación en universidades públicas y privadas con relación a la inclusión de personas con discapacidad en la participación política.</t>
  </si>
  <si>
    <t>Eventos de formación en universidades públicas y privadas desarrollados</t>
  </si>
  <si>
    <t>Sumatoria de número de eventos de formación en universidades públicas y privadas desarrollados</t>
  </si>
  <si>
    <t>6.7</t>
  </si>
  <si>
    <t>Desarrollar acciones con enfoque diferencial para fortalecer las capacidades de participación de personas con discapacidad pertenecientes a grupos subrepresentados promoviendo su incidencia en escenarios de participación ciudadana y política.</t>
  </si>
  <si>
    <t>Actas o Informes de actividades</t>
  </si>
  <si>
    <t>Acciones para empoderar a las personas con discapacidad con enfoque diferencial desarrolladas</t>
  </si>
  <si>
    <t>Sumatoria de número de acciones para empoderar a las personas con discapacidad con enfoque diferencial desarrolladas</t>
  </si>
  <si>
    <t>*Ley 1618/2013
*Decreto 1350/2018
*Politica Publica de Discapacidad Act. 4.8</t>
  </si>
  <si>
    <t>6.8</t>
  </si>
  <si>
    <t>Diseñar e implementar una estrategia de fortalecimiento para la participación ciudadana de las personas con discapacidad y sus organizaciones.</t>
  </si>
  <si>
    <t>Documento de identificación</t>
  </si>
  <si>
    <t>Avance en el diseño e implementación de una estrategia de fortalecimiento para la participación ciudadana de las personas con discapacidad y sus organizaciones.</t>
  </si>
  <si>
    <r>
      <t xml:space="preserve">Sumatoria del porcentaje de avance en el diseño e implementación de una estrategia de fortalecimiento para la participación ciudadana de las personas con discapacidad y sus organizaciones.
</t>
    </r>
    <r>
      <rPr>
        <b/>
        <sz val="8"/>
        <color theme="1"/>
        <rFont val="Aptos Narrow"/>
        <family val="2"/>
        <scheme val="minor"/>
      </rPr>
      <t>Hito 1:</t>
    </r>
    <r>
      <rPr>
        <sz val="8"/>
        <color theme="1"/>
        <rFont val="Aptos Narrow"/>
        <family val="2"/>
        <scheme val="minor"/>
      </rPr>
      <t xml:space="preserve">  Elaborar un documento que identifique las barreras al ejercicio de la participación ciudadana que enfrentan las personas con discapacidad y sus organizaciones para el diseño e implementación de una estrategia de fortalecimiento para la participación ciudadana de las personas con discapacidad y sus organizaciones. Avance al </t>
    </r>
    <r>
      <rPr>
        <b/>
        <sz val="8"/>
        <color theme="1"/>
        <rFont val="Aptos Narrow"/>
        <family val="2"/>
        <scheme val="minor"/>
      </rPr>
      <t xml:space="preserve">2026= 10% </t>
    </r>
  </si>
  <si>
    <t xml:space="preserve">*Ley 1618/2013
*Decreto 1350/2018
*Indicador sectorial PND ID-225 </t>
  </si>
  <si>
    <t>6.9</t>
  </si>
  <si>
    <t>Diseñar una estrategia para el  fortalecimiento de  las competencias de las personas con discapacidad en los procesos de consulta entre las organizaciones de personas con discapacidad, sus representantes y el gobierno.</t>
  </si>
  <si>
    <t>Documento Estrategia</t>
  </si>
  <si>
    <t>Estrategias para el fortalecimiento de las competencias de las personas con discapacidad diseñadas</t>
  </si>
  <si>
    <t>Sumatoria de número de estrategias para el fortalecimiento de las competencias de las personas con discapacidad diseñadas</t>
  </si>
  <si>
    <t>6.10</t>
  </si>
  <si>
    <t>Desarrollar eventos de formación para promover el movimiento asociativo de las personas con discapacidad que las representan a nivel local, municipal, distrital, departamental, nacional e
internacional.</t>
  </si>
  <si>
    <t xml:space="preserve">Eventos de formación desarrollados </t>
  </si>
  <si>
    <t>Sumatoria de número de eventos de formación desarrollados</t>
  </si>
  <si>
    <t>*Ley 1618/2013
*Decreto 1350/2018
*Conpes 4143/2025 Act. 4.17</t>
  </si>
  <si>
    <t>6.11</t>
  </si>
  <si>
    <t xml:space="preserve"> Incluir un módulo virtual de autoformación en la Escuela de Participación Ciudadana dirigido a cuidadores o asistentes personales de personas con discapacidad sobre el derecho a la participación ciudadana y política de las personas con discapacidad. </t>
  </si>
  <si>
    <t xml:space="preserve">Documento </t>
  </si>
  <si>
    <t>Avance en la inclusión de un módulo virtual de autoformación en la Escuela de Participación Ciudadana dirigido a cuidadores o asistentes personales de personas con discapacidad sobre el derecho a la participación ciudadana y política de las personas con discapacidad</t>
  </si>
  <si>
    <t>Sumatoria del porcentaje de avance en la inclusión de un módulo virtual de autoformación en la Escuela de Participación Ciudadana dirigido a cuidadores o asistentes personales de personas con discapacidad sobre el derecho a la participación ciudadana y política de las personas con discapacidad
Hito 1. Construcción de documento técnico =30%
2025: 10%, 2026: 20%</t>
  </si>
  <si>
    <t>*Ley 1618/2013
*Decreto 1350/2018
*Politica Publica de Discapacidad Act. 4.32</t>
  </si>
  <si>
    <t>6.12</t>
  </si>
  <si>
    <t>Diseñar e implementar un plan de acción interinstitucional para promover el derecho a elegir y ser elegido de las personas con discapacidad que incluya acciones de no discriminación, creación de espacios de diálogo y fortalecimiento de liderazgos políticos de personas con discapacidad.</t>
  </si>
  <si>
    <t>Documento de diagnóstico</t>
  </si>
  <si>
    <t>Avance en el diseño e implementación de un plan de acción interinstitucional para promover el derecho a elegir y ser elegido de las personas con discapacidad que incluya acciones de no discriminación, creación de espacios de diálogo y fortalecimiento de liderazgos políticos de personas con discapacidad.</t>
  </si>
  <si>
    <r>
      <t xml:space="preserve">Sumatoria del porcentaje de avance en el diseño e implementación de un plan de acción interinstitucional para promover el derecho a elegir y ser elegido de las personas con discapacidad que incluya acciones de no discriminación, creación de espacios de diálogo y el fortalecimiento de los liderazgos políticos de las personas con discapacidad
</t>
    </r>
    <r>
      <rPr>
        <b/>
        <sz val="8"/>
        <color theme="1"/>
        <rFont val="Aptos Narrow"/>
        <family val="2"/>
        <scheme val="minor"/>
      </rPr>
      <t>Hito 1: Documento de diagnóstico del ejercicio de la participación política de las personas con discapacidad en el derecho a elegir y ser elegido. Avance al 2026 = 20%</t>
    </r>
  </si>
  <si>
    <t>*Convención de los derechos de las personas con discapacidad-ONU (Ley 1346/2009
*Ley estatutaria 1618/2013
*Decreto 1350/2022
*Indicador Programático 08</t>
  </si>
  <si>
    <t>Implementar estrategias de sensibilización en materia de derechos humanos, de promoción de la no discriminación y de equiparación de oportunidades.</t>
  </si>
  <si>
    <t>Número de estrategias de sensibilización en materia de derechos humanos, de promoción de la no discriminación y equiparación de oportunidades realizadas.</t>
  </si>
  <si>
    <t>Sumatoria de número de estrategias de sensibilización en materia de derechos humanos, de promoción de la no discriminación y equiparación de oportunidades realizadas.</t>
  </si>
  <si>
    <t>I TRIMESTRE: La iniciativa esta programada a partir del II trimeste, sin embargo, se avanzó participando en  capacitación de “NTC 6626 y en socialización virtual de talleres 2022  Juntas Somos Una Sola Voz: Mujeres Líderes con Discapacidad.</t>
  </si>
  <si>
    <t>II TRIMESTRE: Se desarrollaron 4 acciones para la implementación de estrategias de sensibilización en materia de derechos humanos, promoción de la no discriminación y de equiparación de oportunidades, mediante el desarrollo de 1 taller para personas sordas, 1 evento de Lanzamiento de Red de Mujeres con Discapacidad y 2 talleres de mujeres con discapacidad denominados "Juntas Somos Una Sola Voz". 
Abril: (1), Mayo: (1), Junio: (2)</t>
  </si>
  <si>
    <t>III TRIMESTRE: Se realizaron 6 acciones para la implementación de estrategias de sensibilización en materia de derechos humanos, promoción de la no discriminación y equiparación de oportunidades mediante el desarrollo de 1 acompañamiento a la estructuración de la Política Pública Discapacidad, 3 reuniones red de mujeres con discapacidad, 1 taller juntas somos una sola voz y 1 encuesta "Radiografía de Participación: Voces de Mujeres con Discapacidad"
Jul: 3, Ago: 2, Sep: 1 Total: (6/6)</t>
  </si>
  <si>
    <t>IV TRIMESTRE: Se realizaron  8 acciones para la implementación de estrategias de sensibilización en materia de derechos humanos mediante  el desarrollo de 2 talleres de  Formación en participación ciudadana y enfoque de discapacidad para servidores públicos y comunidades indígenas y 6 reuniones para mujeres con discapacidad para el fortalecimiento en temas de participación.
Octubre: 4, Noviembre: 4, Diciembre: 0</t>
  </si>
  <si>
    <t>Durante el año 2023 se realizaron 18 acciones para la implementación de estrategias de sensibilización en materia de derechos humanos mediante 1  acompañamiento a la Política Pública de Discapacidad, 2 talleres de Formación en participación ciudadana y enfoque de discapacidad, 14 talleres para mujeres con discapacidad y 1 taller para persona sordas.</t>
  </si>
  <si>
    <t xml:space="preserve">I TRIMESTRE :No se  implementaron accione ya que no estaban programadas en plan de accciòn, sin embargo se avanzo en elaboración de una herramienta de caracterizaciòn y elaboración de Guia Metodologica </t>
  </si>
  <si>
    <t>Durante el segundo trimestre de 2024, no tiene meta programada, sin embargo, se avanzó con reunión con referentes de discapacidad, para diligenciamiento de la herramienta “Buenas prácticas territoriales” y se elaboró el documento "Información Ruta Nacional", que contiene espacios de participación ciudadana accesibles para personas con discapacidad y sus organizaciones.
Abr: 0, May: 0, Jun: 0</t>
  </si>
  <si>
    <t>Durante el tercer trimestre de 2024, se realizaron 2 acciones: 1 documento de Ruta Nacional y 1 guía metodológica.
Jul: 0, Ago: 0, Sep: 2</t>
  </si>
  <si>
    <t>Durante el cuarto trimestre de 2024, se realizó 1 acción correspondiente al documento de la  herramienta  de caracterización de buenas practicas  territoriales para el fortalecimiento de las oganizaciones de personas con discapacidad.
Oct: 0, Nov: 0 , Dic: 1</t>
  </si>
  <si>
    <t>Durante el año 2024 se realizaron 3 acciones para la implementación de estrategias: 1 documento de ruta nacional, 1 herramienta de caracterización de buenas prácticas territoriales, 1 guia metodológica para orientar la conformación de federaciones y confederaciones.</t>
  </si>
  <si>
    <t>Durante el primer trimestre de 2025, se realizaron 6 acciones para la implementación de estrategias: 5 asesorias mediante asistencia técnica a referentes de discapacidad y socialización a referentes de discapacidad de la Ruta Nacional Instancias de participación ciudadana con la participación de 33 personas.  
Ene: 0, Feb: 0, Mar: 38</t>
  </si>
  <si>
    <t>Durante el segundo trimestre de 2025 se realizaron 4 acciones para la implementación de estrategias mediante: 3 asesorias de asistencia técnica a referentes de discapacidad y socialización a referentes de discapacidad de la Ruta Nacional Instancias de participación ciudadana con la participación de 151 personas.  
Abr: 51, May: 45, Jun: 58</t>
  </si>
  <si>
    <t xml:space="preserve">Durante el tercer trimestre de 2025 se realizaron 8 acciones para la implementación de estrategias mediante: 4 asesorias de asistencia técnica a referentes de discapacidad y 4 socialización de la Ruta Nacional Instancias de participación ciudadana con la participación de 211 personas.
Jul: 117, Ago: 40, Sep: 58
</t>
  </si>
  <si>
    <t>Asesorar a las entidades territoriales en la definición, adopción e implementación de planes, programas y proyectos orientados al fortalecimiento de las organizaciones de personas con discapacidad.</t>
  </si>
  <si>
    <t>Acta o Informes de actividades</t>
  </si>
  <si>
    <t>Entidades territoriales asesoradas</t>
  </si>
  <si>
    <t>Sumatoria de número de entidades territoriales asesoradas</t>
  </si>
  <si>
    <t>Apropiar en el territorio la Ruta Nacional para acceder a los espacios poblacionales, sectoriales y territoriales de participación.</t>
  </si>
  <si>
    <t>Sumatoria de número de personas capacitadas sobre la ruta nacional de espacios de participación</t>
  </si>
  <si>
    <t>7.3</t>
  </si>
  <si>
    <t>Diseñar e implementar una estrategia para el aprovechamiento de los modulos de formación de la Escuela de Participación Ciudadana para la población con discapacidad.</t>
  </si>
  <si>
    <t>Documento de estrategia
Informes de implementación</t>
  </si>
  <si>
    <t>Acciones de diseño e implementación de estrategia</t>
  </si>
  <si>
    <t>Sumatoria de número de diseño e implementación de una estrategia para el aprovechamiento de los modulos de formación de la Escuela de Participación Ciudadana para la población con discapacidad.
Hito 1. Diseño de estrategia: 1
Hito 2. Implementación: 8</t>
  </si>
  <si>
    <t>Una sociedad para la vida, garante de derechos y en condiciones de igualdad hasta que la dignidad se haga costumbre</t>
  </si>
  <si>
    <t>De la desigualdad hacia una sociedad garante de derechos: haremos realidad la constitución del 91 por fuera del negocio</t>
  </si>
  <si>
    <t xml:space="preserve"> Garantías hacia un mundo sin barreras para las personas con discapacidad</t>
  </si>
  <si>
    <t>ODS 10. Reducción de las desigualdades</t>
  </si>
  <si>
    <t>CONVENCIÓN DE LOS DERECHOS DE LAS PERSONAS CON DISCAPACIDAD -ONU ( LEY 1346 DE 2009) , LEY ESTATUTARIA 1618 DE 2013, DECRETO 1350 DE 2024</t>
  </si>
  <si>
    <t>Fortalecimiento de las capacidades institucionales que contribuyen a la participación y generación de conocimiento.</t>
  </si>
  <si>
    <t>Porcentaje de acciones para el fortalecimiento de las capacidades institucionales</t>
  </si>
  <si>
    <t>( Número de acciones realizadas que contibuyen a la participación y generación de conocimiento/ número de acciones programadas que contribuyan a la participación y generación de conocimiento)*100</t>
  </si>
  <si>
    <t>I TRIMESTRE: Se avanzó con  14 acciones para el fortalecimiento de las capacidades institucionales: 3 sesiones para procesos de coordinación y articulación de las instituciones nacionales y territoriales, 2 acciones de semilleros, 5 asistencias técnicas presenciales en 3 departamentos, 3 estrategias para procesos de coordinación y articulación inicio de proceso para presentación de experiencias de federaciones y confederaciones  
Ene: 2 Feb: 3, Mar: 9</t>
  </si>
  <si>
    <t>II TRIMESTRE: Se avanzó en 16 acciones para el fortalecimiento de las capacidades institucionales: 5 sesiones para procesos de coordinación y articulación de las instituciones nacionales y territoriales, 2 reuniones de semilleros, 6 asistencias técnicas presenciales, 1 asistencia técnica virtual, 1 estrategia para procesos de coordinación y 1 articulación para el proceso de presentación de experiencias de federaciones y confederaciones.
Abril: (2), Mayo: (8), Junio: (6)</t>
  </si>
  <si>
    <t xml:space="preserve">III TRIMESTRE: Se avanzó en 12 acciones para el fortalecimiento de las capacidades institucionales: 5 sesiones para procesos de coordinación y articulación interinstitucional, 1 actividad enfocada en la creación de semilleros, 2 asistencias técnicas a los comités departamentales de discapacidad, 3 estrategias para proceso de articulación y coordinación y 1 acción para el proceso de presentación de experiencias de federaciones y confederaciones
Julio: 4, Agosto: 5, Septiembre: 3 Total: (12/12)
</t>
  </si>
  <si>
    <t>IV TRIMESTRE: Se avanzó en 12 acciones para el fortalecimiento de las capacidades institucionales: 6 sesiones para procesos de coordinación y articulación interinstitucional, 1 actividad enfocada a la creación de semilleros. 2 asistencias técnicas a los comités departamentales de discapacidad, 2 estrategias de articulación y coordinación y  1 webinar de presentación de experiencias de federaciones y confederaciones.
Octubre: 4. Noviembre: 3, Diciembre: 5</t>
  </si>
  <si>
    <t>Durante el año 2023 se desarrollaron 54 acciones para el fortalecimiento de las capacidades institucionales mediante 19 acciones de coordinación y articulación interinstitucional, 6 creación de semilleros,16 asistencias técnicas,9 estrategias de articulación y 4 acciones de  confederaciones.</t>
  </si>
  <si>
    <r>
      <rPr>
        <b/>
        <sz val="8"/>
        <color theme="1"/>
        <rFont val="Aptos Narrow"/>
        <family val="2"/>
        <scheme val="minor"/>
      </rPr>
      <t xml:space="preserve">5. </t>
    </r>
    <r>
      <rPr>
        <sz val="8"/>
        <color theme="1"/>
        <rFont val="Aptos Narrow"/>
        <family val="2"/>
        <scheme val="minor"/>
      </rPr>
      <t xml:space="preserve">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
</t>
    </r>
    <r>
      <rPr>
        <b/>
        <sz val="8"/>
        <color theme="1"/>
        <rFont val="Aptos Narrow"/>
        <family val="2"/>
        <scheme val="minor"/>
      </rPr>
      <t xml:space="preserve">*Ley 2294/2023 Art. 111 </t>
    </r>
    <r>
      <rPr>
        <sz val="8"/>
        <color theme="1"/>
        <rFont val="Aptos Narrow"/>
        <family val="2"/>
        <scheme val="minor"/>
      </rPr>
      <t>- Participación democrática para la reconstrucción del tejido social y la planificación del desarrollo</t>
    </r>
  </si>
  <si>
    <t>INICIATIVAS PDET</t>
  </si>
  <si>
    <t>*Ley 1757/2015
*Decreto 1535/2022</t>
  </si>
  <si>
    <t>Desarrollar acciones que promuevan la implementacion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</si>
  <si>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</si>
  <si>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</si>
  <si>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</si>
  <si>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ciudadana mediante:	
•	1 Mesa técnica de definición de la Política
•	1 Sesión primera del Consejo de Participación Ciudadana – CNPC
•	9 Reuniones de reformulación de la Política Pública de Participación Ciudadana, mediante la cual se define la ficha metodológica para el indicador
•	14 asistencias técnicas en Barrancabermeja, Sogamoso, (2) Jamundí, Riohacha, Madrid, Gobernación Arauca, Boyacá, Neiva, Mompox, Floridablanca, Cali, Gobernación de Cundinamarca, Floridablanca.
•	1 Foro en Consejos Territoriales con el objetivo de socializar la metodología para las convocatorias de dichos consejos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</si>
  <si>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</si>
  <si>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a la RIAV, 6 acciones para ceremonia Premios Colombia y 1 informe de seguimiento plan de acción del Consejo.
Oct: 10 Nov:7 Dic: 4 </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</si>
  <si>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</si>
  <si>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I Trimestre:  Se realizaron 3 acciones como fortalecimiento de la normativa de participacion ciudadana: 1 Encuentro con grupos internos del Ministerio y el Deparamento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</si>
  <si>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Durante el segundo trimestre de 2024 se realizaron 82 acciones para fortalecimiento de la normativa de participacion ciudadana: 17 actividades para el procedo de Política Pública, 20 asistencias técnicas,  42 iniciativas financieras apoyadas mediante Banco de Proyectos, 1 avance en proceso de escuela virtual, 1 Sesión Ordinaria del Consejo Participación, 1 contrato suscrito Boletín Consumidor. 
Abr: 5, May: 20, Jun: 57</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</si>
  <si>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</si>
  <si>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</si>
  <si>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</si>
  <si>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primer trimestre de 2025, se realizaron 16 acciones para fortalecimiento de la normativa de participacion ciudadana: 9 actividades para el proceso de Política Pública, 5 asistencias técnicas,  2 acompañamientos al Consejo de Participación Ciudadana. SIn embargo, no se logró el cumplimiento total de la meta, toda vez que el retraso en el proceso de contratación del Operador Logístico del Ministerio generó cambios en el cronograma de las actividades para llevar a cabo las acciones de Economía Popular.
Ene: 2, Feb: 5, Mar: 9</t>
  </si>
  <si>
    <t>Durante el segundo trimestre de 2025, se realizaron 44 acciones para fortalecimiento de la normativa de participacion ciudadana: 24 actividades para el proceso de Política Pública, 17 asistencias técnicas,  2 acompañamientos al Consejo de Participación Ciudadana y 1 Contrato de boletin del consumidor. SIn embargo, no se logró el cumplimiento total de la meta, toda vez que el retraso en el proceso de contratación del Operador Logístico del Ministerio generó cambios en el cronograma de las actividades para llevar a cabo las acciones de Economía Popular.
Abr: 6, May: 21, Jun: 17</t>
  </si>
  <si>
    <t>Durante el tercer trimestre de 2025, se realizaron 21 acciones para fortalecimiento de la normativa de participacion ciudadana: 1 actividad para el proceso de Política Pública, 10 asistencias técnicas,  4 eventos en el marco de la Semana Nacional de la Participación, 3 acompañamientos al Consejo de Participación Ciudadana, 1 ficha para el proceso de Escuela Virtual, 2 sesiones Mesa Nacional de Tenderos de Economía Popular.
Jul: 10, Ago: 3, Sep: 8</t>
  </si>
  <si>
    <t>9.1</t>
  </si>
  <si>
    <t>Realizar acciones para el fortalecimiento de la normativa de participación ciudadana.</t>
  </si>
  <si>
    <t>Acciones para el fortalecimiento de la normativa realizadas</t>
  </si>
  <si>
    <t>Número de acciones para el fortalecimiento de la normativa realizadas / Número de acciones para el fortalecimiento de la normativa programadas * 100</t>
  </si>
  <si>
    <r>
      <rPr>
        <b/>
        <sz val="8"/>
        <color theme="1"/>
        <rFont val="Aptos Narrow"/>
        <family val="2"/>
        <scheme val="minor"/>
      </rPr>
      <t xml:space="preserve">5. </t>
    </r>
    <r>
      <rPr>
        <sz val="8"/>
        <color theme="1"/>
        <rFont val="Aptos Narrow"/>
        <family val="2"/>
        <scheme val="minor"/>
      </rPr>
      <t xml:space="preserve">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t>
    </r>
  </si>
  <si>
    <t>*Ley 1757/2015
*Decreto 1535/2022
*Indicador Sectorial PND ID-183
*Indicador Programático 04</t>
  </si>
  <si>
    <t>9.2</t>
  </si>
  <si>
    <t>Realizar fortalecimiento de la política pública de participación ciudadana y electoral  - PPPC y E</t>
  </si>
  <si>
    <t>Eventos de fortalecimiento de La politica de participación electoral - PPPCyE realizados</t>
  </si>
  <si>
    <t>Sumatoria de eventos de fortalecimiento de La politica de participación y electoral - PPPC y E realizados</t>
  </si>
  <si>
    <t>*Ley 1757/2015 
*Indicador Programático 05</t>
  </si>
  <si>
    <t>9.3</t>
  </si>
  <si>
    <t>Realizar asistencias técnicas que promuevan la democracia participativa en las entidades territoriales, instancias y espacios de participación.</t>
  </si>
  <si>
    <t>Asistencias técnicas en participación ciudadana realizadas</t>
  </si>
  <si>
    <t>Sumatoria de número de asistencias técnicas en participación ciudadana realizadas</t>
  </si>
  <si>
    <t>Entidades Territoriales / Población General</t>
  </si>
  <si>
    <t>*Ley 1757/2015
*Indicador Programático 06</t>
  </si>
  <si>
    <t>9.4</t>
  </si>
  <si>
    <t>Realizar eventos y actividades que fortalezcan la ley 1757 de 2015.</t>
  </si>
  <si>
    <t>Eventos realizados</t>
  </si>
  <si>
    <t>Sumatoria de número de eventos realizados</t>
  </si>
  <si>
    <t>PMI B.E.17
PMI B.G.5
PMI B.G.11.N
PMI B.128.N</t>
  </si>
  <si>
    <t>*Ley 1757/2015
*Indicador Programático 07</t>
  </si>
  <si>
    <t>9.5</t>
  </si>
  <si>
    <t>Fortalecer la Escuela Virtual de Participación a través de la creación y actualización de Modulos de formación.</t>
  </si>
  <si>
    <t>Informes de módulos creados y actualizados</t>
  </si>
  <si>
    <t>Módulos creados y actualizados</t>
  </si>
  <si>
    <t>Sumatoria de número de módulos creados y actualizados</t>
  </si>
  <si>
    <t>*Ley 1757/2015</t>
  </si>
  <si>
    <t>9.6</t>
  </si>
  <si>
    <t>Fortalecer la participación ciudadana a la economía popular</t>
  </si>
  <si>
    <t>Informes de actividades</t>
  </si>
  <si>
    <t>Acciones de participación ciudadana a la economía popular realizadas</t>
  </si>
  <si>
    <t>Sumatoria de número de acciones de participación ciudadana a la economía popular realizadas</t>
  </si>
  <si>
    <t>9.7</t>
  </si>
  <si>
    <t>Suscribir contrato para la producción y realización del espacio institucional del “Boletín del Consumidor” para la vigencia 2026.</t>
  </si>
  <si>
    <t>Convenio suscrito</t>
  </si>
  <si>
    <t>Convenios suscritos</t>
  </si>
  <si>
    <t>Sumatoria de número de convenios suscritos</t>
  </si>
  <si>
    <t>A-03-06-01-001</t>
  </si>
  <si>
    <t>FORTALECIMIENTO DE LAS ASOCIACIONES Y LIGAS DE CONSUMIDORES (LEY 73 DE 1981 Y DECRETO 1320 DE 1982)</t>
  </si>
  <si>
    <t>9.8</t>
  </si>
  <si>
    <t>Realizar acompañamiento a las acciones para el funcionamiento del Consejo Nacional de Participación Ciudadana.</t>
  </si>
  <si>
    <t>Actas de sesiones</t>
  </si>
  <si>
    <t>Acompañamientos a sesiones realizados</t>
  </si>
  <si>
    <t>Número de acompañamientos a sesiones realizados / Número de acompañamiento a sesiones solicitados * 100</t>
  </si>
  <si>
    <t>Instancia de Participación</t>
  </si>
  <si>
    <t>9.9</t>
  </si>
  <si>
    <t>Realizar encuentros de participación ciudadana.</t>
  </si>
  <si>
    <t>Encuentros de participación ciudadana realizados</t>
  </si>
  <si>
    <t>Sumatoria de número de encuentros de participación realizados</t>
  </si>
  <si>
    <t>9.10</t>
  </si>
  <si>
    <t>Impulsar el desarrollo y gestión de las organizaciones sociales y veedurías que impacten a los territorios a través de un estímulo y/o acompañamiento a sus iniciativas y actividades.</t>
  </si>
  <si>
    <t>Número de iniciativas para organizaciones sociales apoyadas</t>
  </si>
  <si>
    <t>Sumatoria de número de iniciativas para organizaciones sociales apoyadas</t>
  </si>
  <si>
    <t>Organizaciones Sociales / Veedurías Ciudadanas</t>
  </si>
  <si>
    <r>
      <rPr>
        <b/>
        <sz val="8"/>
        <rFont val="Aptos Narrow"/>
        <family val="2"/>
        <scheme val="minor"/>
      </rPr>
      <t>9.</t>
    </r>
    <r>
      <rPr>
        <sz val="8"/>
        <rFont val="Aptos Narrow"/>
        <family val="2"/>
        <scheme val="minor"/>
      </rPr>
      <t xml:space="preserve"> Jóvenes en paz
</t>
    </r>
    <r>
      <rPr>
        <b/>
        <sz val="8"/>
        <rFont val="Aptos Narrow"/>
        <family val="2"/>
        <scheme val="minor"/>
      </rPr>
      <t>14.</t>
    </r>
    <r>
      <rPr>
        <sz val="8"/>
        <rFont val="Aptos Narrow"/>
        <family val="2"/>
        <scheme val="minor"/>
      </rPr>
      <t xml:space="preserve"> Una sociedad para la vida, garante de derechos y en condiciones de igualdad hasta que la dignidad se haga costumbre</t>
    </r>
  </si>
  <si>
    <r>
      <rPr>
        <b/>
        <sz val="8"/>
        <color theme="1"/>
        <rFont val="Aptos Narrow"/>
        <family val="2"/>
        <scheme val="minor"/>
      </rPr>
      <t>5.</t>
    </r>
    <r>
      <rPr>
        <sz val="8"/>
        <color theme="1"/>
        <rFont val="Aptos Narrow"/>
        <family val="2"/>
        <scheme val="minor"/>
      </rPr>
      <t xml:space="preserve"> 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
</t>
    </r>
    <r>
      <rPr>
        <b/>
        <sz val="8"/>
        <color theme="1"/>
        <rFont val="Aptos Narrow"/>
        <family val="2"/>
        <scheme val="minor"/>
      </rPr>
      <t>7.</t>
    </r>
    <r>
      <rPr>
        <sz val="8"/>
        <color theme="1"/>
        <rFont val="Aptos Narrow"/>
        <family val="2"/>
        <scheme val="minor"/>
      </rPr>
      <t xml:space="preserve"> Actores Diferenciales para el Cambio
</t>
    </r>
    <r>
      <rPr>
        <b/>
        <sz val="8"/>
        <color theme="1"/>
        <rFont val="Aptos Narrow"/>
        <family val="2"/>
        <scheme val="minor"/>
      </rPr>
      <t>06</t>
    </r>
    <r>
      <rPr>
        <sz val="8"/>
        <color theme="1"/>
        <rFont val="Aptos Narrow"/>
        <family val="2"/>
        <scheme val="minor"/>
      </rPr>
      <t>. Jóvenes con derechos que lideran las transformaciones para la vida</t>
    </r>
  </si>
  <si>
    <t>PMI B.184</t>
  </si>
  <si>
    <t>Fortalecer la participación política, social y ciudadana juvenil</t>
  </si>
  <si>
    <t>Número de actividades de fortalecimiento desarrolladas</t>
  </si>
  <si>
    <t>Sumatoria de número de actividades de fortalecimiento desarrolladas</t>
  </si>
  <si>
    <t>I TRIMESTRE: No se tiene meta programada, sin embargo, se realizaron 75 Escuelas para el Fortalecimiento de la participación política, social y ciudadana juvenil
*Participación ciudadana y políticas publica: 35
• Participación política de mujeres: 12
• Control social: 15
• Participación política de jóvenes: 13
Ene: 39, Feb: 33, Mar: 3.</t>
  </si>
  <si>
    <t xml:space="preserve">II TRIMESTRE: Se realizaron 12 talleres y 89 certificados de escuelas virtuales para el Fortalecimiento de la Participación politica, social y ciudadana.  
*Participación ciudadana y políticas publica: 65
• Participación política de mujeres: 8
• Control social: 9
• Participación política de jóvenes: 7
*Talleres: 12
Abril:24, Mayo: 59, Junio: 18     </t>
  </si>
  <si>
    <t xml:space="preserve">III TRIMESTRE: Se realizaron 7 acciones de formación de liderazgo político: 5 asistencias técnicas en plataforma de juventudes y Liderazgo en Valledupar, Aguachica, (2) Buenaventura y Amazonas. 1 asistencia virtual para jóvenes en Bogotá, 1 presencial en el Banco Magdalena.
Julio: 2, Agosto: 2, Septiembre: 3 Total: 7/7 
El número restante de la meta se cumplió en los  trimestres I y II  toda vez que se adelantaron dichas acciones de formación de liderazgo político.   </t>
  </si>
  <si>
    <t>IV TRIMESTRE: Se realizaron 10 acciones de formación de liderazgo político: 3 asistencias técnicas (Huila, Córdoba y Putumayo con la estrategia "Colombia Joven en Territorio") y 7 talleres para jóvenes (Boyacá, Putumayo, Cauca 2 y Atlántico 3) 
Oct:2, Nov: 6, Dic: 2 Total 10/10</t>
  </si>
  <si>
    <t>Durante el año 2023 se desarrollaron 193 acciones de formación de liderazgo político para jóvenes bajo la estrategia "Colombia Joven en territorio".</t>
  </si>
  <si>
    <t>I Trimestre: Se realizaron 6 acciones de fortalecimiento de la participación ciudadana para jóvenes: 6 Capacitaciones en el componente de corresponabilidad - Módulo de Participación Juvenil Comunitaria: Quibdó: 1, Buenaventura:1, Medellin: 1, Bogotá: 1, Puerto Tejada: 1 y Guachené: 1
Ene: 0, Feb: 6, Mar: 0</t>
  </si>
  <si>
    <t>Durante el segundo trimestre de 2024 se realizaron 22 acciones de fortalecimiento de la participación ciudadana para jóvenes mediante talleres de formación de liderazgo:
Abr: 5, May: 12, Jun: 5</t>
  </si>
  <si>
    <t>Durante el tercer trimestre de 2024 se realizaron 22 acciones de fortalecimiento de la participación ciudadana para jóvenes mediante: 20 talleres de formación de liderazgo, 1 informe de avance programa Jovenes en Paz, 1 Encuentro de Jóvenes.
Jul: 17, Ago: 5, Sep: 0</t>
  </si>
  <si>
    <t>Durante el cuarto trimestre de 2024 se realizaron 8 acciones de fortalecimiento de la participación ciudadana para jóvenes mediante: 6 talleres de formación de liderazgo, 1 informe de avance programa Jovenes en Paz, 1 documento socializado.
Oct: 2, Nov: 4, Dic: 2</t>
  </si>
  <si>
    <t>Durante el año 2024 se logró el avance de 53 acciones que permitieron el fortalecimiento de la participación política, social y ciudadana juvenil.</t>
  </si>
  <si>
    <t>Durante el primer trimestre no se tiene meta programada, sin embargo, se llevó a cabo la realización de 9 Talleres con Jovenes buscando impactar a los Jovenes en temas de la socialización la ley 1757 de 2015 y la Ley Estatutaria de Juventud con miras a las elecciones de CMJ 2025.</t>
  </si>
  <si>
    <t>Durante el segundo trimestre se logró el desarrollo de 35 acciones para el fortalecimiento de la participación política, social y ciudadana juvenil mediante 34 talleres de formacion y 1 documento de avance de estrategia de comunicacion Conpes.
Abr: 9, May: 19, Jun: 7</t>
  </si>
  <si>
    <t>Durante el tercer trimestre se logró el desarrollo de 26 acciones para el fortalecimiento de la participación política, social y ciudadana juvenil mediante 16 talleres de formacion y 10 socializaciones y acompañamiento a mesas técnicas del Programa Nacional Jóvenes en Paz.
Jul: 7, Ago: 8, Sep: 11</t>
  </si>
  <si>
    <t>10.1</t>
  </si>
  <si>
    <t>Promover el análisis sobre los fenómenos sociales y políticos de los jovenes, para el fortalecimiento de la gobernabilidad, la democracia y la intervención de jóvenes en la gestión de lo público.</t>
  </si>
  <si>
    <t>Actas o Informes de asistencias</t>
  </si>
  <si>
    <t>Sumatoria de número de asistencias técnicas realizadas</t>
  </si>
  <si>
    <t>Jóvenes</t>
  </si>
  <si>
    <t>10.2</t>
  </si>
  <si>
    <t>Apoyar las acciones a cargo de la Dirección para la Democracia del Programa Nacional Jóvenes en Paz en el marco del componente de corresponsabilidad.</t>
  </si>
  <si>
    <t>Porcentaje de acciones del programa realizadas</t>
  </si>
  <si>
    <r>
      <t xml:space="preserve">Sumatoria del porcentaje de avance en Socializaciones del programa Nacional Jóvenes en Paz y capacitaciones a equipos territoriales: Número de socializaciones y capacitaciones realizadas / Número de socializaciones y capacitaciones programadas * 100
</t>
    </r>
    <r>
      <rPr>
        <b/>
        <sz val="8"/>
        <color theme="1"/>
        <rFont val="Aptos Narrow"/>
        <family val="2"/>
        <scheme val="minor"/>
      </rPr>
      <t>Hito 1:</t>
    </r>
    <r>
      <rPr>
        <sz val="8"/>
        <color theme="1"/>
        <rFont val="Aptos Narrow"/>
        <family val="2"/>
        <scheme val="minor"/>
      </rPr>
      <t xml:space="preserve"> Socialización del programa Nacional Jóvenes en Paz, componente de corresponsabilidad a entidades u organizaciones publicas y privadas de territorio nacional: 50%</t>
    </r>
    <r>
      <rPr>
        <b/>
        <sz val="8"/>
        <color theme="1"/>
        <rFont val="Aptos Narrow"/>
        <family val="2"/>
        <scheme val="minor"/>
      </rPr>
      <t xml:space="preserve">
Hito 2:</t>
    </r>
    <r>
      <rPr>
        <sz val="8"/>
        <color theme="1"/>
        <rFont val="Aptos Narrow"/>
        <family val="2"/>
        <scheme val="minor"/>
      </rPr>
      <t xml:space="preserve"> Capacitaciones equipos territoriales en relación al componente de corresponsabilidad del Programa Nacional Jóvenes en Paz del Ministerio de Igualdad y Equidad: 50%</t>
    </r>
  </si>
  <si>
    <t>*Ley 1757/2015
*Conpes 4040 Act. 3.11</t>
  </si>
  <si>
    <t>10.3</t>
  </si>
  <si>
    <t>Implementar una estrategia de promoción de información de las instancias de participación formal para la juventud relacionadas con las áreas misionales del Ministerio del Interior e información general sobre el control social y las veedurías ciudadanas conforme la normatividad vigente, en articulación con el ente rector del Sistema Nacional de Juventud.</t>
  </si>
  <si>
    <t>Informe de estrategia de  comunicación</t>
  </si>
  <si>
    <t>Avance en el diseño e implementación de la estrategia de promoción de las instancias de participación formal para la juventud relacionadas con las áreas misionales del Ministerio del Interior.</t>
  </si>
  <si>
    <r>
      <t xml:space="preserve">Sumatoria del porcentaje de avance en el diseño e implementación de la estrategia de promoción de las instancias de participación formal para la juventud relacionadas con las áreas misionales del Ministerio del Interior.
</t>
    </r>
    <r>
      <rPr>
        <b/>
        <sz val="8"/>
        <color theme="1"/>
        <rFont val="Aptos Narrow"/>
        <family val="2"/>
        <scheme val="minor"/>
      </rPr>
      <t>Hito 3:</t>
    </r>
    <r>
      <rPr>
        <sz val="8"/>
        <color theme="1"/>
        <rFont val="Aptos Narrow"/>
        <family val="2"/>
        <scheme val="minor"/>
      </rPr>
      <t xml:space="preserve"> Elaboración de informes que reflejen el avance en la implementación de la estrategia de promoción de información de las instancias de participación formal para la juventud relacionadas con las áreas misionales del Ministerio del Interior  e información general sobre el control social y las veedurías ciudadanas conforme la normatividad vigente. Se elaborarán 2 informes cada uno con un peso porcentual de 30%</t>
    </r>
  </si>
  <si>
    <r>
      <rPr>
        <b/>
        <sz val="8"/>
        <rFont val="Aptos Narrow"/>
        <family val="2"/>
        <scheme val="minor"/>
      </rPr>
      <t xml:space="preserve">14. </t>
    </r>
    <r>
      <rPr>
        <sz val="8"/>
        <rFont val="Aptos Narrow"/>
        <family val="2"/>
        <scheme val="minor"/>
      </rPr>
      <t xml:space="preserve">Una sociedad para la vida, garante de derechos y en condiciones de igualdad hasta que la dignidad se haga costumbre
</t>
    </r>
    <r>
      <rPr>
        <b/>
        <sz val="8"/>
        <rFont val="Aptos Narrow"/>
        <family val="2"/>
        <scheme val="minor"/>
      </rPr>
      <t>23.</t>
    </r>
    <r>
      <rPr>
        <sz val="8"/>
        <rFont val="Aptos Narrow"/>
        <family val="2"/>
        <scheme val="minor"/>
      </rPr>
      <t xml:space="preserve"> Empoderamiento integral de las mujeres</t>
    </r>
  </si>
  <si>
    <r>
      <rPr>
        <b/>
        <sz val="8"/>
        <color theme="1"/>
        <rFont val="Aptos Narrow"/>
        <family val="2"/>
        <scheme val="minor"/>
      </rPr>
      <t xml:space="preserve">5. </t>
    </r>
    <r>
      <rPr>
        <sz val="8"/>
        <color theme="1"/>
        <rFont val="Aptos Narrow"/>
        <family val="2"/>
        <scheme val="minor"/>
      </rPr>
      <t xml:space="preserve">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
</t>
    </r>
    <r>
      <rPr>
        <b/>
        <sz val="8"/>
        <color theme="1"/>
        <rFont val="Aptos Narrow"/>
        <family val="2"/>
        <scheme val="minor"/>
      </rPr>
      <t>7.</t>
    </r>
    <r>
      <rPr>
        <sz val="8"/>
        <color theme="1"/>
        <rFont val="Aptos Narrow"/>
        <family val="2"/>
        <scheme val="minor"/>
      </rPr>
      <t xml:space="preserve"> Actores Diferenciales para el Cambio
</t>
    </r>
    <r>
      <rPr>
        <b/>
        <sz val="8"/>
        <color theme="1"/>
        <rFont val="Aptos Narrow"/>
        <family val="2"/>
        <scheme val="minor"/>
      </rPr>
      <t>01.</t>
    </r>
    <r>
      <rPr>
        <sz val="8"/>
        <color theme="1"/>
        <rFont val="Aptos Narrow"/>
        <family val="2"/>
        <scheme val="minor"/>
      </rPr>
      <t xml:space="preserve"> El cambio es con las mujeres
</t>
    </r>
    <r>
      <rPr>
        <b/>
        <sz val="8"/>
        <color theme="1"/>
        <rFont val="Aptos Narrow"/>
        <family val="2"/>
        <scheme val="minor"/>
      </rPr>
      <t>2</t>
    </r>
    <r>
      <rPr>
        <sz val="8"/>
        <color theme="1"/>
        <rFont val="Aptos Narrow"/>
        <family val="2"/>
        <scheme val="minor"/>
      </rPr>
      <t>. Mujeres en el centro de la política de la vida y la paz</t>
    </r>
  </si>
  <si>
    <t>PMI B.184
PMI B.356
PMI B.G.8</t>
  </si>
  <si>
    <t>*Ley 1757/2015
*Conpes 4080/2022 Act. 2.1</t>
  </si>
  <si>
    <t>Fortalecer la participación política, social y ciudadana de las mujeres</t>
  </si>
  <si>
    <t xml:space="preserve">Porcentaje de acciones desarrolladas para fortalecimiento de la participación política, social y ciudadana de las mujeres </t>
  </si>
  <si>
    <t xml:space="preserve">I TRIMESTRE: Se formaron 12 mújeres en mecanismo de participación y liderazgo politico
Se realizaron 11 asistencia técnicas con la participación de Mujeres en el Taller de Liderazgo Político para Mujeres "Escalando Espacios de Poder" en los municipios de Anapoima, Yopal, Malambo, Barranquilla, Usiacuri, Luruaco, Baranoa, Sabanagrande, la mesa, Tocaima y Silvania y 1 Asamblea de mujeres comunales en Bogota.
Ene: 0, Feb: 0, Mar: 12
Se realizaron 2 reuniones con ONU MUJERES para la alianza de la estrategia +Mujeres Más Democracia – Rumbo a la Paridad para este año electorales.
</t>
  </si>
  <si>
    <t>II TRIMESTRE: Se desarrollaron 34 acciones en fortalecimiento de participación ciudadana de mujeres:
•	22 talleres de Liderazgo Político para Mujeres "Escalando Espacios de Poder" en: Santa Marta, Arauca, Aguazul, Samacá, Cuitiva, La Vega, Sabana Grande, Santo Tomás, Candelaria, La Plata, Campo de la Cruz, Galapa, Puerto Colombia, Garzón, Pitalito, Cartagena, Neiva, Pereira, Bello, Quibdó, Tunja y Maní. 
•	1 mesa de Articulación con la ONU Mujeres, NIMD, MOE, CNE para organización de la mesa multipartidista. 
•	1 actividad de difusión con partidos y movimientos políticos para aumentar la representación política en elecciones territoriales 2023. 
•	2 asistencias técnicas en talleres de participación y equidad con el Instituto Republicano Internacional-IRI (Cúcuta y Santiago de Cali) para promocionar la estrategia Mas mujeres más democracia
•	8 módulos en escuela virtual de liderazgo con certificación de 8 mujeres.               
Abril: 4, Mayo: 20, Junio: 10 Total: (34/34)</t>
  </si>
  <si>
    <t xml:space="preserve">III TRIMESTRE: Se desarrollaron 47 acciones para el fortalecimiento de la participación ciudadana de mujeres:
Certificación 15 mujeres en escuela virtual de liderazgo 3 módulos finalizados
15 talleres de formación bajo la estrategia "Escalando espacios de Poder"
Certificación 15 mujeres en escuela virtual de liderazgo 8 módulos finalizados
2 asistencias mediante el desarrollo de talleres de participación y equidad mujeres jóvenes
Jul: 16 Ago: 10 Sep: 21 
</t>
  </si>
  <si>
    <t xml:space="preserve">IV TRIMESTRE: Se desarrollaron 214 acciones para el fortalecimiento de la participación ciudadana de mujeres:
Certificación 202 mujeres en escuela virtual de liderazgo 3 módulos finalizados
8 talleres de formación bajo la estrategia "Escalando espacios de Poder"
Certificación 15 mujeres en escuela virtual de liderazgo 8 módulos finalizados
2 asistencias técnicas a municipios.
Oct: 39, Nov: 119, Dic: 56
</t>
  </si>
  <si>
    <t>Durante el año 2023 se logró el desarrollo de 321 acciones para fortalecimiento de la participación ciudadana de mujeres: 240 vinculaciones a escuela virtual, 17 asistencias, 30 talleres, 12 formaciones mecanismos de participación, 1 asamblea mujeres comunales, 3 reuniones ONU, 1 difusión.</t>
  </si>
  <si>
    <t>I Trimestre: Se realizaron 8 acciones para fortalecimiento de la participación de mujeres: 8 talleres de Empoderamiento Politico a las Mujeres en Aguazul - Casanare (2), Malambo - Atlántico (1), Soledad - Atlántico (1), Campo de la Cruz - Atlantico (1), Suan - Atlántico (1), Manatí - Atlántico (1) y Santo Tomás - Atlántico (1). No se logró la totalidad de la meta programada para este trimestre.
Ene: 0, Feb: 0, Mar: 8</t>
  </si>
  <si>
    <t>Durante el segundo trimestre de 2024 se realizaron 28 acciones para fortalecimiento de la participación de mujeres: 16 talleres de Empoderamiento Político a las Mujeres, 1 Asistencia Técnica a la Primera Mesa Multipartidista de Mujeres y 11 asistencias técnicas a entidades territoriales.
Abr: 6, May: 13, Jun: 9</t>
  </si>
  <si>
    <t>Durante el tercer trimestre de 2024 se realizaron 27 acciones para fortalecimiento de la participación de mujeres: 18 talleres de Empoderamiento Político a las Mujeres, 8 talleres de formación de liderazgo político y social, 1 asistencia técnica a entidad territorial.
Jul:17, Ago: 5, Sep: 5</t>
  </si>
  <si>
    <t>Durante el cuarto trimestre de 2024 se realizaron 71 acciones para fortalecimiento de la participación de mujeres: 33 talleres de Empoderamiento Político a las Mujeres, 35 talleres de formación de liderazgo político y social, 1 asistencia técnica a entidad territorial, 1 avance escuela virtual mujeres.
Oct: 6, Nov: 51, Dic: 14</t>
  </si>
  <si>
    <t>Durante el año 2024 se logró el desarrollo de 134 acciones para fortalecimiento de la participación ciudadana de mujeres: 74 talleres, 44 talleres a partidos y movimientos, 2 mesas Multipartidistas, 1 aumento vinculacion mujeres, 13 asistencias.</t>
  </si>
  <si>
    <t>Durante el primer trimestre se logró el desarrollo de 6 acciones para el fortalecimiento de la participación de mujeres mediante talleres de formacion. Sin embargo, no se logró el cumplimiento de la meta programada para la actividad de asistencia tecnica a Entidades Territoriales, por temas de Recursos Financieros del Operdor Logistico del Ministerio del Interior no está contratado; y la contratacion de personal (20 Talleristas) que replicarian los talleres con mujeres en La localidad de Santa Fe - Bogota.
Ene: 0, Feb: 2, Mar: 4</t>
  </si>
  <si>
    <t>Durante el segundo trimestre se logró el desarrollo de 25 acciones para el fortalecimiento de la participación de mujeres mediante 14 talleres de formacion a mujer, 9 talleres para miembros de partidos y organizaciones sociales y 2 asistencias tecncias. Sin embargo, no se logró el cumplimiento total de la meta programada por efectos de retraso en el proceso del operador logistico.
Abr: 10, May: 1, Jun: 12</t>
  </si>
  <si>
    <t>Durante el tercer trimestre se logró el desarrollo de 27 acciones para el fortalecimiento de la participación de mujeres mediante 17 talleres de formacion a mujer, 8 talleres para miembros de partidos y organizaciones sociales, 1 asistencia técnica a la mesa multipartidista de mujeres y 1 asistencia tecnica a Entidad Territorial.
Jul: 6, Ago: 11, Sep: 10</t>
  </si>
  <si>
    <t>11.1</t>
  </si>
  <si>
    <t>Realizar formación sobre los derechos políticos y formas de participación política y ciudadana de la mujer.</t>
  </si>
  <si>
    <t>Talleres de formación realizados</t>
  </si>
  <si>
    <t>Sumatoria de número de talleres de formación realizados</t>
  </si>
  <si>
    <t>Mujeres</t>
  </si>
  <si>
    <t>PMI B.354
PMI B.G.7</t>
  </si>
  <si>
    <t>11.2</t>
  </si>
  <si>
    <t>Realizar formación de liderazgo político y social para miembros de partidos y organizaciones sociales.</t>
  </si>
  <si>
    <t>*Ley 1757/2015
*Conpes 4080/2022 Act. 2.8</t>
  </si>
  <si>
    <t>11.3</t>
  </si>
  <si>
    <t>Realizar asistencias técnicas a la Mesa Multipartidista de Mujeres para promover al interior de las organizaciones políticas los mecanismos de paridad de género, generación de protocolos y lineamientos internos sobre paridad y sanción de la violencia contra las mujeres en el escenario político.</t>
  </si>
  <si>
    <t>Asistencias técnicas realizadas.</t>
  </si>
  <si>
    <t>Sumatoria de número de asistencias técnicas realizadas.</t>
  </si>
  <si>
    <t>*Ley 1757/2015
*Conpes 4080/2022 Act. 2.9</t>
  </si>
  <si>
    <t>11.4</t>
  </si>
  <si>
    <t>Aumentar la vinculación de las mujeres en las escuelas de liderazgo con el fin de promover su participación y la de sus organizaciones en instancias de participación y en espacios políticos.</t>
  </si>
  <si>
    <t>Informes con Usuarios Certificados</t>
  </si>
  <si>
    <t>Porcentaje de vinculación de mujeres a la escuela de liderazgo aumentado</t>
  </si>
  <si>
    <t>Número de mujeres en escuela de liderazgo vinculadas / Número de mujeres en escuela virtual invitadas * 100</t>
  </si>
  <si>
    <t>*Ley 1757/2015
*Conpes 4080/2022 Act. 2.11</t>
  </si>
  <si>
    <t>11.5</t>
  </si>
  <si>
    <t>Brindar asistencia técnica a las entidades territoriales para promover la participación ciudadana y política de las mujeres.</t>
  </si>
  <si>
    <t xml:space="preserve">Número de asistencias técnicas realizadas. </t>
  </si>
  <si>
    <t>Sumatoria de asistencias técnicas realizadas.</t>
  </si>
  <si>
    <t>*Ley 1757/2015
*Conpes 4147/2025 Act. 2.57</t>
  </si>
  <si>
    <t>11.6</t>
  </si>
  <si>
    <t xml:space="preserve">Realizar asistencias técnicas a los entes territoriales para fortalecer las capacidades en materia de participación ciudadana, político-electoral, control social, veedurías ciudadanas, rendición de cuentas y política pública de participación ciudadana con el propósito de promover la participación incidente de la ciudadanía LGBTIQ+. </t>
  </si>
  <si>
    <t>Ciudadanía LGBTIQ+</t>
  </si>
  <si>
    <t>*Ley 1757/2015
*Conpes 4147/2025 Act. 2.58</t>
  </si>
  <si>
    <t>11.7</t>
  </si>
  <si>
    <t>Implementar un programa de formación para líderes y lideresas con enfoque LGBTIQ+, abordando temas como liderazgos políticos, sistema político, día de elecciones, financiación de campañas y transparencia electoral. 
La identificación de los y las líderes LGBTIQ+ se realizará con el Ministerio de la Igualdad, DNP y la Dirección de Derechos Humanos del Ministerio del Interior.</t>
  </si>
  <si>
    <t>Numero de Programas implementados</t>
  </si>
  <si>
    <t>Sumatoria de Programas implementados</t>
  </si>
  <si>
    <r>
      <rPr>
        <b/>
        <sz val="8"/>
        <color theme="1"/>
        <rFont val="Aptos Narrow"/>
        <family val="2"/>
        <scheme val="minor"/>
      </rPr>
      <t xml:space="preserve">5. </t>
    </r>
    <r>
      <rPr>
        <sz val="8"/>
        <color theme="1"/>
        <rFont val="Aptos Narrow"/>
        <family val="2"/>
        <scheme val="minor"/>
      </rPr>
      <t xml:space="preserve">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Efectividad de los dispositivos de participación ciudadana, política y electoral</t>
    </r>
  </si>
  <si>
    <t>PMI B.152
PMI B.E.14</t>
  </si>
  <si>
    <t>*Ley 850/2003
*Ley 1757/2015
*Compromiso Presidencial 10
*Plan Acción ARN</t>
  </si>
  <si>
    <t>Fortalecer el Control Social</t>
  </si>
  <si>
    <t xml:space="preserve">Porcentaje de acciones desarrolladas para el fortalecimiento del Control Social </t>
  </si>
  <si>
    <t>Número de acciones desarrolladas / Número de acciones requeridas *100</t>
  </si>
  <si>
    <t xml:space="preserve">I TRIMESTRE: Se realizaron 11 acciones para fortalecimiento en control social </t>
  </si>
  <si>
    <t xml:space="preserve">II TRIMESTRE: Se realizaron 35 acciones para el fortalecimiento en control social: 25 acciones de plan de apoyo a veedurias,  2 asistencias tecnicas en control social y veedurias, Se participó en 6 sesiones de la RIAV, se realizó (1) mesa de trabajo con el Grupo de Participación Ciudadana para la planeación del Encuentro Nacional  de la RIAV y (1) mesa con la Defensoría y la Escuela Superior de Administración Pública para la conformación de los semilleros en control social.
Abril: 1, Mayo: 20, Junio: 14 Total: (35/35)
</t>
  </si>
  <si>
    <t xml:space="preserve">III TRIMESTRE: Se desarrollaron 19 acciones para el fortalecimiento en control social y veedurías:
11  acciones de plan de apoyo a veedurías
4 asistencias tecnicas en control social y veedurías
3 reuniones de la RIAV Nacional para seguimiento del plan de acción
1 asistencia con enfoque de género
Jul: 8 Ago: 8 Sep: 3 </t>
  </si>
  <si>
    <t xml:space="preserve">IV TRIMESTRE: Se desarrollaron 7 acciones para el fortalecimiento en control social y veedurías:
2 acciones de plan de apoyo a veedurías
3 asistencias técnicas 
2 acompañamientos RIAV Nacional para seguimiento del plan de acción
Oct: 2, Nov: 3, Dic: 2 </t>
  </si>
  <si>
    <t>Durante el año 2023 se logró el desarrollo de 72 acciones para el fortalecimiento en control social y veedurías: 21 asistencias técnicas, 38 acciones plan de apoyo, 11 acompañamientos a sesiones RIAV y 2 mesas de trabajo.</t>
  </si>
  <si>
    <t>I Trimestre: Se realizaron 3 acciones para fortalecimiento del control social: 1 Asistencia Técnica Veeduría Suratá - Santander, 2 sesiones Comité Técnico Red Institucional Apoyo a Veedurías - RIAV en el cual se abordó la Formulación del Plan de Acción de la Red Institucional Apoyo a Veedurías- RIAV 2024. 
Ene: 0, Feb: 2, Mar: 1</t>
  </si>
  <si>
    <t>Durante el segundo trimestre de 2024 se realizaron 30 acciones para fortalecimiento del control social: 22 talleres a veedurías y ciudadanía, 3 asistencias técnicas, 4 sesiones Comité Técnico Red Institucional Apoyo a Veedurías – RIAV, 1 mecanismo de participacion implementado.
Abr: 7, May: 15, Jun: 8</t>
  </si>
  <si>
    <t>Durante el tercer trimestre de 2024 se realizaron 30 acciones para fortalecimiento del control social: 14 talleres a veedurías y ciudadanía, 7 asistencias técnicas, 6 acciones asociadas a la Red Institucional Apoyo a Veedurías – RIAV, 3 mecanismos de participacion implementados.
Jul: 12, Ago: 9, Sep: 9</t>
  </si>
  <si>
    <t>Durante el cuarto trimestre de 2024 se realizaron 55 acciones para fortalecimiento del control social: 2 talleres a veedurías y ciudadanía, 49 asistencias técnicas, 4 acciones asociadas a la Red Institucional Apoyo a Veedurías – RIAV.
Oct: 28, Nov: 19, Dic: 8</t>
  </si>
  <si>
    <t>Durante el año 2024 se logró el desarrollo de 118 acciones para el fortalecimiento en control social y veedurías:  38 acciones del Plan de apoyo a la creación y promoción de veedurías ciudadanas, 60 asistencias, 4 mecanismos de participacion implementados, 16 sesiones Comité Técnico Red Institucional Apoyo a Veedurías – RIAV.</t>
  </si>
  <si>
    <t>Durante el primer trimestre de 2025 se realizaron 2 acciones para fortalecimiento del control social mediante 2 asistencias tecnicas a entidades territoriales. Sin embargo, no se logró el cumplimiento total de la meta de la iniciativa toda vez que no se llevó a cabo el apoyo de las sesiones de la Red Interistitucional de Apoyo a Veedurias, dado a que por parte de la secretaria técnica de la RIAV a cargo de la Defensoría del Pueblo no se recibió convocatorias.
Ene: 0, Feb: 0, Mar: 2</t>
  </si>
  <si>
    <t>Durante el segundo trimestre de 2025 se realizaron 22 acciones para fortalecimiento del control social mediante 2 capacitaciones Técnicas en Control Social y 20 asistencias tecnicas a entidades territoriales. Sin embargo, no se logró el cumplimiento total de la meta de la iniciativa toda vez que no se llevó a cabo el apoyo de las sesiones de la Red Interistitucional de Apoyo a Veedurias, dado a que por parte de la secretaria técnica de la RIAV a cargo de la Defensoría del Pueblo no se recibió convocatorias.
Abr: 9, May: 0, Jun: 13</t>
  </si>
  <si>
    <t>Durante el tercer trimestre de 2025 se realizaron 23 acciones para fortalecimiento del control social mediante 1 capacitaciones Técnicas en Control Social, 18 asistencias tecnicas a entidades territoriales, 3 acciones de apoyo a la RIAV, 1 mecanismo de participación implementado con mujeres. Sin embargo, no se logró el cumplimiento de la meta de la iniciativa toda vez que no se llevó a cabo la totalidad de asistencias tecnicas a entidades territoriales debido a la dificultad en el proceso de concertacion con entidades territoriales y organizaciones sociales.
Jul: 8, Ago: 9, Sep: 6</t>
  </si>
  <si>
    <t>12.1</t>
  </si>
  <si>
    <t>Avanzar en las acciones del Plan de apoyo a la creación y promoción de veedurías ciudadanas, mediante  asistencias técnicas a organizaciones sociales, comunitarias, redes y entidades territoriales.</t>
  </si>
  <si>
    <t>Actas o Informes de avance del Plan</t>
  </si>
  <si>
    <t>Porcentaje de avance en acciones del plan de apoyo</t>
  </si>
  <si>
    <t xml:space="preserve">Número de acciones del plan de apoyo a veedurias avanzadas / Número de acciones del plan de apoyo a veedurias requeridas * 100 </t>
  </si>
  <si>
    <t>Organizaciones Sociales / Veedurías / Entidades Territoriales</t>
  </si>
  <si>
    <t>12.2</t>
  </si>
  <si>
    <t>Realizar asistencias técnicas a organizaciones sociales, comunitarias, redes y entidades territoriales.</t>
  </si>
  <si>
    <t xml:space="preserve">Sumatoria de número de asistencias técnicas realizadas. </t>
  </si>
  <si>
    <t>12.3</t>
  </si>
  <si>
    <t>Apoyar la sesion de la red interinstitucional de apoyo a veedurias nacionales.</t>
  </si>
  <si>
    <t>Actas o Informes de sesiones</t>
  </si>
  <si>
    <t>Número de acciones de apoyo a la Red Interinstitucional</t>
  </si>
  <si>
    <t>Sumatoria de número de acciones de apoyo a la Red Interinstitucional apoyadas</t>
  </si>
  <si>
    <t>Veedurías Ciudadanas</t>
  </si>
  <si>
    <t>PMI B.G.2</t>
  </si>
  <si>
    <t>12.4</t>
  </si>
  <si>
    <t>Implementar mecanismos de control y veedurías ciudadanas que se prevean con participación de mujeres.</t>
  </si>
  <si>
    <t>Informes de mecanismos implementados</t>
  </si>
  <si>
    <t>Número de mecanismos implementados</t>
  </si>
  <si>
    <t>Sumatoria de número de mecanismos implementados</t>
  </si>
  <si>
    <t>Veedurías Ciudadanas / Mujeres</t>
  </si>
  <si>
    <r>
      <rPr>
        <b/>
        <sz val="8"/>
        <color theme="1"/>
        <rFont val="Aptos Narrow"/>
        <family val="2"/>
        <scheme val="minor"/>
      </rPr>
      <t xml:space="preserve">5. </t>
    </r>
    <r>
      <rPr>
        <sz val="8"/>
        <color theme="1"/>
        <rFont val="Aptos Narrow"/>
        <family val="2"/>
        <scheme val="minor"/>
      </rPr>
      <t xml:space="preserve">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
</t>
    </r>
    <r>
      <rPr>
        <b/>
        <sz val="8"/>
        <color theme="1"/>
        <rFont val="Aptos Narrow"/>
        <family val="2"/>
        <scheme val="minor"/>
      </rPr>
      <t>7</t>
    </r>
    <r>
      <rPr>
        <sz val="8"/>
        <color theme="1"/>
        <rFont val="Aptos Narrow"/>
        <family val="2"/>
        <scheme val="minor"/>
      </rPr>
      <t xml:space="preserve">. Actores Diferenciales para el Cambio
</t>
    </r>
    <r>
      <rPr>
        <b/>
        <sz val="8"/>
        <color theme="1"/>
        <rFont val="Aptos Narrow"/>
        <family val="2"/>
        <scheme val="minor"/>
      </rPr>
      <t>08.</t>
    </r>
    <r>
      <rPr>
        <sz val="8"/>
        <color theme="1"/>
        <rFont val="Aptos Narrow"/>
        <family val="2"/>
        <scheme val="minor"/>
      </rPr>
      <t xml:space="preserve"> El campesinado colombiano como actor de cambio
</t>
    </r>
    <r>
      <rPr>
        <b/>
        <sz val="8"/>
        <color theme="1"/>
        <rFont val="Aptos Narrow"/>
        <family val="2"/>
        <scheme val="minor"/>
      </rPr>
      <t>4.</t>
    </r>
    <r>
      <rPr>
        <sz val="8"/>
        <color theme="1"/>
        <rFont val="Aptos Narrow"/>
        <family val="2"/>
        <scheme val="minor"/>
      </rPr>
      <t xml:space="preserve"> Mayor participación del campesinado con fortalecimiento de los mecanismos de interlocución</t>
    </r>
  </si>
  <si>
    <t>*Sentencia 2028/2018
*Ley 2219/2022
*Indicador Programático 05</t>
  </si>
  <si>
    <t xml:space="preserve">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</si>
  <si>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</si>
  <si>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</si>
  <si>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 xml:space="preserve">Durante este trimestre se realizaron las acciones de alistamiento y construcción de estrategias y metodologías para la ejecución de las actividades. Adicionalmente se atendieron cuatro (4) espacios de diálogo social con las organizaciones campesinas. </t>
  </si>
  <si>
    <t>Durante este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</si>
  <si>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</si>
  <si>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Trimestre se avanzó en 60 acciones para fortalecimiento del campesinado: 50 asistencias, 1 sistema de información, 1 campaña visibilizarían, 1 conmemoración Día mujer rural, 1 ciclo socialización oferta, 2 espacios articulación, 1 encuentro mujeres, 1 ciclo conversatorios, 1 foro y 1 encuentro juventudes.
Oct: 43, Nov:10, Dic: 7</t>
  </si>
  <si>
    <t>Durante el año 2023 se logró el avance de 119 acciones que permitieron el fortalecimiento y reconocimiento del campesinado y las organizaciones, sin embargo, no se logró el total de la meta definida, toda vez que el proceso Banco de Proyectos culminará en la vigencia 2024.</t>
  </si>
  <si>
    <t xml:space="preserve">I TRIMESTRE: Realización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</si>
  <si>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</si>
  <si>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</si>
  <si>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</si>
  <si>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</si>
  <si>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logró el avance de 21 acciones que permitieron el fortalecimiento y reconocimiento del campesinado y las organizaciones, mediante 21 mesas y espacios de articulación.
Ene: 7; Feb: 9, Mar: 5 </t>
  </si>
  <si>
    <t>Durante el segundo trimestre se logró el avance de 56 acciones que permitieron el fortalecimiento y reconocimieno del campesinado y las organizaciones, mediante 19 asistencias técnicas, 1 conmemoración del Día del Campesino, 3 socializaciones oferta institucional, 30 espacios de diálogo y 3 procesos de participacion de la politica publica.
Abr: 17, May: 17, Jun: 22</t>
  </si>
  <si>
    <t>Durante el tercer trimestre se logró el avance de 74 acciones que permitieron el fortalecimiento y reconocimieno del campesinado y las organizaciones, mediante 13 asistencias técnicas, 5 visibilizaciones del Campesino, 8 socializaciones oferta institucional, 46 espacios de diálogo y 2 procesos de participacion de la politica publica.
Jul: 24, Ago: 26, Sep: 24</t>
  </si>
  <si>
    <t>13.1</t>
  </si>
  <si>
    <t>Fortalecer las instancias y procesos de participación y decisión de las organizaciones campesinas.</t>
  </si>
  <si>
    <t>Instancias y proceso de participación y decisión del sector campesino fortalecidos</t>
  </si>
  <si>
    <t>Sumatoria de número de Instancias y proceso de participación y decisión fortalecidos</t>
  </si>
  <si>
    <t>Entidades Territoriales / Organizaciones Campesinas / Población Campesina</t>
  </si>
  <si>
    <t>13.2</t>
  </si>
  <si>
    <t>Visibilizar y promover el reconocimiento de los derechos y los procesos organizativos del campesinado</t>
  </si>
  <si>
    <t>Actas o informes de actividades</t>
  </si>
  <si>
    <t>Acciones de visibilización de las organizaciones campesinas implementadas</t>
  </si>
  <si>
    <t>Sumatoria de número de acciones de visibilización de las organizaciones campesinas implementadas</t>
  </si>
  <si>
    <t>Organizaciones Campesinas / Población Campesina</t>
  </si>
  <si>
    <t>*Conpes 4080/2022 Act. 2.17</t>
  </si>
  <si>
    <t>13.3</t>
  </si>
  <si>
    <t>Fortalecer los procesos de participación de la mujer campesina.</t>
  </si>
  <si>
    <t>Acciones de fortalecimiento para la mujer campesina realizadas</t>
  </si>
  <si>
    <t>Sumatoria de número de acciones de fortalecimiento para la mujer campesina realizadas</t>
  </si>
  <si>
    <t>Mujeres / Población Campesina</t>
  </si>
  <si>
    <t>13.4</t>
  </si>
  <si>
    <t>Fortalecer los procesos de participación de los y las jóvenes campesinos.</t>
  </si>
  <si>
    <t>Acciones de fortalecimiento realizadas</t>
  </si>
  <si>
    <t>Sumatoria de número de acciones de fortalecimiento realizadas</t>
  </si>
  <si>
    <t>Jóvenes / Población Campesina</t>
  </si>
  <si>
    <t>13.5</t>
  </si>
  <si>
    <t>Impulsar el desarrollo y gestión de las organizaciones campesinas que impacten a los territorios a través de un estímulo y/o acompañamiento a sus iniciativas y actividades.</t>
  </si>
  <si>
    <t>Número de iniciativas para organizaciones y asociaciones del sector campesino apoyadas</t>
  </si>
  <si>
    <t>Sumatoria de número de iniciativas para organizaciones y asociaciones del sector campesino apoyadas</t>
  </si>
  <si>
    <t>13.6</t>
  </si>
  <si>
    <t>Socializar el portafolio de la oferta institucional con las organizaciones campesinas.</t>
  </si>
  <si>
    <t>Socializaciones de portafolio realizadas</t>
  </si>
  <si>
    <t>Sumatoria de número de socializaciones de portafolio realizadas</t>
  </si>
  <si>
    <t>13.7</t>
  </si>
  <si>
    <t>Coordinar espacios de diálogo y articulación interinstitucional para la población campesina.</t>
  </si>
  <si>
    <t>Espacios de articulación interinstitucional coordinados</t>
  </si>
  <si>
    <t>Número de espacios de articulación interinstitucional del sector campesino Coordinados / Número de espacios de articulación interinstitucional del sector campesino requeridos * 100</t>
  </si>
  <si>
    <r>
      <rPr>
        <b/>
        <sz val="8"/>
        <rFont val="Aptos Narrow"/>
        <family val="2"/>
        <scheme val="minor"/>
      </rPr>
      <t>9.</t>
    </r>
    <r>
      <rPr>
        <sz val="8"/>
        <rFont val="Aptos Narrow"/>
        <family val="2"/>
        <scheme val="minor"/>
      </rPr>
      <t xml:space="preserve"> Jóvenes en paz</t>
    </r>
    <r>
      <rPr>
        <b/>
        <sz val="8"/>
        <rFont val="Aptos Narrow"/>
        <family val="2"/>
        <scheme val="minor"/>
      </rPr>
      <t xml:space="preserve">
14. </t>
    </r>
    <r>
      <rPr>
        <sz val="8"/>
        <rFont val="Aptos Narrow"/>
        <family val="2"/>
        <scheme val="minor"/>
      </rPr>
      <t xml:space="preserve">Una sociedad para la vida, garante de derechos y en condiciones de igualdad hasta que la dignidad se haga costumbre
</t>
    </r>
    <r>
      <rPr>
        <b/>
        <sz val="8"/>
        <rFont val="Aptos Narrow"/>
        <family val="2"/>
        <scheme val="minor"/>
      </rPr>
      <t xml:space="preserve">23. </t>
    </r>
    <r>
      <rPr>
        <sz val="8"/>
        <rFont val="Aptos Narrow"/>
        <family val="2"/>
        <scheme val="minor"/>
      </rPr>
      <t>Empoderamiento integral de las mujeres</t>
    </r>
  </si>
  <si>
    <t>13.8</t>
  </si>
  <si>
    <t xml:space="preserve">Apoyar el proceso de participación y concertación de la política pública sobre el campesinado. </t>
  </si>
  <si>
    <t>Jornadas de procesos de participación apoyadas</t>
  </si>
  <si>
    <t>Sumatoria de número de jornadas de  procesos de participación apoyadas</t>
  </si>
  <si>
    <r>
      <rPr>
        <b/>
        <sz val="8"/>
        <color theme="1"/>
        <rFont val="Aptos Narrow"/>
        <family val="2"/>
        <scheme val="minor"/>
      </rPr>
      <t>5.</t>
    </r>
    <r>
      <rPr>
        <sz val="8"/>
        <color theme="1"/>
        <rFont val="Aptos Narrow"/>
        <family val="2"/>
        <scheme val="minor"/>
      </rPr>
      <t xml:space="preserve"> 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Efectividad de los dispositivos de participación ciudadana, política y electoral</t>
    </r>
  </si>
  <si>
    <t>*Ley 2166/2021
*Plan Acción PIGMLDH Act. 4.2.1</t>
  </si>
  <si>
    <t xml:space="preserve">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</si>
  <si>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</si>
  <si>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</si>
  <si>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Para el primer trimestre del año 2023 se realizo fortalecimiento a 3236 Organizaciones de Accion Comunal, Gobernaciones y Alcaldias  atraves de Visitas de Inspeccion Control y Vigilancia.</t>
  </si>
  <si>
    <t>Para el Segundo trimestre del año 2023, se realizó el fortalecimiento a 4,837 organizaciones de acción comunal, mediante la realización de 20 Visitas de Asesoría técnica, 14 visitas Inspeccion Control y Vigilancia, 4,803 Registros Unicos Comunales a nivel Nacional.
Abril: 1,613, Mayo: 1515, Junio: 1,709 Total: (4,837)</t>
  </si>
  <si>
    <t>Para el Tercer trimestre, se realizó el fortalecimiento a 1,358 organizaciones de acción comunal, mediante la realización de 28 Visitas de Asesoría técnica, 16 visitas Inspeccion Control y Vigilancia, 1,314 Registros Unicos Comunales a nivel Nacional.
Julio: 439, Agosto: 530, Septiembre: 389 Total: (1.358)</t>
  </si>
  <si>
    <t>Para el  Cuarto trimestre,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</si>
  <si>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</si>
  <si>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 xml:space="preserve">Durante el  primer trimestre se realizo 591 procesos de fortalecimiento de los organismos de Accion Comunal
Enero: 57 Organismos registrado en el Registro Unico Comunal 
Febrero: 150 Organismos registrado en el Registro Unico Comunal 
Marzo: 384 actividades de la siguiente manera 373  Organismos fortalecidos en Registro Unico Comunal , 6 Asesorias 4 Inspecciones y una estrategia implementada. 
</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</si>
  <si>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</si>
  <si>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</si>
  <si>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Para el cuarto trimestre se realizaron 879 acciones para fortalecer las capacidades de los organismos de acción comunal: 9 visitas de asistencia técnica, 1 visita inspeccion, 652 RUC, 3 mesas seguridad, 9 acciones de fortalecimiento y 205 inciiativas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</si>
  <si>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</si>
  <si>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 xml:space="preserve">Durante el Primer trimestre se logró el avance de 157 acciones que permitieron el fortalecimiento de las capacidades de los organismos de acción comunal:
10 visitas de asistencias técnicas y jurídicas, 3 IVC, 142 incripcionas al RUC y 2 mesas de seguridad. Sin embargo, no se logró el cumplimiento total de la meta, toda vez que no se cumplieron los 200 RUC aprobados puesto que 168 procesos fueron devueltos, principalmente por inconsistencias documentales, errores en la información o ausencia de soportes requeridos.
Ene: 3; Feb: 134, Mar: 20 </t>
  </si>
  <si>
    <t>Durante el segundo trimestre se logró el avance de 357 acciones que permitieon el fortalecimiento de los organismos de accion comuna, mediante 20 visitas de asistencia tecnica y juridica, 10 visitas Inspección, Vigilancia y Control - IVC, 325 inscripciones a Registro Unico Comunal aprobadas y 2 mesas de seguridad.
Abr: 33, May: 145, Jun: 179</t>
  </si>
  <si>
    <t>Durante el tercer trimestre se logró el avance de 1,098 acciones que permitieron el fortalecimiento de los organismos de accion comunal, mediante 41 visitas de asistencia tecnica y juridica, 20 visitas Inspección, Vigilancia y Control - IVC, 1013 inscripciones a Registro Unico Comunal aprobadas y 4 mesas de seguridad y 20 procesos de fortalecimiento organizativo del Banco de iniciativas comunales.
Jul: 501, Ago: 414, Sep: 183</t>
  </si>
  <si>
    <t>14.1</t>
  </si>
  <si>
    <t>Realizar visitas de asistencia técnica y jurídica a las entidades de segundo nivel (Gobernaciones y Alcaldías delegadas)</t>
  </si>
  <si>
    <t>Actas o informes de visitas</t>
  </si>
  <si>
    <t>Visitas de asistencia técnica realizadas</t>
  </si>
  <si>
    <t>Sumatoria de número de visitas de asistencia técnica realizadas</t>
  </si>
  <si>
    <t>Entidades Territoriales</t>
  </si>
  <si>
    <t>Ley 2166/2021
*Conpes 4080/2022 Act. 2.14
*Indicador Programático 05</t>
  </si>
  <si>
    <t>14.2</t>
  </si>
  <si>
    <t>Realizar visitas de inspección, vigilancia y control a las organizaciones de tercer y cuarto grado.</t>
  </si>
  <si>
    <t>Actas de visitas</t>
  </si>
  <si>
    <t>Visitas de inspección, vigilancia y control realizadas</t>
  </si>
  <si>
    <t>Sumatoria de número de visitas de inspección, vigilancia y control realizadas</t>
  </si>
  <si>
    <t>Federaciones de Acción Comunal</t>
  </si>
  <si>
    <t>Ley 2166/2021</t>
  </si>
  <si>
    <t>14.3</t>
  </si>
  <si>
    <t>Diseñar, estructurar e implementar el Sistema de Información Comunal
(Art.  66 Software contable
Art. 79 Sistema de Información  Comunal Ley 2166/2021)</t>
  </si>
  <si>
    <t>Documentos de avance del proceso de diseño, elaboración e implementación.</t>
  </si>
  <si>
    <t xml:space="preserve"> Acciones de diseño, estructuración e implementación del Sistema de Información Comunal realizadas</t>
  </si>
  <si>
    <t>Sumatoria de porcentaje de avance de diseño, estructuración e implementación del Sistema de Información Comunal
Hito 1. Diseño: 20%
Hito 2. Estructuración: 30%
Hito 3. Implementación: 50%</t>
  </si>
  <si>
    <t>Organismos de Acción Comunal</t>
  </si>
  <si>
    <t>*Ley 2166/2021
*Indicador sectorial Sinergia ID209</t>
  </si>
  <si>
    <t>14.4</t>
  </si>
  <si>
    <t>Realizar inscripción y/o actualización del Registro Único Comunal Sistematizado de los Organismos de Acción Comunal, apoyados en jornadas de capacitación RUC.</t>
  </si>
  <si>
    <t xml:space="preserve">Informes RUC
Informes Jornadas
</t>
  </si>
  <si>
    <t>Organizaciones de Accion Comunal Inscritas o actualizadas en el Registro Unico Comunal</t>
  </si>
  <si>
    <t>Sumatoria de número de organizaciones de Accion Comunal inscritas o actualizadas en el Registro Unico Comunal</t>
  </si>
  <si>
    <t>14.5</t>
  </si>
  <si>
    <t>Implementar actividades de promoción para la Paz Total, Derechos Humanos y respeto por la vida de los líderes comunales 
(Foro y Mesas de Seguridad).</t>
  </si>
  <si>
    <t>Informes y/o Actas de actividades</t>
  </si>
  <si>
    <t>Actividades de promoción para la Paz Total implementadas</t>
  </si>
  <si>
    <t>Sumatoria de número de actividades de promoción para la Paz Total implementadas</t>
  </si>
  <si>
    <t>*PMI F.343
*INICIATIVAS PDET</t>
  </si>
  <si>
    <t>14.6</t>
  </si>
  <si>
    <t xml:space="preserve">Realizar acciones de fortalecimiento organizativo para la Construcción de Paz. </t>
  </si>
  <si>
    <t>14.7</t>
  </si>
  <si>
    <t xml:space="preserve">Diseñar e implementar estrategia de divulgación, promoción y visibilización de las acciones comunales del territorio nacional (Emisoras comunales). </t>
  </si>
  <si>
    <t>Documento de estrategia
Informes de divulgación y socialización</t>
  </si>
  <si>
    <t>Acciones de divulgación y promoción realizadas</t>
  </si>
  <si>
    <t>Sumatoria de número de diseño e implementación de una estrategia de divulgación, promoción y visibilización de las acciones comunales del territorio nacional.
Hito 1. Diseño de la estrategia: 1
Hito 2. Implementación: 43</t>
  </si>
  <si>
    <t>14.8</t>
  </si>
  <si>
    <t>Impulsar el desarrollo y gestión de los organismos de Acción Comunal que impacten a los territorios a través de un estímulo y/o acompañamiento a sus iniciativas y actividades.</t>
  </si>
  <si>
    <t>Número de iniciativas para organismos de Acción Comunal a nivel nacional apoyadas</t>
  </si>
  <si>
    <t>Sumatoria de número de iniciativas para organismos de Acción Comunal a nivel nacional apoyadas</t>
  </si>
  <si>
    <t>14.9</t>
  </si>
  <si>
    <t>Diseñar e implementar una estrategia de promoción para el  proceso electoral comunal de los organismos de acción comunal.</t>
  </si>
  <si>
    <t>Documento de estrategia
Informes de promoción</t>
  </si>
  <si>
    <t>Acciones de promoción para el proceso electoral realizadas</t>
  </si>
  <si>
    <t>Sumatoria de número de diseño e implementación de una estrategia de promoción para el  proceso electoral comunal de los organismos de acción comunal.
Hito 1. Diseño de la estrategia: 1
Hito 2. Implementación: 32</t>
  </si>
  <si>
    <t>*Ley 2166/2021
* Conpes 4080/2022 Act. 2.12
*Plan Acción PIGMLDH Act. 4.3.1</t>
  </si>
  <si>
    <t>14.10</t>
  </si>
  <si>
    <t>Implementar un programa de incentivos para que más mujeres participen en las organizaciones de la acción comunal y escalen a los cargos de más alto nivel de las organizaciones comunales.</t>
  </si>
  <si>
    <t>Documento programa
Informes de implementación</t>
  </si>
  <si>
    <t>Acciones de diseño e implementación de un programa de incentivos para mujeres realizadas</t>
  </si>
  <si>
    <t>Sumatoria de número de diseño e implementación de un programa de incentivos para que más mujeres participen en las organizaciones de la acción comunal y escalen a los cargos de más alto nivel de las organizaciones comunales.
Hito 1. Diseño del programa: 1
Hito 2. Implementación: 4</t>
  </si>
  <si>
    <t>*Ley 2166/2021
* Conpes 4080/2022 Act. 2.13</t>
  </si>
  <si>
    <t>14.11</t>
  </si>
  <si>
    <t>Diseñar e implementar una estrategia orientada a facilitar y promover el"salto" entre el liderazgo social y comunitario de las mujeres al liderazgo político.</t>
  </si>
  <si>
    <t xml:space="preserve"> Acciones de estrategia diseñada e implementadas</t>
  </si>
  <si>
    <t>Sumatoria de número de diseño e implementación de una estrategia orientada a facilitar y promover el"salto" entre el liderazgo social y comunitario de las mujeres al liderazgo políitico.
Hito 1. Diseño de la estrategia: 1
Hito 2. Implementación: 10</t>
  </si>
  <si>
    <r>
      <rPr>
        <b/>
        <sz val="8"/>
        <rFont val="Aptos Narrow"/>
        <family val="2"/>
        <scheme val="minor"/>
      </rPr>
      <t>14.</t>
    </r>
    <r>
      <rPr>
        <sz val="8"/>
        <rFont val="Aptos Narrow"/>
        <family val="2"/>
        <scheme val="minor"/>
      </rPr>
      <t xml:space="preserve"> Una sociedad para la vida, garante de derechos y en condiciones de igualdad hasta que la dignidad se haga costumbre</t>
    </r>
  </si>
  <si>
    <t>*Ley 2166/2021</t>
  </si>
  <si>
    <t>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</si>
  <si>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</si>
  <si>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</si>
  <si>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1. Se elaboró la ficha técnica del componente de Grupo de Accion Comunal, dentro del proceso de contratación “Banco de Proyectos 2023”. Linea mejoramiento de Entornos
2. Se elaboró la “justificación de la necesidad” de los estudios previos para contratar un operador que cumpla con el objeto a definir del proceso “Banco de Proyectos 2023".</t>
  </si>
  <si>
    <t>III TRIMESTRE: No tiene meta programada, sin embargo, se adelanta proceso de estructuración de los terminos de referencia del programa Banco de Acciones Comunales.</t>
  </si>
  <si>
    <t>IV TRIMESTRE: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</si>
  <si>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</si>
  <si>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</si>
  <si>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Durante el segundo trimestre de 2024 se apoyaron 103 iniciativas correspondientes a las líneas para organismos de acción comunal Banco de Proyectos 2023.
Abr: 0, May: 0, Jun: 103</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</si>
  <si>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</si>
  <si>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</si>
  <si>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fortaleicmiento de los organismos de accion comunal</t>
  </si>
  <si>
    <t>No tiene meta programada para este trimestre.</t>
  </si>
  <si>
    <t>Durante el tercer trimestre no hay meta programada, sin embargo, se avanzó en 44 acciones correspondientes a: 1 Asamblea Nacional de Reforma y Aprobación de Estatutos de la Confederación Nacional de Acción Comunal en la Ciudad de Bogotá del 25 al 28 de julio y 43 proyectos de restauración ecológica implementados.
Jul: 1, Ago: 43, Sep: 0</t>
  </si>
  <si>
    <t>15.1</t>
  </si>
  <si>
    <t>Implementar las acciones de fortalecimiento de las organizaciones de acción comunal 
(Socialización Política Pública de Acción Comunal)</t>
  </si>
  <si>
    <t>Documento de Política
Informes de actividades</t>
  </si>
  <si>
    <t>Acciones de fortalecimiento implementadas</t>
  </si>
  <si>
    <t>Sumatoria de número de acciones de fortalecimiento implementadas</t>
  </si>
  <si>
    <t>C-3704-1000-6</t>
  </si>
  <si>
    <t>FORTALECIMIENTO DE LAS CAPACIDADES DE LOS ORGANISMOS DE ACCIÓN COMUNAL PARA EL DESARROLLO DE SUS PROPÓSITOS Y ATENCIÓN DE SUS NECESIDADES EN EL MARCO DE LA LEY 2166 DE 2021 A PARTIR DEL EJERCICIO DE LA DEMOCRACIA PARTICIPATIVA A NIVEL NACIONAL</t>
  </si>
  <si>
    <r>
      <rPr>
        <b/>
        <sz val="8"/>
        <color theme="1"/>
        <rFont val="Aptos Narrow"/>
        <family val="2"/>
        <scheme val="minor"/>
      </rPr>
      <t>5.</t>
    </r>
    <r>
      <rPr>
        <sz val="8"/>
        <color theme="1"/>
        <rFont val="Aptos Narrow"/>
        <family val="2"/>
        <scheme val="minor"/>
      </rPr>
      <t xml:space="preserve"> Convergencia regional
</t>
    </r>
    <r>
      <rPr>
        <b/>
        <sz val="8"/>
        <color theme="1"/>
        <rFont val="Aptos Narrow"/>
        <family val="2"/>
        <scheme val="minor"/>
      </rPr>
      <t>6.</t>
    </r>
    <r>
      <rPr>
        <sz val="8"/>
        <color theme="1"/>
        <rFont val="Aptos Narrow"/>
        <family val="2"/>
        <scheme val="minor"/>
      </rPr>
      <t xml:space="preserve"> Dispositivos democráticos de participación: política de diálogo permanente con decisiones desde y para el territorio
</t>
    </r>
    <r>
      <rPr>
        <b/>
        <sz val="8"/>
        <color theme="1"/>
        <rFont val="Aptos Narrow"/>
        <family val="2"/>
        <scheme val="minor"/>
      </rPr>
      <t>b.</t>
    </r>
    <r>
      <rPr>
        <sz val="8"/>
        <color theme="1"/>
        <rFont val="Aptos Narrow"/>
        <family val="2"/>
        <scheme val="minor"/>
      </rPr>
      <t xml:space="preserve"> Efectividad de los dispositivos de participación ciudadana, política y electoral
</t>
    </r>
    <r>
      <rPr>
        <b/>
        <sz val="8"/>
        <color theme="1"/>
        <rFont val="Aptos Narrow"/>
        <family val="2"/>
        <scheme val="minor"/>
      </rPr>
      <t>7.</t>
    </r>
    <r>
      <rPr>
        <sz val="8"/>
        <color theme="1"/>
        <rFont val="Aptos Narrow"/>
        <family val="2"/>
        <scheme val="minor"/>
      </rPr>
      <t xml:space="preserve"> Actores Diferenciales para el Cambio
</t>
    </r>
    <r>
      <rPr>
        <b/>
        <sz val="8"/>
        <color theme="1"/>
        <rFont val="Aptos Narrow"/>
        <family val="2"/>
        <scheme val="minor"/>
      </rPr>
      <t>01.</t>
    </r>
    <r>
      <rPr>
        <sz val="8"/>
        <color theme="1"/>
        <rFont val="Aptos Narrow"/>
        <family val="2"/>
        <scheme val="minor"/>
      </rPr>
      <t xml:space="preserve"> El cambio es con las mujeres
</t>
    </r>
    <r>
      <rPr>
        <b/>
        <sz val="8"/>
        <color theme="1"/>
        <rFont val="Aptos Narrow"/>
        <family val="2"/>
        <scheme val="minor"/>
      </rPr>
      <t>06</t>
    </r>
    <r>
      <rPr>
        <sz val="8"/>
        <color theme="1"/>
        <rFont val="Aptos Narrow"/>
        <family val="2"/>
        <scheme val="minor"/>
      </rPr>
      <t>. Jóvenes con derechos que lideran las transformaciones para la vida</t>
    </r>
  </si>
  <si>
    <t>15.2</t>
  </si>
  <si>
    <t>Apoyar el acceso a la educación superior de jóvenes, mujeres y miembros de los organismos de acción comunal</t>
  </si>
  <si>
    <t>Personas formadas</t>
  </si>
  <si>
    <t>Sumatoria de número de personas formadas</t>
  </si>
  <si>
    <t>Jóvenes y Mujeres de Juntas de Acción Comunal</t>
  </si>
  <si>
    <t>15.3</t>
  </si>
  <si>
    <t>Capacitar a las organizaciones de acción comunal con el programa de formación de formadores para el empoderamiento de sus dignatarios y afiliados.</t>
  </si>
  <si>
    <t>Sumatoria de número de personas capacitadas</t>
  </si>
  <si>
    <t>*Ley 2166/2021
*Plan Acción PIGMLDH Act. 1.5.3.</t>
  </si>
  <si>
    <t>15.4</t>
  </si>
  <si>
    <t>Capacitar a los organismos de acción comunal mediante cursos para afianzar sus conocimientos en áreas y temáticas de importancia para la acción comunal</t>
  </si>
  <si>
    <t>15.5</t>
  </si>
  <si>
    <t>Apoyar los diferentes espacios de participación de los organismos de acción comunal y en el Congreso Nacional de Acción Comunal.</t>
  </si>
  <si>
    <t>15.6</t>
  </si>
  <si>
    <t>Implementar el programa de incentivos para promover la participación y liderazgo de las mujeres en las Organizaciones de Acción Comunal</t>
  </si>
  <si>
    <t>Organizaciones de mujeres beneficiadas</t>
  </si>
  <si>
    <t>Sumatoria de número de organizaciones de mujeres beneficiadas</t>
  </si>
  <si>
    <t>Mujeres de Juntas de Acción Comunal</t>
  </si>
  <si>
    <t>15.7</t>
  </si>
  <si>
    <t>Implementar un programa de incentivos para promover la participación de los jóvenes en el ejercicio comunal</t>
  </si>
  <si>
    <t>Organizaciones de jóvenes beneficiadas</t>
  </si>
  <si>
    <t>Sumatoria de número de organizaciones de jóvenes beneficiadas</t>
  </si>
  <si>
    <t>Jóvenes de Juntas de Acción Comunal</t>
  </si>
  <si>
    <t>15.8</t>
  </si>
  <si>
    <t xml:space="preserve">Apoyar económicamente iniciativas productivas y sociales para el desarrollo comunitario, lideradas por las organizaciones de acción comunal.  </t>
  </si>
  <si>
    <t>Número de Organizaciones beneficiadas</t>
  </si>
  <si>
    <t>Sumatoria de número de Organizaciones beneficiadas</t>
  </si>
  <si>
    <t>Dejaremos atrás la guerra y entraremos por fin en una era de paz</t>
  </si>
  <si>
    <t>4. Paz total</t>
  </si>
  <si>
    <t>Colombia hacia una cultura de paz</t>
  </si>
  <si>
    <t>E. Objetivo 1. Promover la participación ciudadana, política y electoral</t>
  </si>
  <si>
    <t xml:space="preserve">No aplica </t>
  </si>
  <si>
    <t>Ley 2166 de 2021</t>
  </si>
  <si>
    <t>Desarrollar acuerdos y acciones concertadas entre los organismos de acción comunal y las instituciones estatales.</t>
  </si>
  <si>
    <t xml:space="preserve">Número de estrategias implementadas para Desarrollar acuerdos y acciones concertadas entre los organismos de acción comunal y las instituciones estatales. </t>
  </si>
  <si>
    <t xml:space="preserve">Sumatoria de estrategias implementadas para Desarrollar acuerdos y acciones concertadas entre los organismos de acción comunal y las instituciones estatales. </t>
  </si>
  <si>
    <t>Se avanzó en la realización de mesas técnicas con PNUD (Programa de Naciones Unidas para el Desarrollo), para la estructuración de la estrategia para la formulación del CONPES Comunal,  formulación de la Política Pública Nacional de Acción Comunal en el marco de la Ley 2166 de 2021, con el cual se busca generar acciones y concertaciones con las instituciones estatales.</t>
  </si>
  <si>
    <t>II TRIMESTRE: No tiene meta programada, sin embargo, se realizaron 7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t>
  </si>
  <si>
    <t xml:space="preserve">III TRIMESTRE: No tiene meta programada, sin embargo, se avanzaron en 8  mesas técnicas con el Departamento Nacional de Planeación, para la estructuración de la estrategia de formulación de la Política Pública Nacional de Acción Comunal en el marco de la Ley 2166 de 2021, con el cual se busca generar acciones y concertaciones con las instituciones estatales. </t>
  </si>
  <si>
    <t>IV TRIMESTRE: Se logró la suscripción del Convenio con PNUD en el mes de Noviembre para la estructuración de la Política Publica Comunal que permitirá la implementación de estrategias de fortalecimiento de las organizaciones de acción comunal para la atención de sus principales necesidades  concertadas entre los organismos de acción comunal y las instituciones estatales.
Oct: 1, Nov: 0, Dic: 1 Total: 1</t>
  </si>
  <si>
    <t>Durante el año 2023 se suscribió el convenio interadministrativo entre Ministerio del Interior y PNUD, con el fin de anuar esfuerzos para estructurar la Política Publica Comunal, la cual tendrá continuidad en la vigencia 2024.</t>
  </si>
  <si>
    <t>Implementar estrategias de formación y educación oportuna y adecuada para los miembros de los Organismos de Acción Comunal</t>
  </si>
  <si>
    <t>Número de pérsonas beneficiadas con estrategias de formación y educación oportuna y adecuada para los miembros de los Organismos de Acción Comunal</t>
  </si>
  <si>
    <t>Sumatoria de personas beneficiadas con estrategias de formación y educación oportuna y adecuada para los miembros de los Organismos de Acción Comunal</t>
  </si>
  <si>
    <t>Se avanza en la estructuracion del programa Formador de Formadores, para dar inicio a la etapa precontractual.</t>
  </si>
  <si>
    <t>II TRIMESTRE: No tiene meta programada, sin embargo, se adelanta la estructuración del convenio de cooperación para llevar a cabo la formación de 1000 personas.</t>
  </si>
  <si>
    <t>III TRIMESTRE: No tiene meta programada, sin embargo, se adelanta la estructuración del convenio de cooperación para llevar a cabo la formación de 1000 personas.</t>
  </si>
  <si>
    <t>IV TRIMESTRE: No se logró la meta establecida, toda vez que el convenio con PNUD que permitía su avance de suscribió en el mes de Noviembre. Bajo el programa Formador de Formadores se logrará la capacitación de los Organismos de Acción Comunal  para afianzar sus conocimientos en temáticas de acción comunal.</t>
  </si>
  <si>
    <t xml:space="preserve">No se logró el cumplimiento de la meta teniendo en cuenta que hasta el mes de noviembre fue dable la suscripción del convenio interadministrativo con PNUD, mediante el cual se logrará la capacitación de los Organismos de Acción Comunal para afianzar sus conocimientos en temáticas de acción comunal bajo el programa Formador de Formadores. </t>
  </si>
  <si>
    <t>Diálogo social regional permanente para la construcción de justicia social
Empoderamiento integral de las mujeres
Jóvenes en paz</t>
  </si>
  <si>
    <t>De la desigualdad hacia una sociedad garante de derechos: haremos realidad la constitución del 91 por fuera del negocio.
El cambio es con las mujeres.
De la desigualdad hacia una sociedad garante de derechos: haremos realidad la constitución del 91 por fuera del negocio.</t>
  </si>
  <si>
    <t xml:space="preserve">5. Convergencia regional  
Mujeres como motor del desarrollo económico sostenible y protectoras de la vida y del ambiente
Colombia, sociedad para la vida: Actores diferenciales para el cambio 
       </t>
  </si>
  <si>
    <t>Generar incentivos y  mecanismos de participación ciudadana para la promoción de la inclusión de nuevos liderazgos en los escenarios de los Organismos de Acción Comunal.</t>
  </si>
  <si>
    <t>Número de eventos para Generar incentivos y  mecanismos de participación ciudadana realizados</t>
  </si>
  <si>
    <t>Sumatoria de eventos  para Generar incentivos y  mecanismos de participación ciudadana realizados</t>
  </si>
  <si>
    <t>Durante el primer trimestre de 2023 a través del Grupo de acción Comunal se realizaron 3 eventos  para incentivar la participación Comunal
Enero: Dialogo Comunal Duitama
Febrero: Dialogo Comunal Norte de Santander.
Marzo: Asamblea Popular Comunal
 Enero:  1, Febrero: 1, Marzo: 1 Total 3</t>
  </si>
  <si>
    <t>II Trimestre,  no se realizaron actividades toda vez que la meta se cumplio en el primer trimestre.</t>
  </si>
  <si>
    <t>III TRIMESTRE: No se realizaron actividades toda vez que la meta se cumplió en el primer trimestre.</t>
  </si>
  <si>
    <t>IV TRIMESTRE: No se realizaron actividades toda vez que la meta se cumplió en el primer trimestre.</t>
  </si>
  <si>
    <t>Durante el año 2023 se logró el cumplimiento de la meta, mediante la realización de los 3 eventos programados con el objetivo de incentivar la participación comunal.</t>
  </si>
  <si>
    <t>Mejorar la participación del campesinado en la formulación de políticas, programas y proyectos en el territorio nacional.</t>
  </si>
  <si>
    <t>Número de acciones de participación del campesinado implementadas</t>
  </si>
  <si>
    <t>Sumatoria de número de acciones de participación del campesinado implementadas</t>
  </si>
  <si>
    <t xml:space="preserve">I Trimestre: No hay meta programada para este indicador. </t>
  </si>
  <si>
    <t>Durante el segundo semestre de 2024 no se tiene meta programada</t>
  </si>
  <si>
    <t>III Trimestre: No se logró el cumplimiento de la meta, son embargo, se adelantó una mesa de trabajo donde se revisó los documentos pre contractuales del Convenio o Contrato MinInterior. Se realizó un documento de propuesta para la Dirección para la Democracia la Participación Ciudadana y la Acción Comunal, en donde se describe el objeto, el presupuesto, la justificación y las acciones del Convenio o Contrato que se espera suscribir.</t>
  </si>
  <si>
    <t>IV Trimestre: No se logró el cumplimiento de la meta programada, teniendo en cuenta el aplazamiento de recursos establecido por el Decreto 0766 del 20 de junio de 2024 y la reducción de recursos realizada mediante Decreto 1522 del 18 de diciembre de 2024.</t>
  </si>
  <si>
    <t>No se logró el cumplimiento de la meta programada, teniendo en cuenta el aplazamiento de recursos establecido por el Decreto 0766 del 20 de junio de 2024 y la reducción de recursos realizada mediante Decreto 1522 del 18 de diciembre de 2024.</t>
  </si>
  <si>
    <t>19.1</t>
  </si>
  <si>
    <t>Desarrollar un sistema de registro y caracterización de las organizaciones campesinas.</t>
  </si>
  <si>
    <t>Informes de acciones</t>
  </si>
  <si>
    <t>Estrategias de promoción a la participación ciudadana implementadas</t>
  </si>
  <si>
    <t>Sumatoria de número de Estrategias de promoción a la participación ciudadana implementadas</t>
  </si>
  <si>
    <t>C-3704-1000-7</t>
  </si>
  <si>
    <t>MEJORAMIENTO DE LA PARTICIPACIÓN DEL CAMPESINADO EN LA FORMULACIÓN DE POLÍTICAS, PROGRAMAS Y PROYECTOS EN EL TERRITORIO NACIONAL.</t>
  </si>
  <si>
    <t>Organizaciones Campesinas</t>
  </si>
  <si>
    <t>19.2</t>
  </si>
  <si>
    <t>Realizar acciones de capacitación y formación a la población campesina en temas de participación ciudadana.</t>
  </si>
  <si>
    <t>Asistencias Técnicas Realizadas</t>
  </si>
  <si>
    <t>Sumatoria de número de Asistencias Técnicas Realizadas</t>
  </si>
  <si>
    <t>Población Campesina</t>
  </si>
  <si>
    <t>Dirección de Seguridad, Convivencia Ciudadana y Gobierno</t>
  </si>
  <si>
    <t>Nhora Yhanet Mondragon Ortiz</t>
  </si>
  <si>
    <t xml:space="preserve">36. Paz Total </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</si>
  <si>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</si>
  <si>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</si>
  <si>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16. Paz, Justicia e Instituciones Solidas</t>
  </si>
  <si>
    <t>2. Propiciar la seguridad y convivencia ciudadana, el orden público, así como la atención y control en situaciones que vulneren o amenacen a la población.- Convivencia y Seguridad Ciudadana</t>
  </si>
  <si>
    <t>3. Implementar políticas públicas y estrategias para la promoción de la  convivencia ciudadana y la seguridad en el ejercicio del liderazgo social y comunitario: Convivencia y Seguridad</t>
  </si>
  <si>
    <t>10.Educacion: Generacion de la Paz</t>
  </si>
  <si>
    <t>Formulación e implementación de la política pública de convivencia y seguridad humana</t>
  </si>
  <si>
    <t>Política Pública de Convivencia y Seguridad Humana en el territorio Nacional</t>
  </si>
  <si>
    <t>Número de actividades ejecutadas para la formulación e implementación de la Política de Convivencia y seguridad Humana / Número de actividades  programadas para la fase de formulación de la Política de Convivencia y Seguridad Humana</t>
  </si>
  <si>
    <t>Durante la vigencia 2023, se realizaron 14 talleres en territorio, adicionalmente el documento en la versión 4. Se avanzó en la identificación de tres dimensiones de la política: Institucional, Comunitario y Personal; para cada una de las cuales se habrá un árbol de problemas y objetivos. Se dio inicio a la versión 5.</t>
  </si>
  <si>
    <t>En el primer trimestre de esta vigencia se realizaron las siguientes acciones
Enero: Se elaboraró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</si>
  <si>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https://mininteriorgovco.sharepoint.com/:w:/s/ppconvivenciayseguridad/EY3NTs-1j0RJptd3xrgkJuYB2XD1uDYFMINcWPOUH21zLg?e=umiWxy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(https://mininteriorgovco.sharepoint.com/:w:/s/ppconvivenciayseguridad/Ebe5QIe2okhAljxQIpCPP4QBtnC7RrPZtPz6ZDIkEINtig?e=ItLEtg)  
Junio: Luego de las mesas de trabajo con las direcciones y los grupos representativos del ministerio se logró una articulación lo que permitirá un documento mas solido e incluyente que permita mejorar la convivencia y seguridad para la vida.  (https://mininteriorgovco.sharepoint.com/:w:/s/ppconvivenciayseguridad/EcZACohcKfxErA49X00dC00B6acPZsQHewnAhr12BUrfmw?e=abu31f). </t>
  </si>
  <si>
    <t>Para la formulación e implementación de la política de seguridad humana y convivencia se realizaron 14 talleres en territorio, adiconalmente la dependencia  entrega el documento en la version 4. Se avanzó en la identificación de tres dimensiones de la política: Institucional, Comunitario y Personal; para cada una de las cuales se habrá un árbol de problemas y objetivos, que se terminarán una 
Se dio inicio a la versión 5 la cual debera incluir la revisión de equipo del minsiterio y las entidades participantes</t>
  </si>
  <si>
    <t>Durante el cuarto trimestre se terminó la formulación  la Política Pública de Convivencia y Seguridad para la Vida, un esfuerzo estratégico para consolidar una visión compartida en pro de la convivencia pacífica y la seguridad ciudadana en nuestro país. Asi mismo se realizo el plan de acción de implementación.</t>
  </si>
  <si>
    <t>Durante la vigencia 2024 se formuló la Política Pública de Convivencia y Seguridad para la Vida, un esfuerzo estratégico para consolidar una visión compartida en pro de la convivencia pacífica y la seguridad ciudadana en nuestro país. Asi mismo se realizo el plan de acción de su implementación en el territorio nacional.</t>
  </si>
  <si>
    <t>Durante el primer trimestre se desarrollaron 9 actividades de acuerdo con lo programado, en el mes de febrero:  Se reunió el equipo de política pública de la Dirección de Seguridad, Convivencia Ciudadana y Gobierno, para la revisión de la última versión del documento técnico borrador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interna virtual de consideraciones de la socialización del documento técnico "PCSCV" Política Publica de Convivencia y seguridad para la vida,  se realizó reunión virtual para la revisión de decreto c para la vida. Se realizó reunión virtual entre el equipo de política pública y organizaciones de DD.HH;. Se realizó reunión interna del equipo de política pública para la revisión del documento; Se realizó reunión entre el equipo de política pública con la Dirección de comunidades negras, afrocolombianas, raizales y palenqueras; Se realizó reunión interna del equipo de política pública para la organización de cronogramas de trabajo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</si>
  <si>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Durante el segundo trimestre de 2025, se consolidó el Plan de Acción de la PCSCV. Se ejecutaron 2 actividades programadas para el trimestres y 21 subactiviades como la revisión y ajuste del documento técnico y plan de acción , articulación interinstitucional con entidades nacionales y direcciones del viceministerio de Diálogo Social , y  la aprobación de acciones del plan de acción por  parte del Viceministerio de Dialogo Social.  Esto permitió avanzar significativamente en la formulación e implementación de la política</t>
  </si>
  <si>
    <t>Durante el tercer trimestre se ejecutaron 3 actividades de implementación  de estrategias de promoción y fortalecimiento de la convivencia en el marco de la seguridad humana, se implementaron  estrategias de promoción y fortalecimiento de la convivencia en el marco de la seguridad humana y se continua con el trabajo normativo del documento de política, adicionalmente se desarrollaron 37 subactividades como reuniones internas de equipo de trabajo para el seguimiento de los ajustes al documento de política pública, reuniones con participación con la Dirección de Asuntos Indígenas, Dirección de comunidades negras y Oficina Asesora de Planeación - OAP del Ministerio del Interior, así como también, con el Departamento Nacional de Planeación. Se adelantaron  asistencia técnicas con comunidad raizal en San Andrés islas, reuniones con la Dirección de comunidades negras para la construcción de los modelos de seguridad del indicador SINERGIA, reuniones internas para la revisión del diseño de metodologia, revision técnica del borrador del acto administrativo, y avances frente a la construcción del documento técnico</t>
  </si>
  <si>
    <t>Realizar asistencias técnicas a las entidades territoriales en temas relacionados con la gestión territorial de la convivencia y seguridad ciudadana</t>
  </si>
  <si>
    <t xml:space="preserve">Actas - Listados de asistencia </t>
  </si>
  <si>
    <t>Asistencias técnicas realizadas a entidades territoriales para fortalecer la gestión territorial de la convivencia y seguridad ciudadana</t>
  </si>
  <si>
    <t xml:space="preserve">Sumatoria del número de entidades territoriales asistidas en temáticas de gestión territorial.									</t>
  </si>
  <si>
    <t>C-3702-1000-16</t>
  </si>
  <si>
    <t>Fortalecimiento de la Capacidad de Articulación Territorial para la Incorporación de Estrategias de Convivencia y Seguridad Ciudadana Integral, Corresponsable, Contextualizada y Preventiva a nivel Nacional</t>
  </si>
  <si>
    <r>
      <rPr>
        <b/>
        <sz val="9"/>
        <color theme="1"/>
        <rFont val="Arial"/>
        <family val="2"/>
      </rPr>
      <t>OAP 11.12.2025</t>
    </r>
    <r>
      <rPr>
        <sz val="9"/>
        <color theme="1"/>
        <rFont val="Arial"/>
        <family val="2"/>
      </rPr>
      <t>: Dentro del proceso de formulación PEIA 2026, y de acuerdo a solicitud se ajusta el nombre de la iniciativa en concordancia con el nombre de la política, así como el indicador y la fómula de cálculo, aclarando que es política pública de seguridad humana, no seguridad para la vida.</t>
    </r>
  </si>
  <si>
    <t>Formulación e implementación de la Política Pública de Convivencia y Seguridad Humana</t>
  </si>
  <si>
    <t>Política Pública de Convivencia y Seguridad Humana en el territorio Nacional.</t>
  </si>
  <si>
    <t xml:space="preserve">Número de actividades ejecutadas para la formulación e implementación de la Política de Convivencia y seguridad Humana / Número de actividades  programadas para la fase de formulación de la Política de Convivencia y Seguridad Humana </t>
  </si>
  <si>
    <t>Realizar talleres técnicos para el fortalecimiento de las capacidades de las entidades territoriales y la formulación de planes de acción asociados a la mitigación de riesgos en materia de afectaciones de la convivencia y seguridad humana.</t>
  </si>
  <si>
    <t xml:space="preserve">Talleres técnicos para el fortalecimiento de las capacidades de las entidades territoriales para la mitigación de riesgos en materia de  convivencia y seguridad humana.									</t>
  </si>
  <si>
    <t xml:space="preserve">Sumatoria del número de talleres técnicos para la mitigación de riesgos en materia de convivencia y seguridad humana.									</t>
  </si>
  <si>
    <t xml:space="preserve">Realizar asistencias técnicas para la presentación y socialización de la Politica Pública de Convivencia y Seguridad Humana.
</t>
  </si>
  <si>
    <t xml:space="preserve"> Asistencias técnicas para la socialización de la Politica Pública de Convivencia y Seguridad Humana.</t>
  </si>
  <si>
    <t>Sumatoria del número de entidades territoriales asistidas en Politica Pública de Convivencia y Seguridad Humana</t>
  </si>
  <si>
    <t>Nhora Yhanet Mondragón Ortiz</t>
  </si>
  <si>
    <t>29. Nuevo ordenamiento territorial alrededor del agua</t>
  </si>
  <si>
    <t>DEMOCRATIZACIÓN DEL ESTADO, LIBERTADES FUNDAMENTALES
Y AGENDA INTERNACIONAL PARA LA VIDA
4.1. Democracia y gobernanza territorial</t>
  </si>
  <si>
    <t>COLOMBIA POTENCIA MUNDIAL DE LA VIDA 
Ordenamiento del territorio alrededor del agua y justicia ambiental
Convergencia regional</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</si>
  <si>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</si>
  <si>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Política pública de descentralización en el territorio nacional.</t>
  </si>
  <si>
    <t>Número de acciones adelantadas para Consolidar la descentralización política en el territorio./Número de acciones programadas para consolidar la descentralización)*100</t>
  </si>
  <si>
    <t>Para consolidar la descentralización política y administrativa, la dirección desarrolló 3 acciones así: *Solicitud al Ministerio de defensa el envío de los estudios adelantados por la entidad con relación a la conflictividad suscitada alrededor del agua, en el marco de lo proyectado en el Plan de Gobierno Actual. *El 9/03/2023 reunión interinstitucional convocada por el Ministerio de Relaciones Exteriores cuyo tema principal fue la prioridad asignada por el Gobierno Nacional para el Pleno desarrollo e integración de los territorios fronterizos. * Elaboración de los siguientes documentos normativos</t>
  </si>
  <si>
    <t>Durante el segundo trimestre para fortalecer la descentralización para el desarrollo regional y garantizar la seguridad en los territorios, desde el grupo de gobierno se acompañaron de manera transversal  las  acciones adelantadas por la Secretaría técnica de la CIPRAT, que permitió atender los requerimientos de la defensoría del pueblo con el fin de articular a las entidades nacionales y locales, en el marco de las Alertas emitidas.
Se realizó el acompañamiento a las sesiones adelantadas en el territorio en el marco de la articulación interinstitucional que con el gobierno nacional, a fin de fortalecer las acciones que en materia de descentralización administrativa deben cumplir las autoridades locales.</t>
  </si>
  <si>
    <t xml:space="preserve">Durante el tercer trimestre para fortalecer la descentralización para el desarrollo regional y garantizar la seguridad en los territorios, desde el grupo de gobierno se realizo Mesa de seguimiento PND componente Ordenamiento Territorial alrededor del Agua- Grupo Gobierno - Descentralización, en donde se concluyó que:
1. En armonización con sus objetivos, realizaremos  acompañamiento  a las ET, lo cual permitirá cumplir con los objetivos del actual gobierno, para que haya una adecuada coordinación con las entidades territoriales para la protección y la incorporación en los modelos de ordenamiento del territorio la prelación en la protección de los recursos hídricos y el manejo responsable de este, en el marco de lo dispuesto en artículo 32, que modifica el artículo 10 de la Ley 388 de 1997 con relación a los  DETERMINANTES DE ORDENAMIENTO TERRITORIAL Y SU ORDEN DE PREVALENCIA. </t>
  </si>
  <si>
    <t>Durante el cuarto trimestre se fortaleció la descentralización y el desarrollo regional,  garantizando la seguridad de los territorios, desde el grupo desde la dirección de Seguridad y Gobierno se realizo seguimiento PND " Plan Nacional de Desarrollo. 
+ Se adelantaron 7 sesiones virtuales y presenciales con el equipo de descentralización y Normativos con el fin de generar estrategias para las asistencias técnicas en el territorio durante el cuatrienio .
+ Se definieron los alcances de la estrategia y se concluyo la necesidad de estructurar la actividad orientándola al énfasis del fortalecimiento y consolidación de la descentralización especialmente en departamentos y municipios fronterizos.</t>
  </si>
  <si>
    <t>se brindo  acompañamiento a las cinco regiones geográficas (Andina, Pacífica, Caribe, Orinoquía- Amazonía y Santanderes), se hizo énfasis en  veinte (20) departamentos, y 62 municipios, se realizaron asistencias técnicas para el fortalecimiento de la gobernanza local en cumplimiento de la Ley 2135 de 2021 y 1801 de 2016</t>
  </si>
  <si>
    <t>Esta Iniciativa no fue posible cumplirla por falta de recursos, debido a que se eliminaron los mismos que estaban asignado en la vigencia 2023 de conformidad al decreto 1152 de la funciones de la Dirección de Seguridad, dado lo anterior se solicitara a la oficina Aseara de Planeación que sea retirada del Plan de Acción 2024 atendiendo lo dispuesto por la secretaria General frente al rubro y recursos para la Dirección</t>
  </si>
  <si>
    <r>
      <t>OAP. 11.09.2024. Se Eliminación o traslada la Iniciativa No</t>
    </r>
    <r>
      <rPr>
        <sz val="9"/>
        <color indexed="10"/>
        <rFont val="Arial"/>
        <family val="2"/>
      </rPr>
      <t xml:space="preserve"> 4</t>
    </r>
    <r>
      <rPr>
        <sz val="9"/>
        <color indexed="8"/>
        <rFont val="Arial"/>
        <family val="2"/>
      </rPr>
      <t xml:space="preserve"> “Consolidar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 por solicitud de la Dra. Rosa Serpa, Directora de la DSCCG, por solicitud a través de memorando con Radicado 2024-3-003100-024858 Id: 385901, con asunto solicitud "Alcance al Radicado 2024-3-003100-024262 Id: 382081Solicitud de Modificación PEI y PES de la Dirección de seguridad, Convivencia Ciudadana y Gobierno, para Reporte III Trimestre". </t>
    </r>
  </si>
  <si>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</si>
  <si>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</si>
  <si>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</si>
  <si>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</si>
  <si>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12.Reduccion de la violencia en zonas de conflicto</t>
  </si>
  <si>
    <t>Atender y hacer seguimiento al 100% de las alertas emitidas por la defensoría del pueblo y mejorar el proceso.</t>
  </si>
  <si>
    <t>Porcentaje de alertas tempranas atendidas por la CIPRAT de conformidad con el Decreto 2124 de 2017</t>
  </si>
  <si>
    <t>Número de Alertas tempranas estructurales y Alertas Tempranas de inminencia abordadas / Número de Alertas Tempranas estructurales y Alertas Tempranas de inminencia allegados por la Defensoría del Pueblo</t>
  </si>
  <si>
    <t>Durante la vigencia 2023 la Dirección de Seguridad atendió y realizó seguimiento al 100% de las alertas emitidas por la defensoría del pueblo a 39 alertas tempranas emitidas por la defensoría del pueblo. Dando de esta manera cumplimiento a la dispuesto en el decreto 2124 del 2017</t>
  </si>
  <si>
    <t>Febrero: AT 001-24 QUINDIO002-24, AT 002 NARIÑO. 
Marzo: AT 003-24 BOLIVAR, AT 004-24 BOGOTA D.C., AT 005-24 VALLE DEL CAUCA,  AT 006-24 META</t>
  </si>
  <si>
    <t>ABRIL:
1) AT 009-24, Bahía Solano, Jurado,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</si>
  <si>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En el tercer trimestre se atendieron el 100% de las Alertas Tempranas Emitidas por Defensoría del Pueblo
Julio: AT  017-24. Cumaribo (Vichada)
AT  018-24. Mesetas, Uribe (Meta)
AT  019-24. Caloto, Corinto, Jambaló, Miranda, Toribio (Cauca)
Agosto: AT  020-24. Hato Corozal, Paz de Ariporo (Casanare)
AT  021-24. San Alberto (Cesar); La Esperanza (Norte de Santander)
AT  022-24.  Baraya, Colombia, Neiva, Tello (Huila)
Septiembre: AT  023-24. Cartagena del Chairá (Caquetá)
AT  024-24. Quibdó (Chocó)</t>
  </si>
  <si>
    <t xml:space="preserve">Durante el presente trimestre No se recibieron alertas tempranas, siembargo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</si>
  <si>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 xml:space="preserve">Durante esta vigencia se atendieron 21 alertas tempranas logrando el 100% de atención de las Alertas Tempranas Emitidas por Defensoría del Pueblo
</t>
  </si>
  <si>
    <t>Durante el primer trimestre de la vigencia actual, fueron recibidas y atentadas 5 Alertas tempranas emitidas por la Defensoría del Pueblo.
AT-001-25 Amazonas/ Caquetá/Huila/ Metas Guaviare/Cauca/Putumayo, AT-002-25, Valle del Cauca, AT-003-25 Tolima , AT-004-25 Cauca , AT-005-25 Cesar</t>
  </si>
  <si>
    <t>Durante el segundo trimestre de la vigencia actual, fueron recibidas y atentidas 3 Alertas tempranas emitidas por la Defensoria del Pueblo.
AT-006-25 Valle del Cauca,                         AT-007-25 Chocó,                                         AT-008-25 Cauca</t>
  </si>
  <si>
    <t>Durante el tercer trimestre,la Dirección de seguridad, Convivencia Ciudadana y Gobierno, a través de la Secretaria Técnica de la CIPRAT, realizaron 5 sesiones de articulación para la atención y seguimiento de las 5 alertas tempranas emitidas por la Defensoria del Pueblo: AT 008-25 El Tambo, Patía (Cauca); AT 009-25 Chiriguaná (César)l; AT 010-25 Dibulla, Riohacha, San Juan del Cesar (La Guajira); AT 011-25 Bolivar, Riofrío,Trujillo (Valle del Cauca); AT 012-25 Cali (Valle del Cauca).</t>
  </si>
  <si>
    <t xml:space="preserve">Realizar sesiones de seguimiento de la CIPRAT, para coordinar y articular la respuesta institucional que contribuye a la mitigación de los escenarios de riesgo advertidos por la Defensoría del Pueblo en las Alertas Tempranas.
</t>
  </si>
  <si>
    <t xml:space="preserve">Acta con Listado de asistencia </t>
  </si>
  <si>
    <t>Sesiones de articulación realizadas por la CIPRAT de conformidad con el Decreto 2124 de 2017</t>
  </si>
  <si>
    <t>(Número de sesiones de articulación para atender las alertas tempranas / Número de alertas tempranas emitidas por la Defensoria del Pueblo)* 100%</t>
  </si>
  <si>
    <t xml:space="preserve">A-03-03-04-062 </t>
  </si>
  <si>
    <t>APOYO COMITÉ INTERINSTITUCIONAL DE ALERTAS TEMPRANAS CIAT SENTENCIA T-025 DE 2004.</t>
  </si>
  <si>
    <t xml:space="preserve">
Realizar el seguimiento a las recomendaciones emitidas y la evolución del escenario de riesgo descrito en las Alertas Tempranas emitidas por la Defensoria del Pueblo</t>
  </si>
  <si>
    <t>Seguimientos realizados a  las recomendaciones emitidas y descritas en las Alertas Tempranas atendidas</t>
  </si>
  <si>
    <t>(Número de seguimientos realizados / No de seguimientos programados)* 100%</t>
  </si>
  <si>
    <t>EL CAMBIO ES CON LAS MUJERES.
Hacia una vida libre de violencias contra las mujeres y por la garantía efectiva
de sus derechos sexuales y reproductivos</t>
  </si>
  <si>
    <t xml:space="preserve">Colombia, sociedad para la vida: Actores diferenciales para el cambio
3. Hacia una vida libre de violencias contra mujer y por la garantía de
sus derechos sexuales y reproductivos. </t>
  </si>
  <si>
    <t>Promover en las entidades territoriales la implementación de  programas de prevención y eliminación de todas las formas de violencia contra la mujer</t>
  </si>
  <si>
    <t xml:space="preserve">Entidades territoriales asistidas técnica y/o jurídicamente en la política de prevención y atención de la violencia contra la mujer y transversalización del enfoque de género en los Planes de Desarrollo Territoriales
</t>
  </si>
  <si>
    <t xml:space="preserve">Sumatoria de entidades territoriales asistidas técnica y/o jurídicamente en la política de prevención y atención de la violencia contra la mujer y transversalización del enfoque de género en los Planes de Desarrollo Territoriales
</t>
  </si>
  <si>
    <t>Para promover en las entidades territoriales la implementación de programas de prevención y eliminación de todas las formas de violencia contra la mujer realizó 7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t>
  </si>
  <si>
    <t>Para promover en las entidades territoriales la implementación de programas de prevención y eliminación de todas las formas de violencia contra la mujer realizó 14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Mayo: 9
Junio: 6</t>
  </si>
  <si>
    <t>Para promover en las entidades territoriales la implementación de programas de prevención y eliminación de todas las formas de violencia contra la mujer realizó 23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Julio: 0
Agosto: 1
Septiembre: 22</t>
  </si>
  <si>
    <t>Para promover en las entidades territoriales la implementación de programas de prevención y eliminación de todas las formas de violencia contra la mujer realizó 20 asistencias técnicas a entidades territoriales en los siguientes temas: *Hechos generadores de violencias basadas en razón de sexo y género desde la perspectiva de la seguridad humana identificados en el marco del comité de mecanismo articulador. * transversalizar el enfoque de género en el plan de acción del presente año de los Planes Integrales de Seguridad y Convivencia Ciudadana - PISCC. *Contextualización de las violencias contra las mujeres basadas en razón de sexo y género, para definir los lineamientos y las estrategias de prevención y eliminación de violencias que afectan la convivencia y seguridad de las mujeres. * Jornadas de Divulgación basadas en razón de sexo y genero. * Estrategias de Educación para la nuevas Generaciones.
Octubre: 6
Noviembre: 10
Diciembre: 4</t>
  </si>
  <si>
    <t xml:space="preserve">La dirección de seguridad, Convivencia Ciudadana y Gobiernos durante la vigencia 2023 realizo 64 asistencias técnicas para promover en las entidades territoriales la implementación de programas de prevención y eliminación de todas las formas de violencia contra la mujer realizó 23 asistencias técnicas a entidades territoriales </t>
  </si>
  <si>
    <t xml:space="preserve">Creación del sistema nacional de convivencia para la vida  </t>
  </si>
  <si>
    <t>Sistema Nacional de Convivencia para la vida</t>
  </si>
  <si>
    <t>Número de actividades  desarrolladas para  la creación del Sistema Nacional de Convivencia para la vida/ No de actividades programadas para la creación del sistema</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</si>
  <si>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</si>
  <si>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</si>
  <si>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interadministrativo con la Universidad Industrial de Santander, la cual dará todo el soporte metodológico e intelectual para la creación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</si>
  <si>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Para la creación del Sistema Nacional de Convivencia para la Vida se realizaron 12 acciones de las 15 que se tenían planteadas a través del convenio  con la Universidad Industrial de Santander, la cual se encuentra en la etapa final de entregables que incluyen la estructuración  soporte metodológico e intelectual para la creación del Sistema Nacional de Convivencia para la Vida.
Por otro lado se autorizo la adion al contrato para que se pueda cumplir con el objeto y entregables del contrato.</t>
  </si>
  <si>
    <t>Se realizó el convenio  con la Universidad Industrial de Santander, el cual se encuentra en la etapa final de entregables que incluyen la estructuración  soporte metodológico e intelectual.
Por otro lado se autorizo la adion al contrato para que se pueda cumplir con el objeto y entregables del contrato</t>
  </si>
  <si>
    <t>No se han adelantado acciones debido a que se tenia estimado realizar un convenio para la vigencia 2024, pero existen contratiempos por la no entrega de los productos de conformidad a lo requerido, dificultando establecer los puntos de inicio del nuevo convenio para la vigencia 2024</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</si>
  <si>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</si>
  <si>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tercer trimestre se sostuvieron reuniones con la oficina Asesora de planeación con el fin de evaluar técnicamente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</si>
  <si>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 xml:space="preserve">
Durante el IV trimestre se adelantaron 159 jornadas de socialización de las funciones del SNCPV, con la participación de entidades y actores sociales con lo cual se lograron realizar las 11 acciones de las 6 que se tenían programadas  para el trimestre</t>
  </si>
  <si>
    <t>Durante la vigencia 2024 se adelantaron 25 acciones dando cumplimiento al cronograma establecido por el sistema nacional de convivencia para la vida, a través de jornadas de socialización de las funciones del SNCPV, con la participación de entidades y actores sociales.</t>
  </si>
  <si>
    <t>OAP 2025. La iniciativa 5 denominada "Creación del sistema nacional de convivencia para la vida" se cumplió al 100% durante las vigencias 2023 y 2024; razón por la cual, para las vigencias 2025 y 2026 no se realiza programación.</t>
  </si>
  <si>
    <t>Implementación del Sistema Nacional De Convivencia para la Vida en el Territorio Nacional</t>
  </si>
  <si>
    <t>Gestión de Información Sistema Nacional de Convivencia para la Vida</t>
  </si>
  <si>
    <t>No de acciones desarrolladas para la implementación del Sistema de Información del Sistema Nacional de Convivencia para la Vida</t>
  </si>
  <si>
    <t>Durante el primer trimestre se adelanto el proceso de Planeación y preparación de documentación Contractual,  para realizar un convenio que permita dar cumplimiento a las actividades del Sistema Nacional de Convivencia del Plan de acción 2025 y las asociadas al proyecto de inversión 2025</t>
  </si>
  <si>
    <t>Durante el segundo trimestre se continuo con el proceso de Planeación y preparación de documentación Contractual, lo anterior debido a cambios administrativos derivados del cambio de Director de la Dirección de Seguridad. Esto conlleva a reevaluar el convenio que permitirá dar cumplimiento a las actividades del Sistema Nacional de Convivencia del Plan de acción 2025 y las asociadas al proyecto de inversión 2025</t>
  </si>
  <si>
    <t>Durante el tercer trimestre del año, se adelantaron reuniones con dependencias de Mininterior donde se elaboró la ficha técnica del proceso y los respectivos documentos de estudios previos, análisis del sector , que fueron enviados a la Subdirección de Gestión Contractual para su revisión y/o retroalimentación. Se encuentran programadas reuniones con la Dirección jurídica y Subdirección de gestión Contractual ​</t>
  </si>
  <si>
    <t>Mejorar la gestión de la información referente a la convivencia y seguridad entre actores territoriales, nacionales e interinstitucionales</t>
  </si>
  <si>
    <t>Documentos técnicos sobre el análisis de conflictividad social a nivel Nacional y mejoras del sistema de información.</t>
  </si>
  <si>
    <t xml:space="preserve">Servicio de información del Sistema Nacional de Convivencia para la Vida mejorado
</t>
  </si>
  <si>
    <t>Sumatoria de acciones desarrolladas para el mejoramiento del Servicio de información del sistema nacional de convivencia para la Vida</t>
  </si>
  <si>
    <t>D. Protección de la vida y control institucional de los territorios para la construcción de una sociedad segura y sin violencias (p. 98)
a. Seguridad humana y justicia social</t>
  </si>
  <si>
    <t>Brindar educación para la generación de reportes de las conflictividades sociales de acuerdo alas dinámicas socio- culturales de los territorios</t>
  </si>
  <si>
    <t>Actas y/o listado de asistencia de las capacitaciones realizadas</t>
  </si>
  <si>
    <t>Personas capacitadas en la generación de reportes de las conflictividades sociales de acuerdo a las dinámicas socio- culturales de los territorios</t>
  </si>
  <si>
    <t>Sumatoria del número de personas capacitadas en la generación de reportes de las conflictividades sociales de acuerdo a las dinámicas socio- culturales de los territorios</t>
  </si>
  <si>
    <t>Generar escenarios de convivencia en el territorio con los diferentes actores en el marco de la seguridad humana</t>
  </si>
  <si>
    <t>Actas y/o listado de asistencia de las Asistencias técnicas  realizadas</t>
  </si>
  <si>
    <t xml:space="preserve"> Escenarios de convivencia en el territorio con los diferentes actores en el marco de la seguridad humana</t>
  </si>
  <si>
    <t>Sumatoria de escenarios de convivencia desarrollados en el territorio</t>
  </si>
  <si>
    <t>5. Conectividad sostenible</t>
  </si>
  <si>
    <t>Desarrollo e Implementación del Sistema Único de Recaudo Nacional - Ley 2197 de 2022</t>
  </si>
  <si>
    <t>Desarrollo del Sistema Único de Recaudo Nacional</t>
  </si>
  <si>
    <t>Número de fases desarrolladas para el Sistema Único de Recaudo Nacional / Número de fases programadas para el desarrollo del Sistema Único de Recaudo Nacional) *100%</t>
  </si>
  <si>
    <t>Desarrollar el sistema de información en su componente de infraestructura técnica, tecnológica y de arquitectura institucional, que permita hacer seguimiento al Sistema unico de Recaudo (ley 2197 de 2022)</t>
  </si>
  <si>
    <t>Soporte de avance en el desarrollo del Sistema de información (Documentos técnicos)</t>
  </si>
  <si>
    <t xml:space="preserve">Sistema Nacional Único de Recaudo desarrollado
</t>
  </si>
  <si>
    <t xml:space="preserve">Sumatoria de Sistemas Nacionales Únicos de Recaudo desarrollados
</t>
  </si>
  <si>
    <t>Subdirección de Gobierno y Gestión Territorial y Lucha Contrata la Trata</t>
  </si>
  <si>
    <t>Angélica María Palacios Martínez</t>
  </si>
  <si>
    <t>14. Una sociedad para la vida, garante de derechos y en condiciones de igualdad hasta que la dignidad se haga costumbre.</t>
  </si>
  <si>
    <t>El cambio es con las mujeres.</t>
  </si>
  <si>
    <t>Colombia, sociedad para la vida: Actores diferenciales para el cambio- 1. El cambio es con las mujeres.</t>
  </si>
  <si>
    <t xml:space="preserve">16. Paz, justica e instituciones sólidas </t>
  </si>
  <si>
    <t>Ley 985 de 2005, Decreto 4319 de 2006, Decreto 2893 de 2011</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</si>
  <si>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</si>
  <si>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4. Implementar políticas públicas y estrategias de articulación entre el Gobierno Nacional y las entidades territoriales orientadas a su fortalecimiento y modernización: Gobierno y gestión territorial.</t>
  </si>
  <si>
    <t xml:space="preserve">Fortalecimiento de las capacidades de las entidades, cooperantes y ciudadanía en general para prevenir, proteger y asistir a las víctimas del delito de trata de personas.
</t>
  </si>
  <si>
    <t>Actividades desarrolladas para el fortalecimiento de las capacidades de las Entidades Estatales, Cooperantes y ciudadanía.</t>
  </si>
  <si>
    <t>(Sumatoria de actividades realizadas / Sumatoria actividades programadas) * 100</t>
  </si>
  <si>
    <t>Se realizo acompañamiento para la formulación e implementación de los Planes de Acción departamental en los departamentos de Vaupés, Nariño, Boyacá y Norte de Santander. Atención de las alertas tempranas: alerta temprana No. 025, 028, 037, 029, 024, 035 y 050.</t>
  </si>
  <si>
    <t>Se realizo acompañamiento para la formulación e implementación de los Planes de Acción departamental en Amazonas, Antioquia, Atlántico, Bolívar, Boyacá, Caldas, Casanare, Cauca, Chocó, Córdoba, Cundinamarca, Guainía, La Guajira, Meta, Nariño, Norte De Santander, Santander, Sucre, Valle Del Cauca, Vaupés, Vichada, San Andrés Y Providencia. Con lo cual, a la fecha 22 departamentos cuentan con su plan de acción formulado y aprobado. Además, se realizó el seguimiento a la alerta temprana 001-2023, 041-2020 y 030-2022. Mayo: Seguimiento a la alerta temprana 030-2022. Junio: Seguimiento a la alerta temprana 012-2021, 002-2022 y 013 - 2021.</t>
  </si>
  <si>
    <t>Se realizo acompañamiento para la formulación e implementación de los Planes de Acción departamental en Tolima, Caquetá. de Guaviare, magdalena, Quindío y Putumayo. Con lo cual, a la fecha 28 departamentos cuentan con su plan de acción formulado y aprobado. Además, se realizó el seguimiento a la Alertas Tempranas número 025-2020 departamento de Bolívar, 023-2023 departamento de Casanare y 024-2019, 35-2020 y 50-2020 del departamento de Norte de Santander y Alerta Temprana número 041-2020 en el departamento de Caldas y Quindío.</t>
  </si>
  <si>
    <t>Se realizo acompañamiento para la formulación e implementación de los Planes de Acción departamental en Arauca, Cesar, Risaralda y Huila con lo cual, a la fecha 32 departamentos cuentan con su plan de acción formulado y aprobado. Además, se realizó el seguimiento a las alertas tempranas número 012 de 2021 del departamento de Cesar y la 041 de 2020 del departamento de Risaralda, alerta Tempranas número 013 de 2021 del departamento de Putumayo, la alerta 041 de 2020 del departamento de Risaralda, Quindío y Caldas y la alerta Tempranas número 039 de 2023 en el Distrito de Buenaventura, valle del cauca para poder abordar las recomendaciones de la Alerta. Por otra parte, se logró concluir con el desarrollo de la página web del observatorio que se llamará "Data Min Interior". El software REDPAT concluyo su etapa de diseño y desarrollo de forma satisfactoria. Para entrada en producción se espera los lineamientos técnicos que emitirá la oficina de información pública del ministerio del interior.</t>
  </si>
  <si>
    <t>Se logro la formulación e implementación de los 32 Planes de Acción departamentales del país. Se logro atender las 15 alertas tempranas emitidas por la defensoría del pueblo No. 028, 037, 029, 01, 041, 030, 012, 02, 013, 025, 023, 024, 35 y 50 y 039. Por otra parte, se logró concluir con el desarrollo de la página web del y software REDPAT.</t>
  </si>
  <si>
    <t>Se realizo el Subcomité de Investigación y Judicialización No.1-2024 el 20 de marzo del 2024. Y se logró atender 23 víctimas directas del delito de trata de personas, a las cuales se les brindo hospedaje, transporte, alimentación y/o kit, según necesidad. Durante el mes de enero se atendieron 10 víctimas, durante febrero 6 víctimas y durante marzo 7 víctimas.</t>
  </si>
  <si>
    <t xml:space="preserve">Se realizó el primer comité interinstitucional  de Lucha Contra la Trata de Personas en la ciudad de Cartagena. Se logró formular e imprentar  35 Planes de acción Territorial,  400 estudiantes terminaron el curso básico. Se brindó asistencia inmediata a 20 víctimas directas del delito de trata de personas, a las cuales se les brindo hospedaje, transporte, alimentación y/o kit, según necesidad. Durante el mes de abril  se atendieron 11 víctimas, durante mayo 9 víctimas.
</t>
  </si>
  <si>
    <t>Se realizaron dos eventos así, 
En el mes de Julio Foro Nacional “Todos Contra la Trata de Personas: ¡Uniendo Voces
En el mes de Agosto Primer Conversatorio Internacional; Defensa de los derechos humanos y generación de nuevos espacios para la paz, la igualdad y la convivencia para la socialización de la campaña “de que trata la trata” . Se logró 47 Planes de Acción Territorial y la entrega de 150 Certificados a servidores Públicos e investigación y judicialización sobre el delito de trata de personas en las ciudades de Bogotá, Pereira, Cúcuta, Cartagena, Medellín y Cali</t>
  </si>
  <si>
    <t>Se realizó  un evento para  la CUMBRE INTERNACIONAL SOBRE TRATA DE PERSONAS EN LA CIUDAD DE CARTAGENA, La Subdirección como miembro la secretaria técnica del Comité Interinstitucional de lucha contra la trata de personas, así mismo, el seguimiento de 80 PATS con el propósito de analizar los resultados de los seguimientos realizados a los Planes de Acción Territorial  (PAT) y documento técnico con el programas de inclusión socioeconómica implementado. El proyecto se desarrolló en tres etapas: (I) identificación y caracterización socioeconómica de los/as beneficiarios/as, (II) acompañamiento psicosocial, orientación ocupacional y formación en habilidades empresariales, y (III) selección de proyectos productivos y entrega de capital semilla</t>
  </si>
  <si>
    <t>En 2024, se llevaron a cabo 4 eventos para difundir la ENLTP. Se brindó apoyo a 80 entidades territoriales en la formulación y monitoreo de los (PAT), y se capacitó a 150 servidores públicos en la investigación y judicialización del delito. Además, se implementó un programa de asistencia a sobrevivientes y se brindó asistencia a 42 víctimas.</t>
  </si>
  <si>
    <t>En el primer trimestre de 2025, se realizaron 38 asistencias técnicas en la formulación y seguimiento de los PAT- Planes de Asistencia Territorial- de la lucha contra la trata, a los comités técnicos municipales y departamentales de la lucha contra la trata; así:  MES de ENERO: Realización de 1 Asistencia técnica, FEBRERO: Realización de 11 asistencias técnicas, MARZO: Realización de 26 asistencias técnicas. Además, se definieron las líneas estratégicas de intervención: Pueblo Indígena y ROOM, OSIGD –Orientación Sexual e Identidad de Género Diversas; Enfoque basado en género, población migrante, se realizaron los planes de trabajo y cronogramas.</t>
  </si>
  <si>
    <t>En el segundo trimestre del 2025, se llevaron a cabo las siguientes gestiones: En el mes de abril se realizaron acercamientos con la Dirección de Indígenas Rom y Minorías del Ministerio del interior se envía correo a la profesional responsable del tema con la finalidad de generar la articulación.  Durante mes de Mayo se adelantaron acciones orientadas a establecer una articulación estratégica con la Dirección de Indígenas, Rom y Minorías Étnicas del Ministerio del Interior, se avanzó en la construcción de propuestas metodológicas dirigidas a las tres líneas de población vulnerable-Indígenas, Rom, Población OSIGD y población Migrante. Dichas propuestas metodológicas responden a la necesidad de generar procesos de sensibilización culturalmente pertinentes, participativos y pedagógicos, adaptados a los territorios y contextos sociales donde persisten factores de riesgo asociados a la trata. Además, En el segundo trimestre del 2025, se realizaron 113 asistencias técnicas. Se enfocó en la construcción de los PAT con los Comités de municipios que aún no actualizaban el Plan de Acción. Se continuo con los seguimientos a los PAT de los Comités Departamentales y de capitales de departamento; en la región de Amazonas y Andina 21 asistencias, región Caribe Insular 8 asistencias y región Pacífica 2 asistencias.</t>
  </si>
  <si>
    <t>En el tercer trimestre de 2025, la Subdirección de Gobierno, Gestión Territorial y Lucha contra la Trata del Ministerio del Interior desarrolló diversas acciones en el marco de la Estrategia Nacional de Lucha contra la Trata de Personas. El 30 de julio se conmemoró el Día Mundial contra la Trata con el foro “Dinámicas de la trata de personas en Colombia y su relación con el lavado de activos”, realizado en el Salón Rojo del Hotel Tequendama, con la participación del Ministro del Interior, delegados del Comité Interinstitucional, representantes de los comités departamentales y municipales, y el equipo técnico de la Subdirección. En desarrollo de la línea de prevención de la estrategia, durante julio, agosto y septiembre se llevaron a cabo múltiples acciones con enfoque diferencial, étnico, territorial y de género, incluyendo encuentros con cabildos indígenas, actividades con el pueblo Rom, comunidades afrodescendientes, migrantes y población LGBTIQ+, así como jornadas de sensibilización en instituciones educativas y espacios comunitarios en Bogotá, Boyacá y Riohacha. Finalmente, en el proceso de apoyo a los Planes de Acción Territorial (PAT), se realizaron 175 asistencias técnicas —33 en julio, 55 en agosto y 87 en septiembre— orientadas a la construcción, actualización y seguimiento de los PAT de los comités departamentales, municipales y de capitales, fortaleciendo la articulación territorial en la lucha contra la trata de personas.</t>
  </si>
  <si>
    <t>Realizar acciones de divulgación de la estrategia nacional de lucha contra la trata de personas</t>
  </si>
  <si>
    <t>Informe de Ejecución</t>
  </si>
  <si>
    <t xml:space="preserve"> Eventos de divulgación de la estrategia nacional de lucha contra la trata realizados.</t>
  </si>
  <si>
    <t>(Número de eventos realizados / Numero de eventos programados) * 100%</t>
  </si>
  <si>
    <t>A-03-03-01-039</t>
  </si>
  <si>
    <t>IMPLEMENTACIÓN LEY 985/05 SOBRE TRATA DE PERSONAS</t>
  </si>
  <si>
    <t>Dimensión gestión con valores para el resultado</t>
  </si>
  <si>
    <t>Servicio al ciudadano</t>
  </si>
  <si>
    <t>2. Plan anual de adquisiciones</t>
  </si>
  <si>
    <t>Los eventos se deberán realizar de forma presencial</t>
  </si>
  <si>
    <t>OAP_I_TRIM_2025: Se cambia el nombre del tipo de acumulación cuyo objetivo es mantener, pasando de "Mantenimiento" a "Stock". Lo anterior de conformidad con lo establecido en la guía para la elaboración y análisis de indicadores del DNP.</t>
  </si>
  <si>
    <t xml:space="preserve">Brindar asistencia inmediata a las víctimas del delito de trata de personas. </t>
  </si>
  <si>
    <t xml:space="preserve"> Victimas del delito de trata de personas apoyadas.</t>
  </si>
  <si>
    <t>(Número de víctimas apoyadas / Número de nuevas victimas identificadas) * 100%</t>
  </si>
  <si>
    <t>A-03-03-01-033</t>
  </si>
  <si>
    <t>FONDO NACIONAL PARA LA LUCHA CONTRA LA TRATA DE PERSONAS. LEY 985 DE 2005 Y DECRETO 4319 DE 2006</t>
  </si>
  <si>
    <t>Implementación del programa de inclusión socioeconómica para las víctimas del delito de trata de personas.</t>
  </si>
  <si>
    <t>Informes de ejecución</t>
  </si>
  <si>
    <t>Programas de inclusión socioeconómica implementados.</t>
  </si>
  <si>
    <t>Sumatoria de programas de inclusión socioeconómica implementados.</t>
  </si>
  <si>
    <t>FONDO NACIONAL PARA LA LUCHA CONTRA LA TRATA DE PERSONAS. LEY 985 DE 2005 Y DECRETO 4319 DE 2007</t>
  </si>
  <si>
    <t>Fortalecimiento del Sistema Nacional de Información sobre la Trata de Personas - SNITP.</t>
  </si>
  <si>
    <t>Estrategias o herramientas para el fortalecimiento del SNITP diseñadas e implementadas.</t>
  </si>
  <si>
    <t>Sumatoria de estrategias o herramientas para el fortalecimiento del SNITP diseñadas e implementadas.</t>
  </si>
  <si>
    <t>FONDO NACIONAL PARA LA LUCHA CONTRA LA TRATA DE PERSONAS. LEY 985 DE 2005 Y DECRETO 4319 DE 2008</t>
  </si>
  <si>
    <t>Implementación del Plan Nacional de Prevención contra el delito de trata de personas.</t>
  </si>
  <si>
    <t>Plan Nacional de Prevención implementado</t>
  </si>
  <si>
    <t>Líneas de prevención desarrolladas.</t>
  </si>
  <si>
    <t>FONDO NACIONAL PARA LA LUCHA CONTRA LA TRATA DE PERSONAS. LEY 985 DE 2005 Y DECRETO 4319 DE 2009</t>
  </si>
  <si>
    <t>Acompañar a las entidades territoriales en la creación, implementación y seguimiento de los planes de acción territorial de lucha contra la trata de personas.</t>
  </si>
  <si>
    <t>Informes de ejecución- Actas  y listado de asistencia</t>
  </si>
  <si>
    <t>Asistencias técnicas para la formulación, implementación y/o seguimiento de los PAT</t>
  </si>
  <si>
    <t>Sumatoria de asistencias técnicas de formulación, implementación y/o seguimiento realizados.</t>
  </si>
  <si>
    <t>Dimensión Direccionamiento Estratégico y Planeación</t>
  </si>
  <si>
    <t>Planeación institucional</t>
  </si>
  <si>
    <t>El fortalecimiento se podrá realizar de forma presencial o virtual</t>
  </si>
  <si>
    <t>Capacitar a comunicadores, periodistas e influenciadores digitales sobre el delito de trata de personas.</t>
  </si>
  <si>
    <t>Informe, Acta de Capacitación y listado de asistencia</t>
  </si>
  <si>
    <t>Comunicadores, periodistas e influenciadores digitales capacitados.</t>
  </si>
  <si>
    <t>Número de personas capacitadas.</t>
  </si>
  <si>
    <t>Dimensión Información y Comunicación</t>
  </si>
  <si>
    <t>La capacitación se podrá realizar de forma presencial o virtual</t>
  </si>
  <si>
    <t>Garantizar el pago de Pasivos Exigibles - Vigencias Expiradas</t>
  </si>
  <si>
    <t>Pago de Pasivos Exigibles - Vigencias Expiradas</t>
  </si>
  <si>
    <t>Sumatoria de pagos de Pasivos Exigibles - vigencias expiradas realizados</t>
  </si>
  <si>
    <t>Consolidar instrumentos de la Política Pública de Lucha Contra la Trata de Personas, para una vida libre de violencia.</t>
  </si>
  <si>
    <t>Instrumentos de la Política Pública de Lucha Contra la Trata de Personas consolidados.</t>
  </si>
  <si>
    <t>Se realizo el diagnóstico del Sistema Nacional de Información de Trata de Personas - SNITP y se construyó el plan nacional de prevención para la lucha contra el delito de trata de personas.</t>
  </si>
  <si>
    <t>Se desarrollaron los estudios previos para dar inicio al proceso de contratación de las herramientas tecnológicas necesarias a implementar para el fortalecimiento del Sistema Nacional de Información Sobre Trata de Personas - SNITP. Se construyo la cartilla y se definió la diagramación y temática específica para la implementación de la campaña de prevención denominada "De Que Trata la Trata".</t>
  </si>
  <si>
    <t>Se logra suscribir el contrato mediante el cual se logrará el diseño, puesta en marcha y soporte técnico de las herramientas tecnológicas REDPAT y observatorio web. También, se realizó la conmemoración del día mundial contra el delito de trata de personas, acompañamiento al comité de derechos humanos de las Localidades Ciudad Bolívar, Engativá, Usme y Sumapaz de Bogotá D.C. y la localidad de Engativá de Bogotá D.C., Manizales y Leticia para prevención del delito de Trata de Personas. Además, se realizó campaña de difusión del plan nacional de prevención en la ciudad de Cúcuta.</t>
  </si>
  <si>
    <t>En el cuarto trimestre se adelanta la construcción del modelo de datos para la articulación interinstitucional en la prevención, protección y asistencia de las víctimas del delito de trata de personas. Además, se realiza el inicio de operación piloto de la herramienta REDPAT en algunos municipios de los departamentos del Meta, Huila, Santander, Sucre, Bogotá, D.C., Cundinamarca, Caquetá y Quindío. se realizó campaña de difusión del plan nacional de prevención en la localidad de Usaquén y Suba de Bogotá D.C., además, se realizó la campaña en el municipio de Cali, acercamiento con comunidades indígenas y comunidades negras, se realizó campaña de difusión del plan nacional de prevención en los departamentos de Antioquia, Córdoba y Meta. También se realizó la campaña en el marco de la feria Binacional Colombia-Ecuador en la frontera entre los países en municipio de Ipiales, Nariño.</t>
  </si>
  <si>
    <t xml:space="preserve">Construcción del modelo de datos para la articulación interinstitucional en la prevención, protección y asistencia de las víctimas del delito de trata. Además, se inició la operación de REDPAT. Implementación del plan nacional de prevención con el desarrollo de eventos a nivel nacional, prevención en 10 localidades de Bogotá D.C. </t>
  </si>
  <si>
    <t>1. Articulación con los pueblos indígenas para la implementación de la campaña de prevención contra el delito de trata de personas. 2. Se realizaron actividades de prevención en los territorios priorizados para atender las alertas tempranas emitidas por la defensoría del pueblo.</t>
  </si>
  <si>
    <t>El proceso de contratación de la transformación cultural y digital en la Subdirección está parado por Secretaria General desde el 4 de abril de 2024, a la espera de la inclusión del proceso al un convenio marco con la Corporación Colombia Digital.
El proceso tiene los AVALES el equipo de sistemas de OIP; gestión contractual y fue enviado a Jurídica, Planeación, Control Interno, Financiera y Secretaria General para la revisión del pre-comité de contratación y aún no hay respuesta para programar el comité de contratación.</t>
  </si>
  <si>
    <t>Se realizaron las siguientes líneas de prevención:
(1),Línea de prevención del delito de trata de personas para el Fortalecimiento a localidades de Bogotá, (2) Línea de prevención del delito de trata de personas en la población indígenas, (3)Línea de prevención del delito de trata de personas para el apoyo a la investigación y Judialización, (4) Línea de prevención del delito de trata de personas para la Territorialización de campañas de prevención, (5) Línea de prevención del delito de trata de personas en los Acuerdos Internacionales para la prevención del delito
Realizándose incidencia en el sector educativo impactando a niños, niñas y adolescentes, de igual manera se hizo un trabajo con la cooperación internacional a fin de fortalecer los canales que permiten el desarrollo de los programas nación territorio contra la trata de personas, también se realizaron las campañas y acompañamientos a poblaciones indígenas con el fin de socializar las generalidades del delito a esta especial población.</t>
  </si>
  <si>
    <t>Se desarrollaron líneas de prevención contra la trata de personas:
Población indígena: Trabajo con la comunidad Embera en Bogotá mediante la campaña "De qué trata la trata," respetando su contexto cultural.
Territorialización: Acciones preventivas en Bogotá, impactando a niños, niñas y adolescentes, con ferias institucionales.
Investigación y judicialización: Talleres para fortalecer la identificación, investigación y judicialización de casos, dirigidos a fiscales en distintas regiones.
Población OSIGD: Jornadas para fortalecer el enfoque en orientación sexual e identidad de género diversa, según la Estrategia Nacional.
Fortalecimiento en Bogotá: Espacios en tres localidades para socializar la campaña, rutas de protección y participación comunitaria.</t>
  </si>
  <si>
    <t>Se desarrollaron líneas de prevención contra la trata de personas:
1. Población indígena
2,Territorialización
3.Investigación y judicialización
4,Población OSIGD
5.Fortalecimiento en Bogotá</t>
  </si>
  <si>
    <t>OAP 2025. Dentro del proceso de planeación estratégica 2025 se procede a eliminar las iniciativas 02, 17, 18 y 20. Lo anterior, de acuerdo a lo mencionado por la SGT, mediante correo electrónico del pasado 17.12.2024, según lo cual:  "las actividades asociadas a dichas iniciativas no tienen recursos económicos para la vigencia 2025, esto en virtud del recorte presupuestal del programa misional de funcionamiento “IMPLEMENTACIÓN LEY 985/05 SOBRE TRATA DE PERSONAS” y proyecto de inversión “Fortalecimiento de la Articulación, Coordinación y participación de las entidades territoriales, corporaciones públicas y líderes locales en los procesos de ordenamiento territorial alrededor del agua y descentralización.” asociado a dichas iniciativas para el año 2025".</t>
  </si>
  <si>
    <t>Fortalecer los mecanismos de prevención, protección y asistencia para la lucha contra la trata de personas, en el marco de la defensa de la dignidad humana.</t>
  </si>
  <si>
    <t>Mecanismos de prevención, protección y asistencia para la lucha contra la trata de personas en funcionamiento.</t>
  </si>
  <si>
    <t>Sumatoria de mecanismos de prevención, protección y asistencia en funcionamiento.</t>
  </si>
  <si>
    <t>Durante el primer trimestre se atendieron 602 llamadas recibidas a través de la línea nacional gratuita 018000522020 y  se articularon 35 casos de trata de personas con las entidades que prestas servicios de protección a través del COAT.</t>
  </si>
  <si>
    <t>Durante el mes de abril se atendieron 62 llamadas, el mes de mayo se atendieron 64 y junio 84 llamadas recibidas a través de la línea nacional gratuita 018000522020. Durante los meses de abril, mayo y junio se articularon 21, 18 y 17 casos respectivamente, casos de trata de personas articulados a través del Comité Operativo Anti Trata - COAT con las entidades que prestan el servicio de protección según su obligación misional.</t>
  </si>
  <si>
    <t>En el tercer trimestre se atendieron 386 llamadas distribuidas así: Durante el mes de julio se atendieron 71 llamadas, el mes de agosto se atendieron 141 llamadas y en el mes de septiembre se atendieron 174 llamadas recibidas a través de la línea nacional gratuita 018000522020. En el tercer trimestre se articularon 74 casos, distribuidos así: Durante el mes de julio se han articulado 16 casos, durante el mes de agosto se han articulado 28 casos y en el mes de septiembre se han articulado 30 casos de trata de personas a través del COAT.</t>
  </si>
  <si>
    <t>Durante el cuarto trimestre se atendieron 409 llamadas, así: durante el mes de octubre se atendieron 194 llamadas, durante el mes de noviembre se atendieron 101 llamadas y durante el mes de diciembre se atendieron 114 llamadas recibidas a través de la línea nacional gratuita 018000522020. En el cuarto trimestre del 2023 se articularon 99 casos de trata de personas a través del COAT, así: durante el mes de octubre se han articulado 51 casos de trata de personas a través del COAT, durante el mes de noviembre se han articulado 30 casos de trata de personas a través del COAT, durante el mes de diciembre se han articulado 18 casos de trata de personas a través del COAT.</t>
  </si>
  <si>
    <t>Durante la presente anualidad se atendieron 1614 llamadas recibidas a través de la línea nacional gratuita 018000522020. Durante el año 2023 se articularon 234 casos de trata de personas a través del COAT.</t>
  </si>
  <si>
    <t>En el primer trimestre se articularon 92 casos de trata de personas a través del COAT y se atendieron 295 llamadas a través de la línea nacional gratuita 018000522020. Además, se inició la fase de implementación del CRM WhatsApp.</t>
  </si>
  <si>
    <t xml:space="preserve">Durante el primer trimestre se atendieron 366  llamadas, así: durante el mes de abril se atendieron 148 llamadas, durante el mes de mayo o se atendieron 99  llamadas y durante el mes de junio  se atendieron 119  llamadas recibidas a través de la línea nacional gratuita 018000522020. </t>
  </si>
  <si>
    <t>Se atendieron 363  llamadas, así: durante el mes de julio se atendieron 114 llamadas, durante el mes de agosto se atendieron 177  llamadas y durante el mes de septiembre se atendieron 72 llamadas recibidas a través de la línea nacional gratuita 018000522020. 
Se articularon 132 casos de trata de personas a través del COAT "Centro Operativo Anti trata.
Durante el periodo en referencia se realiza la firma del acuerdo Binacional con Brasil.</t>
  </si>
  <si>
    <t>Durante el cuarto trimestre de 2024, la Línea Gratuita Nacional Anti-Trata (018000522020) y otros canales de comunicación atendieron un total de 680 solicitudes relacionadas con la trata de personas, distribuidas de la siguiente manera: Octubre: Se recibieron 244 solicitudes, de las cuales 241 fueron atendidas efectivamente. Noviembre: Se registraron 271 solicitudes, con 267 gestionadas satisfactoriamente. Diciembre: Se contabilizaron 165 solicitudes, atendiendo 158 de ellas. Así mismo se brindó 68 acompañamientos para la protección y asistencia a las victimas del delito de trata de personas, Finalmente, Durante el periodo reportado, se llevaron a cabo diversas acciones en la lucha contra la trata de personas, destacando los esfuerzos de cooperación internacional y la atención a solicitudes ciudadanas</t>
  </si>
  <si>
    <t>Se gestionaron 1,690 llamadas a través de los canales de comunicación destinados a la lucha contra el delito de trata de personas, asimismo, se realizaron 368 acompañamientos a entidades finalmente se alcanzaron 5 acuerdos estratégicos con organismos internacionales y gobiernos de Ecuador, Perú, Panamá, Brasil y México</t>
  </si>
  <si>
    <t>En el primer trimestre se atendieron 438 comunicaciones relacionadas con el delito de trata de personas y se articuló la atención desde el centro operativo anti trata de 98 casos de víctimas de trata de personas. Adicionalmente se adelantaron gestiones para la continuidad de convenios de cooperación binacional con Ecuador, Perú, la Agencia de Cooperación Española para el Desarrollo (AECID), Guatemala, Bolivia. Acercamientos con Brasil, Grecia y Países Balcánicos.</t>
  </si>
  <si>
    <t>Durante el segundo trimestre de la vigencia 2025, se atendieron satisfactoriamente 466 comunicaciones y se atendieron 74 casos de víctimas de trata, a los cuales se les activaron las rutas de protección y asistencia a favor de las víctimas directas e indirectas. Por otra parte, se adelantaron las siguientes gestiones: con la Agencia de Cooperación Española para el Desarrollo (AECID) en abril se llevó a cabo una reunión con el objetivo de consolidar la base de datos entregada a UNODC en el marco del convenio 2404 de 2023. En mayo, reunión para determinar el impacto de eventos en los departamentos de Nariño, Chocó, Norte de Santander, Atlántico y La Guajira y seguimiento a las acciones que se van a desarrollar en el departamento de la Guajira. Organizaciones Valientes ONG: reunión con los equipos jurídicos entre las partes para avanzar en la firma del memorando de entendimiento con el Ministerio. Avances en Cooperación Binacional: se envió correo a la cancillería solicitando reactivar acuerdos de cooperación con: Ecuador, Perú, Grecia y Países balcánicos, Guatemala, Bolivia y Brasil, se avanzó en la revisión técnica del Plan de Trabajo Binacional propuesto por el Gobierno del Perú, se remitió a las entidades competentes el formato Excel con la propuesta elaborada por la Dirección de Derechos Fundamentales del Ministerio del Interior de Perú.</t>
  </si>
  <si>
    <t>Durante el tercer trimestre de la vigencia 2025, se recibieron 710 comunicaciones a través de los distintos canales de atención del programa. De estas, 265 se registraron en julio, 237 en agosto y 208 en septiembre, manteniendo un promedio de efectividad superior al 85% en la gestión oportuna de las solicitudes. En este mismo periodo, se registraron 136 casos de presuntas víctimas de trata de personas, a quienes se les activaron las respectivas rutas de protección y asistencia, teniendo en cuenta la procedencia, modalidad, finalidad de explotación y características personales de cada caso. De estos, 65 se presentaron en julio, 39 en agosto y 32 en septiembre, fortaleciendo el acompañamiento institucional a víctimas directas e indirectas del delito. En materia de cooperación internacional y articulación interinstitucional, se adelantaron diversas acciones orientadas a fortalecer la lucha contra la trata de personas.
Durante julio, se realizaron gestiones con la Oficina de las Naciones Unidas contra la Droga y el Delito (UNODC) para revisar los memorandos de entendimiento con Honduras, Guatemala y El Salvador, así como los planes de acción con Ecuador y Panamá. Con la Agencia Española de Cooperación Internacional para el Desarrollo (AECID) se desarrollaron espacios de articulación para la puesta en marcha del proyecto “Fortalecimiento del Estado colombiano para el abordaje integral de la lucha contra la trata de personas”. Igualmente, en el marco del proyecto FINTRATA, se participó junto con Abogados sin Fronteras Canadá, Air Canadá y el Ministerio del Interior en la promoción del Concurso de Videos Cortos Binacionales. En agosto, se destacó el lanzamiento del proyecto “Colombia, Territorios Libres de Trata” en Maicao (La Guajira), y se avanzó en la revisión técnica del Plan de Trabajo Binacional Colombia–Perú (2025–2026). Finalmente, en septiembre se registraron avances en la cooperación internacional, especialmente en la implementación de la subvención otorgada por la AECID, consolidando así las estrategias conjuntas de prevención y atención integral frente al delito de trata de personas.</t>
  </si>
  <si>
    <t>Gestionar los canales de comunicación para la lucha contra el delito de trata de personas</t>
  </si>
  <si>
    <t>Porcentaje de líneas de comunicación atendidas y operando</t>
  </si>
  <si>
    <t>(número de comunicaciones atendidas/número de comunicaciones recibidas) * 100%</t>
  </si>
  <si>
    <t>Línea gratuita nacional 01800522020, CRM WhatsApp y el correo coordinacioncoat@mininterior.gov.co.</t>
  </si>
  <si>
    <t>OAP_I_TRIM_2025: Se cambia el nombre del tipo de acumulación cuyo objetivo es mantener, pasando de "Mantenimiento" a "Stock". Lo anterior de conformidad con lo establecido en la guía para la elaboración y análisis de indicadores del DNP.
OAP 10.06.2025: En atención a solicitud de fecha 10.06.2025 y de acuerdo con la viabilidad Radicado 2025-3-001102-017517 Id: 554611 se modifica (Reducción) el valor del presupuesto asociado a la actividad 3.1 en 97.040.000</t>
  </si>
  <si>
    <t>Brindar acompañamiento a las entidades competentes para la activación y seguimiento de la protección y asistencia a las víctimas del delito de trata de personas.</t>
  </si>
  <si>
    <t>Activación y seguimientos de protección y asistencia a victimas del delito de trata de personas.</t>
  </si>
  <si>
    <t>(número de acompañamiento realizados / número de acompañamientos requeridos) * 100%</t>
  </si>
  <si>
    <t>Aunar esfuerzos en la lucha contra el delito de trata personas entre Estados y organismos internacionales.</t>
  </si>
  <si>
    <t>Gestión para implementación de los acuerdos entre Estados y organismos internacionales en ejecución.</t>
  </si>
  <si>
    <t>Número de informes de gestión por acuerdo en ejecución</t>
  </si>
  <si>
    <t>Mejorar las capacidades de los funcionarios de las entidades competentes en materia de trata de personas.</t>
  </si>
  <si>
    <t>Se realizo asistencia una técnica sobre la tipificación del delito de trata de personas y una asistencia técnica sobre marco normativo y ruta de asistencia.</t>
  </si>
  <si>
    <t>Durante el segundo trimestre del año 2023 se realizaron 22 asistencias técnicas marco normativo,  ruta de protección y asistencia a víctimas del delito de trata de personas y tipificación del delito de trata de personas en los departamentos de Sucre, Meta, Vaupés, Caquetá, Valle del Cauca, Cauca, Huila, Risaralda, Putumayo, Casanare, Cundinamarca, Antioquia, Magdalena y Bogotá D.C.</t>
  </si>
  <si>
    <t>En el tercer trimestre se realizaron 2 asistencias técnicas, así: Durante el mes de septiembre se realizaron 2 asistencias técnicas, en los municipios de Leticia - Amazonas y Florencia - Caquetá sobre la tipificación del delito de trata de personas. Además, se realizaron 2 asistencias técnicas, así: Durante el mes de agosto se realizaron 2 asistencias técnicas sobre Ruta de protección y asistencia a víctimas del delito de Trata de personas y marco normativo en los departamentos de Valle del Cauca y Bolívar.</t>
  </si>
  <si>
    <t>Durante el cuarto trimestre se realizaron 7 asistencias técnicas sobre la tipificación del delito, así: durante el mes de octubre se realizaron 2 asistencias técnicas en los municipios de Puerto Inírida, Guainía y Montería y Planeta Rica del departamento Córdoba, durante el mes de noviembre se realizaron 4 asistencias técnicas en los municipios de Necoclí y Acandí, Turbo y Apartadó, Castilla la Nueva e Ipiales y durante el mes de diciembre se realizó 1 asistencia técnica en el municipio de Buenaventura departamento de Valle del Cauca. Además, Durante el cuarto trimestre se realizaron 3 asistencias técnicas sobre el marco normativo y ruta de protección, en los departamentos de Arauca, Sucre y La Guajira.</t>
  </si>
  <si>
    <t>Durante el año 2023 se realizaron 15 asistencias técnicas sobre la tipificación del delito. Además, durante el año 2023 se realizaron 21 asistencias técnicas sobre el marco normativo y ruta de protección a víctimas del delito de trata de personas.</t>
  </si>
  <si>
    <t>OAP. 20.03.2024 Se elimina la iniciativa 4 por solicitud del doctora Sonia Bernal del 2024-03-14, mediante correo.</t>
  </si>
  <si>
    <t>Incrementar la capacidad en la generación y análisis de la Información sobre la prevención, asistencia y lucha contra el delito de trata de personas a nivel nacional.</t>
  </si>
  <si>
    <t>Documento de investigación realizados</t>
  </si>
  <si>
    <t xml:space="preserve">Sumatoria de documentos realizados </t>
  </si>
  <si>
    <t>Iniciativa programada para iniciar el siguiente trimestre.</t>
  </si>
  <si>
    <t>Actividad prevista para iniciar el tercer trimestre.</t>
  </si>
  <si>
    <t>No se presento avance de la actividad. Por lo que, se deberá cumplir con la meta propuesta durante el cuarto trimestre de la presente anualidad.</t>
  </si>
  <si>
    <t>Durante el cuarto trimestre 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 También se realiza propuesta de ficha técnica con información de víctimas de trata de personas para presentar periódicamente.</t>
  </si>
  <si>
    <t>Se realizó documento que contiene: Matriz de sistematización de investigaciones académicas sobre el delito realizadas en Latino América; Información relevante de víctimas sobrevivientes de trata de personas para realizar ficha técnica y análisis de variables de vulnerabilidad enfocado a espacios urbanos y rurales.</t>
  </si>
  <si>
    <t>OAP. 20.03.2024 Se elimina la iniciativa 5 por solicitud del doctora Sonia Bernal del 2024-03-14, mediante correo.</t>
  </si>
  <si>
    <t>Mejorar el registro y consolidación de la información en materia de trata de personas.</t>
  </si>
  <si>
    <t xml:space="preserve">Sumatoria de mesas técnicas realizadas </t>
  </si>
  <si>
    <t>Durante el mes de marzo del 2023 se realizaron 3 mesas técnicas en los municipios de Bucaramanga y Barrancabermeja - Santander y en Yopal - Casanare y para la implementación de acciones en el marco de la estrategia de lucha contra la trata.</t>
  </si>
  <si>
    <t>Durante el segundo trimestre del año 2023 se realizaron 9 mesas técnicas. Las cuales, se desarrollaron con ABA Roli - Estados Unidos, Acuerdos Binacionales entre Ecuador y Colombia, Alcaldías Locales Bogotá D.C., Argentina, BID, Mesa técnica Bajo Cauca Antioqueño, Mesa técnica Comité Interinstitucional, Mesa técnica con Ministerio de relaciones exteriores, OIM, ONU y Mesa de Cooperantes Internacionales, Organización abogados sin fronteras, Organización de Estados Americanos - OEA Proyecto PICAD.</t>
  </si>
  <si>
    <t>En el tercer trimestre se realizaron 6 asistencias técnicas, se realizó 1 asistencia técnica en el departamento de Bolívar y 1 mesa técnica en el departamento de Boyacá, segunda mesa técnica del Comité Interinstitucional de Lucha Contra La Trata de Personas, mesa técnica de articulación para la implementación de estrategias con el Instituto Distrital de Turismo - Red de Destinos de Turismo y Fundación País de Raíz, mesa técnica de cooperación internacional con el aliado estratégico ABA-ROLI - Fundación Renacer y Operadores turísticos de Cartagena.</t>
  </si>
  <si>
    <t>Durante el cuarto trimestre se realizó 2 mesas técnicas sobre el Protocolo para Identificar, Proteger y asistir a Víctimas del Delito de Trata de Personas en Contextos Migratorios y atender las víctimas en los departamentos de Sucre y Meta; se realizaron 3 asistencias técnicas sobre la guía de operación de las herramientas tecnológicas parte del Sistema Nacional de Información de Trata de Personas y se realizaron 3 asistencias técnicas en los municipios de Montelíbano - Córdoba y Bucaramanga-Santander y Sincelejo - Sucre. Además, se realizó 1 mesa técnica con la comunidad académica de España, México, Perú, y Colombia; en el XIV CONGRESO INTERNACIONAL DE TEORÍA JURÍDICA Y DERECHO CONSTITUCIONAL.</t>
  </si>
  <si>
    <t>Durante el año 2023 se realizaron 4 mesas técnicas sobre el Protocolo para Identificar, Proteger y asistir a Víctimas del Delito de Trata de Personas en Contextos Migratorios y atender las víctimas, 3 asistencias técnicas sobre la guía de operación de las herramientas tecnológicas parte del Sistema Nacional de Información de Trata de Personas y 17 mesas técnicas para la implementación de la nueva Estrategia Nacional de Lucha Contra la Trata de Personas.</t>
  </si>
  <si>
    <t>OAP. 20.03.2024 Se elimina la iniciativa 6 por solicitud del doctora Sonia Bernal del 2024-03-14, mediante correo.</t>
  </si>
  <si>
    <t>11. Diálogo social regional permanente para la construcción de justicia social.</t>
  </si>
  <si>
    <t>4. Democratización del estado, libertades fundamentales y agenda internacional para la vida.</t>
  </si>
  <si>
    <t>5. Convergencia regional. Catalizador No. 5. Fortalecimiento institucional como motor de cambio para recuperar la confianza de la ciudadanía y para el fortalecimiento del vínculo Estado-Ciudadanía.</t>
  </si>
  <si>
    <t>Constitución política Ley 1454 de 2011, Ley 1625 del 2013, Ley 1962 de 2019.</t>
  </si>
  <si>
    <t>1. Nuevo ordenamiento territorial alrededor del agua.
33. Tránsito hacia la paz total</t>
  </si>
  <si>
    <t>Consolidar la gobernanza y la gestión territorial como instrumentos para la paz total</t>
  </si>
  <si>
    <t>Actividades realizadas para la consolidación de la gobernanza y la gestión territorial.</t>
  </si>
  <si>
    <t>(Sumatoria de actividades realizadas / Sumatoria actividades programadas) * 100%</t>
  </si>
  <si>
    <t>Durante el primer trimestre del año 2023 se realizaron 25 Asistencias técnicas dirigidas a servidores públicos y contratistas de las Entidades Territoriales y/o Corporaciones públicas de los departamentos de Arauca, Bolívar, Boyacá, Cauca, Cesar, Huila, La Guajira y Norte de Santander. Además se realizó la actualización de contenidos sobre equidad de la mujer, consejeros de juventudes y se definió la estrategia nacional “DE LA MANO CON LOS JÓVENES COMO ACTORES PRINCIPALES”.</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</si>
  <si>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Durante el segundo trimestre del año 2023 se realizaron 20 Asistencias técnicas que buscan consolidar las competencias de mujeres y jóvenes. Consolidación de competencias que se dan en marco a la enseñanza de mecanismos constitucionales para la protección de derechos y cumplimiento de la Ley y gobernanza.</t>
  </si>
  <si>
    <t>Durante el tercer trimestre del año 2023 se realizaron 52 asistencias técnicas dirigidas a servidores públicos y contratistas de las Entidades Territoriales, Corporaciones públicas y líderes locales principalmente en los departamentos de Santander, San Andrés, Norte De Santander, Cesar, Nariño, Cundinamarca, Tolima, Cauca, un evento regional con FENACON y FEDECAL, Caquetá, Huila, Valle del Cauca, Boyacá, Magdalena, Antioquia, Atlántico, Caldas, Cauca, Choco, Córdoba, Nariño, Quindío y Sucre. Además, se realizaron 4 Asistencias técnicas que buscan consolidar las competencias de mujeres y jóvenes en los departamentos de Atlántico (Puerto Colombia y Soledad), Antioquia y meta.</t>
  </si>
  <si>
    <t>Durante el cuarto trimestre se realizaron 57 asistencias técnicas en temas de marco normativo, rendición de cuentas, funcionamiento Consejos de juventudes, Régimen municipal, funcionamiento de la corporación e implementación de plan nacional de desarrollo, distribuidas así: En el mes de octubre se realizaron 15 asistencias técnicas en los departamentos de Antioquia (8), Valle del Cauca (1), Huila (3), Cundinamarca (1) y Norte de Santander (2). En el mes de noviembre se realizaron 33 asistencias técnicas en los departamentos de Caquetá (1), Putumayo (1), Cauca (3), Huila (14), Risaralda (1), Norte de Santander (2), Córdoba (1), Tolima (1) y Antioquia (4). Además, se brindaron (5) asistencias técnicas en eventos regionales desarrollados en la ciudad de Barranquilla, Santa Marta, Medellín, Cartagena y Bogotá D.C. en temas relacionados con la gobernanza y descentralización. Finalmente, en el mes de diciembre se realizaron 9 asistencias técnicas en los departamentos de Casanare (3), Bolívar (3) y Magdalena (3). Además, realizaron 16 asistencias técnicas sobre comisión de la equidad de la mujer, gobernanza con la mujer, funcionamiento de los consejos de juventudes dirigidas a mujeres y concejos de juventudes, así: En el mes de octubre se realizaron 3 Asistencias técnicas en los departamentos de Antioquia y Córdoba, en el mes de noviembre se realizaron 9 Asistencias técnicas en los departamentos de Amazonas, Bolívar, Cesar, Cundinamarca, Huila, Casanare y Nariño y en el mes de diciembre se realizaron 4 Asistencias técnicas en los departamentos de Cundinamarca, Boyacá, Bolívar y Magdalena.</t>
  </si>
  <si>
    <t>Durante el año 2023 se realizaron 190 asistencias técnicas en temas de marco normativo, rendición de cuentas, funcionamiento Consejos de juventudes, Régimen municipal, funcionamiento de la corporación e implementación de plan nacional de desarrollo en todo el país. Además, en el año 2023 se realizaron 50 asistencias técnicas sobre comisión de la equidad de la mujer, gobernanza con la mujer, funcionamiento de los consejos de juventudes dirigidas a mujeres y concejos de juventudes.</t>
  </si>
  <si>
    <t>Elaboración de los contratos de orden de prestación de servicios para el apoyo administrativo de la Subdirección, el Ministerio del Interior y el cumplimiento de las actividades del PEIA 2024 de la subdirección.</t>
  </si>
  <si>
    <t>Durante el segundo trimestre el valor obligado correspondiente al pago de honorarios del personal que brinda apoyo al cumplimiento de la misionalidad de la Subdirección y el Ministerio del Interior es: junio $ 1.307.617.761 . 
Se realizaron  83  planes de desarrollo municipales.</t>
  </si>
  <si>
    <t>Durante el tercer trimestre el valor obligado correspondiente al pago de honorarios del personal, operador logístico y gastos de viaje requeridos para dar cumplimiento de la misionalidad de la Subdirección y el Ministerio del Interior es de $ 2.891.853.042, así mismo se realizaron 
22 planes de desarrollo acompañados hasta su aprobación. Finalmente, se realizaron 155 actas mas de compromiso correspondiente concejos municipales (98) , JAL (56 ) y Asamblea (1). A su vez se les suscribieron certificaciones por parte de los secretarios generales con el objeto fortalecer dichas actas, las cuales tienen como objeto que los concejos asuman la responsabilidad de actualizar los reglamentos internos.</t>
  </si>
  <si>
    <t>Durante los meses de octubre y noviembre de 2024, se realizaron avances significativos en el cumplimiento de las metas establecidas en el plan de acción, superando los objetivos propuestos.
Octubre 2024:Se materializaron 34 nuevas actas y/o certificaciones, alcanzando un total acumulado de 188 sobre los 200 productos fijados en el plan de acción.
Noviembre 2024:Se llevaron a cabo 11 acompañamientos técnicos:
3 dirigidos a Juntas Administradoras Locales.
8 a concejos municipales.</t>
  </si>
  <si>
    <t>Se acompañó a 105 entidades territoriales y corporaciones públicas de elección popular en la formulación de los Planes de Desarrollo Municipal y se brindó acompañamiento a 200 corporaciones públicas de elección popular a nivel nacional como parte del fortalecimiento de instrumentos de gobernanza</t>
  </si>
  <si>
    <t>Durante el primer trimestre del año 2025, se logró obligar $ 332.512.251 de los  $ 7.720.000.000 destinados para financiar el apoyo administrativo y operativo para el cumplimiento misional del Ministerio del interior.</t>
  </si>
  <si>
    <t>Durante el segundo trimestre del año 2025, se logró obligar $ 332.512.251 de los  $ 7.720.000.000 destinados para financiar el apoyo administrativo y operativo para el cumplimiento misional del Ministerio del interior.</t>
  </si>
  <si>
    <t>Durante el tercer trimestre de 2025 se fortalecieron 85 corporaciones públicas de elección popular mediante la entrega de documentos técnicos y asistencias orientadas al fortalecimiento institucional. En julio se beneficiaron 20 corporaciones en Maicao, Riohacha, Santa Marta y Armenia; en agosto, 65 en los departamentos de Valle del Cauca, Meta, Cesar, Córdoba, Antioquia y Sucre. En septiembre se participó en el Congreso Nacional de Mujeres Concejales y Líderes Políticas en Ibagué. Se avanzó en la construcción de la Escuela de Juntanza para la Gobernanza y el Ordenamiento Territorial para la Paz, con reuniones técnicas, definición de metodología, alianzas estratégicas con entidades nacionales y eventos de lanzamiento en Popayán, Villavicencio y Pasto. En cuanto al acompañamiento a los territorios indígenas, se desarrollaron acciones conforme al Decreto 632 de 2018, consolidando cinco acuerdos interculturales (Río Tiquié, Yaigojé Apaporis, Bajo Río Caquetá, Mirití Paraná y Arica) en proceso de reconocimiento como Entidades Territoriales Indígenas. Finalmente, el equipo de enlaces territoriales realizó 40 asistencias técnicas en 15 departamentos, enfocadas en el fortalecimiento institucional, la articulación regional y la implementación de estrategias de gobernanza territorial.</t>
  </si>
  <si>
    <t>Brindar apoyo administrativo y operativo para el cumplimiento de la misionalidad de la Subdirección y el fortalecimiento institucional para la gestión territorial.</t>
  </si>
  <si>
    <t>Ejecución de gastos en recursos humanos y materiales.</t>
  </si>
  <si>
    <t>(Presupuesto obligado / presupuesto asignado) 100%.</t>
  </si>
  <si>
    <t>A-03-03-01-035</t>
  </si>
  <si>
    <t>FORTALECIMIENTO A LA GESTIÓN TERRITORIAL Y BUEN GOBIERNO LOCAL</t>
  </si>
  <si>
    <t xml:space="preserve">2. Plan Anual de Adquisiciones </t>
  </si>
  <si>
    <t xml:space="preserve">OAP 06.02.2025: En atención a solicitud de la SGT mediante correo de fecha 06.02.2025 se procede a eliminar la actividad 7.1 del PEIA 2025 en razón a que no tendrá presupuesto asociado y no se establecieron metas para la vigencia 2025. </t>
  </si>
  <si>
    <t>Fortalecer la gestión de las corporaciones públicas de elección popular, instancias de participación ciudadana y Entidades Territoriales en la aplicabilidad de  los  instrumentos de gobernanza.</t>
  </si>
  <si>
    <t>Documento técnico-Actas y planillas de asistencia</t>
  </si>
  <si>
    <t>Corporaciones publicas, instancias de participación ciudadana, entidades territoriales fortalecidas</t>
  </si>
  <si>
    <t>Sumatoria de corporaciones públicas, instancias de participación ciudadana y entidades territoriales fortalecidas.</t>
  </si>
  <si>
    <t>Dimensión Gestión con Valores para Resultados</t>
  </si>
  <si>
    <t xml:space="preserve">Fortalecer las herramientas tecnológicas para la gobernanza y descentralización territorial. </t>
  </si>
  <si>
    <t xml:space="preserve">Informes de ejecución </t>
  </si>
  <si>
    <t>Herramientas tecnológicas para la gobernanza y descentralización fortalecidas.</t>
  </si>
  <si>
    <t>Sumatoria de herramientas tecnológicas fortalecidas mejoradas y/o desarrolladas.</t>
  </si>
  <si>
    <t>7.4</t>
  </si>
  <si>
    <t>Acompañar la puesta en marcha del funcionamiento de los territorios indígenas ubicados en áreas no municipalizadas.</t>
  </si>
  <si>
    <t>Territorios indígenas ubicados en áreas no municipalizadas acompañados.</t>
  </si>
  <si>
    <t>Sumatoria de documentos técnicos elaborados</t>
  </si>
  <si>
    <t>7.5</t>
  </si>
  <si>
    <t>Fortalecer las capacidades de actores territoriales para la gestión del ordenamiento del territorio, promoviendo la descentralización, gobernanza territorial y participación ciudadana.</t>
  </si>
  <si>
    <t>Actas y Planillas de Asistencia</t>
  </si>
  <si>
    <t>Actores territoriales fortalecidos en gestión del ordenamiento del territorio, descentralización y gobernanza territorial.</t>
  </si>
  <si>
    <t>Sumatoria de actores territoriales fortalecidos</t>
  </si>
  <si>
    <t>Formular, actualizar y realizar seguimiento al marco normativo y lineamientos en materia de gobernanza y ordenamiento territorial.</t>
  </si>
  <si>
    <t>Marco normativo y lineamientos en materia de gobernanza y ordenamiento territorial elaborados.</t>
  </si>
  <si>
    <t>Durante el primer trimestre se atendieron 737 Peticiones y consultas realizadas a través del correo electrónico. Se apoyo la construcción del articulado del Ministerio del Interior para la Ley del Plan Nacional De Desarrollo 2023-2026 "Colombia Potencia Mundial de la Vida.". Se diseño la estrategia a implementar por parte de la Subdirección para impulsar la PGOT y LOOT durante la presente anualidad.</t>
  </si>
  <si>
    <t>Durante el segundo trimestre se atendieron 302 Peticiones y consultas realizadas a través del correo electrónico. Se brindo apoyo en la elaboración del proyecto de decreto reglamentario para las Áreas Metropolitanas. Apoyo en la elaboración interinstitucional del plan de acción para la vigencia 2023 de la Comisión de Ordenamiento Territorial. Instancia desde donde se pretende impulsar la Política General de Ordenamiento Territorial y asistencia a reunión interinstitucional de la Comisión de Ordenamiento Territorial - COT, donde se establece la acción específica de impulsar la Ley Orgánica de Ordenamiento Territorial para el fortalecimiento de la gestión territorial.</t>
  </si>
  <si>
    <t>Durante el tercer trimestre se atendieron 401 Peticiones y consultas realizadas a través del correo electrónico. Se avanza en la elaboración del Proyecto de ley orgánica “Por medio del cual se moderniza la estructura y funcionamiento de los municipios y se dictan otras disposiciones" y Proyecto de ley orgánica “Por el cual se desarrolla el artículo 13 de la Ley 2200 de 2022 relacionado con los requisitos y procedimientos para la creación de departamentos y se dictan otras disposiciones”. Se realizo avance en la creación de la Ley orgánica "reglamentación para la creación de las ETIS".</t>
  </si>
  <si>
    <t>Durante el cuarto trimestre se atendieron 248 peticiones y consultas realizadas a través del correo electrónico, distribuidas así: durante el mes de octubre se atendieron 69 Peticiones y consultas de las 81 recibidas, durante el mes de noviembre se atendieron 99 Peticiones y consultas de las 101 recibidas, durante el mes de diciembre se atendieron 80 Peticiones y consultas de las 83 recibidas. Se avanzó en la elaboración de 2 proyectos normativos, así: primero el proyecto de decreto: “Por la cual se deroga la Ley Orgánica 128 de 1994 y se expide el Régimen para las Áreas Metropolitanas”, el cual está en revisión de la oficina jurídica de presidencia y la oficina jurídica del Ministerio del Interior para su posterior publicación. El segundo es el avance en el Proyecto de decreto por el cual “Por el cual se pone en funcionamiento el Territorio Indígena de la Zona Norte Extrema de la Alta Guajira y se adoptan medidas para su organización” y se avanzó en la construcción del Proyecto de decreto “Por el cual se modifica el literal d del artículo 2.2.1.5.15 y el artículo 2.2.1.5.18. del Decreto 1066 de 2015 adicionado por el artículo 1 del Decreto 900 de 2020 por el cual se reglamenta parcialmente la Ley 1962 de 2019 en lo relativo a las Regiones Administrativas y de Planificación – RAP”. Se aprobó el plan de trabajo de la vigencia 2024 donde se logró incluir el compromiso interinstitucional de continuar impulsando el diseño de la política general de ordenamiento territorial y se logró impulsar de la LOOT con un enfoque diferencial Territorial Alrededor del Agua y Justicia Ambiental por medio de Debates conceptuales e implicaciones de Política. Además, el 22 de diciembre se realizó mesa técnica institucional para continuar con el proceso de estructuración de proyecto de ley orgánica por medio del cual se pone en funcionamiento las Entidades Territoriales Indígenas – ETIS.</t>
  </si>
  <si>
    <t>Durante el año 2023 se atendieron 1207 peticiones y consultas realizadas a través del correo electrónico. Se avanzo en la construcción de 6 proyectos de ley y/o reglamentos según la necesidad de la Subdirección y el Ministerio del Interior y se logró a través de la Comisión de Ordenamiento territorial impulsar la formulación de la Política Publica General de Ordenamiento Territorial – PGOT e impulsar la Ley Orgánica de Ordenamiento para el fortalecimiento de la gestión territorial con especial énfasis en la reglamentación para la creación de las ETIS.</t>
  </si>
  <si>
    <t>Durante el primer trimestre se atendieron 385 peticiones y consultas realizadas a través del sistema de ControlDoc. Por otra parte, se logra adelantar la gestión normativa en lo referente a: 1. Proyecto de Ley Orgánica “Por medio del cual se moderniza la estructura y funcionamiento de los municipios y se dictan otras disposiciones". 2. Proyecto de ley orgánica “Por el cual se desarrolla el artículo 13 de la Ley 2200 de 2022 relacionado con los requisitos y procedimientos para la creación de departamentos y se dictan otras disposiciones”.  3. Decreto reglamentario de la Ley 1625 de 2013 – Régimen Áreas Metropolitanas. 4. Proyecto de Decreto. Modificación Decreto 900 de 2020 sobre Regiones Administrativas y de Planificación. 5. Proyecto de Reglamentación y/o Implementación del Artículo 41 Del PND: “Fortalecimiento de los Esquemas Asociativos Territoriales”.</t>
  </si>
  <si>
    <t>Se atendieron 612  peticiones y consultas realizadas a través del sistema de ControlDoc, distribuidas así: durante el mes de junio se atendieron  164 Peticiones y consultas, durante el mes de agosto se atendieron 227 Peticiones y consultas y durante el mes de septiembre se atendieron 221 Peticiones y consultas y se  adelantaron acciones con los proyectos  de decreto que reglamenta el artículo 41 del Plan Nacional de Desarrollo (PND): Comentarios y observaciones presentadas por ASOCENTRO del Tolima. 2. Alcance: Remisión del proyecto de decreto reglamentario de la Ley 2079 de 2021. Se solicita la remisión a la Oficina de Trámite (OT) para la gestión de firmas del proyecto de decreto. 3. Proyecto de Decreto Modificatorio del Decreto 900 de 2020:e remitió el proyecto de decreto modificatorio del Decreto 900 de 2020, relacionado con las Regiones Administrativas de Planificación (RAP). Asimismo, se procede a socializar el borrador del decreto reglamentario del artículo 41 del Plan Nacional de Desarrollo. 4. Proyecto de Ley: Creación de Departamentos: Convocatoria a mesa técnica-jurídica para la revisión del Acto Legislativo y del Proyecto de Ley Orgánica relacionados con la creación de nuevos departamentos. 5. Proyecto de Ley de Creación de Entidades Territoriales Indígenas (ETIs):Respuesta al memorando con radicado 2024-3-003104-024685, ID: 384490, referente a la "Solicitud de concepto jurídico sobre el trámite del proyecto de ley de creación de Entidades Territoriales Indígenas (ETIs)." 6. Capítulo 2, Título 2, Parte 2 del Libro 2 del Decreto 1066 de 2015:Observaciones enviadas por el Departamento Nacional de Planeación (DNP) y la Oficina Asesora Jurídica del Ministerio del Interior.</t>
  </si>
  <si>
    <t>Durante el cuarto trimestre de 2024, la Subdirección gestionó un total de 896 Peticiones, Quejas, Reclamos, Sugerencias, Denuncias y Felicitaciones (PQRSDF) a través del sistema de información ControlDoc y se avanzó en 7 proyectos normativos clave para la gestión territorial y la descentralización, incluyendo el PND, la modernización municipal, la creación de departamentos, y esquemas asociativos fronterizos, actualmente en revisión jurídica y de Cancillería</t>
  </si>
  <si>
    <t>Se atendieron 2230 peticiones y consultas de la comunidad e instituciones dirigidas a la Subdirección y Se avanzó en 7 proyectos normativos clave para la gestión territorial y la descentralización.</t>
  </si>
  <si>
    <t>Durante el primer trimestre de 2025, se atendieron 725 peticiones y consultas de la comunidad e instituciones dirigidas a la Subdirección.</t>
  </si>
  <si>
    <t>Durante el segundo trimestre de 2025, se atendieron 419 peticiones y consultas de la comunidad e instituciones dirigidas a la subdirección.</t>
  </si>
  <si>
    <t>Durante el tercer trimestre de 2025, se recibieron 1.290 PQRSD, de las cuales 1.020 fueron tramitadas con respuesta oportuna y 263 permanecen en tránsito en el sistema ControlDoc. La Subdirección de Gobernanza y Gestión Territorial y Lucha contra la Trata (SGT) registra 48 PQRSD pendientes, distribuidas en 17 vencidas, 7 por vencerse y 24 dentro del término.</t>
  </si>
  <si>
    <t>8.1</t>
  </si>
  <si>
    <t xml:space="preserve">Atender las peticiones y/o consultas requeridas por la comunidad e instituciones a la Subdirección. </t>
  </si>
  <si>
    <t>Peticiones y consultas relacionadas con gobernanza y ordenamiento territorial atendidas.</t>
  </si>
  <si>
    <t>(Número de solicitudes respondidas oportunamente / número de solicitudes con el termino de respuesta finalizado) *100%</t>
  </si>
  <si>
    <t>Mejora Normativa</t>
  </si>
  <si>
    <t>OAP_I_TRIM_2025: Se cambia el nombre del tipo de acumulación cuyo objetivo es mantener, pasando de "Mantenimiento" a "Stock". Lo anterior de conformidad con lo establecido en la guía para la elaboración y análisis de indicadores del DNP.
OAP 15.08.2025: En atención a solicitud de fecha 15.08.2025 y de acuerdo con la viabilidad Radicado 2025-3-001102-023470 Id: 593150 se modifica (Reduce) el valor del presupuesto asociado a la actividad 8.1 en 100.000.000</t>
  </si>
  <si>
    <t>8.2</t>
  </si>
  <si>
    <t>Apoyar la formulación del marco normativo en ordenamiento territorial, gobernanza, descentralización y trata de personas, incorporando un enfoque de género, intercultural e intersectorial.</t>
  </si>
  <si>
    <t>Marco normativo en ordenamiento territorial, gobernanza, descentralización y trata de personas apoyado en su formulación</t>
  </si>
  <si>
    <t>Sumatoria de documentos de apoyo a la formulación del marco normativo elaborados</t>
  </si>
  <si>
    <t>29. Nuevo ordenamiento territorial alrededor del agua.</t>
  </si>
  <si>
    <t>1. Colombia, economía para la vida. 1.1. Ordenamiento territorial alrededor del agua.</t>
  </si>
  <si>
    <t>1. Ordenamiento del territorio alrededor del agua y justicia ambiental. Catalizador No. 4: Capacidades de los gobiernos locales y las comunidades para la toma de decisiones de ordenamiento y planificación territorial.</t>
  </si>
  <si>
    <t xml:space="preserve">11. Ciudades y comunidades sostenibles.  </t>
  </si>
  <si>
    <t>Diseñar e implementar una estrategia para el ordenamiento territorial diferencial para la convergencia regional.</t>
  </si>
  <si>
    <t>Estrategia para el ordenamiento territorial diferencial para la convergencia regional diseñada e implementada.</t>
  </si>
  <si>
    <t>Se realizo en el municipio de Uribía, Guajira la asistencia técnica sobre CONPES 3944 de 2018 y se diseñó la estrategia a implementar por parte de la Subdirección para impulsar el ordenamiento territorial en los territorios fronterizos, las áreas no municipalizadas y territorios marino costeros.</t>
  </si>
  <si>
    <t>Durante el segundo trimestre se realizó una asistencia técnica para los funcionares y contratistas de la Gobernación de La Guajira y sus pueblos indígenas en materia de ordenamiento territorial y gobernanza para promover el desarrollo integral del departamento en el marco del CONPES 3944 de 2018. Dicha actividad fortaleció la Provincia Administrativa y de Planificación Luz Del Norte. En coordinación con la dirección de Seguridad, Convivencia Ciudadana y Gobierno se dio inicio a la construcción de la propuesta normativa para abordar el ordenamiento territorial fronterizo. Durante el mes de mayo se realizó la mesa de dialogo, concertación y seguimiento para el desarrollo de 6 comunidades Negras e indígenas.</t>
  </si>
  <si>
    <t>No se presento avance de la actividad. La meta de este trimestre se cumplirá durante el trascurso del cuarto trimestre.</t>
  </si>
  <si>
    <t>Durante el cuarto trimestre se realizó una asistencia técnica en el municipio de Riohacha en materia de ordenamiento territorial y gobernanza para promover el desarrollo integral del departamento en el marco del cumplimiento del Conpes 3944/2018. Se realizaron 3 acciones de articulación intra e interinstitucional con el propósito de atender la situación humanitaria y de emergencia que se vive en la región del Darién producto de los flujos de migración humana hacia Centro América, acciones así: 1. Articulación para lograr consolidar la propuesta de Directiva Presidencial en sus dos componentes: (I) Atención Humanitaria de Emergencia y (II) Recuperación del Territorio y su reordenamiento, a través de sus cinco líneas temáticas. 2. Se logró consolidar el del Plan Integral de Atención y Acompañamiento al Darién (PIAAD). 3. En el mes de noviembre se realizó la Mesa interinstitucional de Ordenamiento Territorial de las áreas no municipalizadas de Amazonas, en compañía de la Procuraduría General de la Nación y otras entidades del orden nacional y local. Además, se apoyaron 4 grupos étnicos, así: durante el mes de octubre se realizó asistencia técnica a los líderes de Norte de Bolívar para el desarrollo del etopetamiento en el municipio de María la Baja departamento Bolívar y en el mes de noviembre de la presente anualidad se apoyaron 3 grupos étnicos mediante mesa técnica de trabajo para el fortalecimiento de las comunidades étnicas del municipio de Puerto Asís – Putumayo, asistencia técnica sobre ordenamiento territorial especial en el municipio de Leticia - Amazonas y fortalecimiento de la gobernanza y ordenamiento territorial a la comunidad indígena Zenú del municipio de Tuchín de Montería.</t>
  </si>
  <si>
    <t>Durante el año 2023 se realizaron 3 asistencias técnicas para promover el desarrollo integral del departamento de la Guajira en el marco del cumplimiento del Conpes 3944/2018. Se logró implementar una estrategia de coordinación en los territorios fronterizos para atender la situación humanitaria que se vive en la región del Darién. Además, se logró implementar acciones para solucionar la problemática de las áreas no municipalizadas y se logró apoyar 10 grupos étnicos en la implementación de los mecanismos para la articulación de territorialidades de los grupos étnicos, financiamiento y ejercicio de competencias.</t>
  </si>
  <si>
    <t>1. Plan de gestión de Migración: Se realizo la formulación y seguimiento del plan de acción interinstitucional del PIAD y seguimiento a la directiva presidencial sobre la región del Darién. 2. Plan de gestión de Áreas no municipalizadas: Se dio inicio a la estructuración del Decreto 632 áreas no municipalizadas e indígenas. 3. Plan de gestión áreas fronterizas: Se realizo seguimiento a los compromisos de buena vecindad con Venezuela, seguimiento a los compromisos de cada uno de los departamentos que comparten frontera con Venezuela. También, se realizó articulación para formulación del plan Tulcán con Ecuador. Finalmente, se realizó reunión con funcionarios de Cúcuta para la reformulación de la política publica migratoria en Norte de Santander. 4. Plan de gestión áreas marítimo costeras: Se adelanto articulación interinstitucional con representantes del concejo distrital de Buenaventura para coordinar acciones integrales en materia de ordenamiento territorial.</t>
  </si>
  <si>
    <t>Se adelantó el anexo técnico para levantar los requerimientos operativos, el cual se encuentra en el proceso precontractual. Se adelantaron 10 encuentros interinstitucionales con el propósito de actualizar el informe  correspondiente  a la  implementación de la Propuesta de Directiva Presidencial y a la racionalización de instrumentos para el PIAAD. 
Se adelantaron encuentros  Interinstitucionales  los días 15 , 16  y 17 con los alcaldes de Necoclí y Acandí</t>
  </si>
  <si>
    <t>El Ministerio del Interior, a través de la Subdirección de Gobierno, Gestión Territorial y Lucha Contra la Trata, desarrollo 4 acciones de articulación intersectorial con el propósito de generar espacios de atención a población migrante, retornada, refugiada y a comunidad de acogida, en territorios vulnerables, es así como se logra desarrollar la primera feria intersectorial,  en procura de la garantía de derechos de la población migrante,  permitiendo el acceso y la orientación a los programas del estado desde los enfoques de Seguridad Humana, Justicia Social y Convergencia Regional. 
Incorporación de la propuesta “Sello Migratorio” en el borrador del Decreto Reglamentario del Artículo 41 del Plan Nacional de Desarrollo.</t>
  </si>
  <si>
    <t>Se desarrollan 4 acciones de articulación intersectorial con el propósito de generar espacios de atención a población migrante, retornada, refugiada y a comunidad de acogida, en territorios vulnerables, es así como se logra la socialización de  la propuesta del Decreto Reglamentario del Artículo 41 PND, con el DNP y Migración Colombia,  entidades que están haciendo la consultas  con sus oficinas  jurídicas en cuanto a la viabilidad de la  incorporación de la estrategia diferencial " Sello Migratorio para Paz", en el Decreto Reglamentario del Artículo 41, para firma del Ministerio del Interior</t>
  </si>
  <si>
    <t>Se realizaron 4 acciones de articulación intersectorial para atender a población migrante, retornada, refugiada y de acogida, logrando socializar el Decreto Reglamentario del Artículo 41 del PND y evaluar la inclusión del 'Sello Migratorio para la Paz</t>
  </si>
  <si>
    <t>Durante el primer trimestre de 2025 se realizaron las siguientes acciones, así: ENERO se realizó articulación con el Ministerio de Relaciones Exteriores- Cancillería- con el propósito de conocer los avances del gobierno nacional para atender los temas priorizados del Relator especial de la ONU-Organización de las Naciones Unidas-. FEBRERO: Se realizó articulación Intersectorial, desarrollando las siguientes actividades: 1. Participación en el Ministerio de Relaciones Exteriores. 2. Sesión extraordinaria de la mesa de niñez y adolescencia migrante. 3. Articulación intersectorial en Buenaventura. 4. Participación en la mesa migratoria de Turbo Antioquia, 5. Preparación y participación de la sesión ordinaria número 139 Comisión Intersectorial para el retorno. 6. Articulación de acciones de migración con el Ministerio de Salud y Protección Social. 7. Articulación con el equipo técnico del Ministerio del Trabajo. MARZO: Se realizó articulación Intersectorial, desarrollando las siguientes actividades: 1. Reunión con el Ministerio del Trabajo- SENA y el Comité de Migración del Distrito Especial de Buenaventura. 2. Encuentro intersectoriales en Norte de Santander. 3. Reunión intersectorial con el Esquema Asociativo Territorial ASOMUDACAR. 4. Articulación con la Región Administrativa de Planeación (RAP) Gran Santander. 5. Participación en la Sesión de la Comisión de Lucha Contra el Tráfico de Migrantes. 6. Participación en la mesa técnica para la atención de deportados. 7. Comunicación con la CNIM- Comisión Nacional Intersectorial de Migraciones-. 8. Comunicación con OCHA - Oficina de Coordinación de Asuntos Humanitarios-</t>
  </si>
  <si>
    <t>En el segundo trimestre del 2025 en el desarrollo de una estrategia diferencia, se realizaron acciones hacia la población migrante, así: mes de abril, articulación intersectorial para el fortalecimiento del ordenamiento territorial y construcción de paz; estas actividades fueron: Subcomisión de Derechos Humanos. reunión intersectorial con Ministerio de Relaciones Exteriores- Cancillería (Dirección de Derechos Humanos y el  G.I.T. de Política y Asuntos Migratorios), Departamento Nacional de Planeación, Unidad Administrativa Especial de Migración Colombia, Ministerio de la Igualdad y Equidad,  y Consejería para los Derechos Humanos, el equipo de Trata de Personas y de Migración de la Subdirección de Gobierno, Gestión Territorial y Lucha Contra la Trata, Centro de Atención Humanitaria en el municipio Necoclí. Se realizó articulación con el Viceministerio para las Poblaciones y Territorios Excluidos y Superación de la Pobreza del Ministerio de la Igualdad y Equidad. Propuesta de la política migratoria de la RAP Gran Santander, la SGT del Ministerio del Interior, compartió la Propuesta de Política Integral Migratoria de la RAP Gran Santander con entidades de orden nacional. Articulación con Esquema Asociativo Territorial ASOMUDACAR, se revisó y acordó la viabilidad de incorporar el tema migratorio en el programa “Gestión Social Estratégica para Potenciar el Desarrollo Humano y la Reducción de Desigualdades. Articulación entre la Oficina de Naciones Unidas para la Coordinación de Asuntos Humanitarios (OCHA) y Necoclí. Se asiste a la Sesión Ordinaria 141 - Comisión Intersectorial para el Retorno, mes de mayo de 2025, se desarrolló la metodología, objetivos y líneas estratégicas de la Subcomisión de Derechos Humanos. En la gestión adelantada se resaltan los siguientes logros:  Retomar con la Cancillería la formulación de la Directiva Presidencial para el Darién (PIAAD).  Con la Secretaría de Fronteras y Cooperación de Norte de Santander, se socializan detalles frente a la ruta de atención a víctimas que incluyen a población migrante víctima de conflicto armado (zona del Catatumbo). Se orienta la formulación de la Política Integral Migratoria de la Región Administrativa y de Planeación RAP del Gran Santander y se fortalecen las acciones en materia migratoria del municipio de Necoclí y el Distrito Especial del Buenaventura. Mes de junio de 2025, continuidad con la elaboración el plan de acción de la Subcomisión de Derechos Humanos.  Aspectos relevantes de la gestión, realización de mesa de trabajo para concertar el texto final de la Directiva Presidencial del Plan Integral de Atención y Acompañamiento del Darién (PIAAD) con el Ministerio de Relaciones Exteriores. El acompañamiento técnico en el desarrollo de la sesión extraordinaria de la Comisión Intersectorial de Lucha Contra el Tráfico de Migrantes, Articulación interna para la actualización de la estrategia “Sello Migratorio”.</t>
  </si>
  <si>
    <t>En el tercer trimestre, se llevaron a cabo las siguientes gestiones y/o articulaciones: Julio: Avance en la Subcomisión para la Promoción y Protección de los Derechos Humanos, Se desarrolló y coordinó el Plan de Acción de la Subcomisión de Derechos Humanos, Aportes a la Directiva Presidencial del Darién, se enviaron a la Dirección Jurídica de la Cancillería las apreciaciones jurídicas sobre la propuesta de Directiva Presidencial. Orientación a la política de la RAP Gran Santander, se reforzó la necesidad de actualizar la propuesta de su Política Integral Migratoria. Agosto: participación activa en los talleres para la actualización de la Estrategia Nacional de Lucha contra el Tráfico de Migrantes y en las mesas técnicas para establecer la hoja de ruta de transporte humanitario, en el fortalecimiento de la Planificación Intersectorial: La asesoría técnica liderada con el DNP,  fundamental para ajustar y validar el Plan de Acción de la Subcomisión de Derechos Humanos. La Articulación Territorial y de Alto Nivel: La gestión en la mesa migratoria de Jurado (Chocó) y la posterior propuesta de crear un espacio de diálogo con los 32 gobernadores del país. Septiembre impulsó la fase preliminar del Plan de Acción de la Subcomisión de Derechos Humanos, se destaca: Fase preliminar del Plan de Acción de la Subcomisión de Derechos Humanos: Se avanzó en la consolidación de un documento técnico denominado Plan de Acción a través de una serie de reuniones bilaterales con Migración Colombia, ICBF, Unidad para las Víctimas y equipos internos del Ministerio. Articulación Intersectorial: La Subdirección participó en la Sesión 146 de la Comisión Intersectorial para el Retorno. Se participó en la mesa de trabajo para la construcción de la hoja de ruta de transporte humanitario. Fortalecimiento del enfoque de género: Se cumplió con la revisión programada de la estrategia "Sello Migratorio para la Paz" con el equipo de género del Ministerio. Fortalecimiento a los EAT : La RAP Gran Santander avanza en la creación de una propuesta de Política Integral Migratoria para la región de los Santanderes.</t>
  </si>
  <si>
    <t>Fortalecimiento de las entidades territoriales y esquemas asociativos territoriales para la articulación de acciones orientadas a la gestión integral del desarrollo territorial y la atención de poblaciones en situación de vulnerabilidad.</t>
  </si>
  <si>
    <t>Informes de ejecución y listados de asistencia</t>
  </si>
  <si>
    <t>Entidades territoriales y Esquemas asociativos territoriales fortalecidos</t>
  </si>
  <si>
    <t xml:space="preserve">Documentos técnicos elaborados                                 </t>
  </si>
  <si>
    <t>Desarrollar acciones de articulación interinstitucional con entidades territoriales y nacionales para el fortalecimiento de la gestión migratoria, promoviendo la coordinación de políticas, programas y estrategias orientadas a la atención, integración y protección de la población migrante.</t>
  </si>
  <si>
    <t>Informes de ejecución, actas de reunión y listados de asistencia</t>
  </si>
  <si>
    <t>Articulaciones interinstitucionales desarrolladas</t>
  </si>
  <si>
    <t>(Número de solicitudes de las entidades territoriales y nacionales atendidas oportunamente / Número de solicitudes de las entidades territoriales y nacionales) * 100%</t>
  </si>
  <si>
    <t>Fortalecer el ordenamiento y la gobernanza territorial a través de la asociatividad para la paz.</t>
  </si>
  <si>
    <t>Actividades realizadas para fortalecer el ordenamiento y la gobernanza territorial.</t>
  </si>
  <si>
    <t>Se realizo asistencia técnica a 7 Esquemas Asociativos Territoriales. Se diseño la estrategia a implementar por parte de la Subdirección para impulsar Sistema de información del territorio interoperables para armonizar y racionalizar los instrumentos de ordenamiento y planificación territorial. Se creo la estrategia a desarrollar por la Subdirección para que con el apoyo y coordinación de las entidades competentes se logre impulsar el programa nacional de incentivos para los EAT. Se elaboro el proyecto de inversión para la construcción de la Paz Total denominado: MEJORAMIENTO DE LA EFECTIVIDAD DE LOS PROGRAMAS E INICIATIVAS DE CONSTRUCCIÓN DE PAZ LIDERADAS POR EL MINISTERIO DEL INTERIOR A NIVEL NACIONAL.</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</si>
  <si>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Se fortalecieron las capacidades 4 alianzas asociativas para la paz denominadas RPG Bajo Cauca, ANDELCA, ASMETA, ASOPATIA. Presentación del programa de asociatividad territorial para la Paz ante el Ministerio de Ambiente y Desarrollo Sostenible, Agencia de Renovación del Territorio y el Grupo de Coordinación e implementación de la política de víctimas del Ministerio del Interior.</t>
  </si>
  <si>
    <t>Durante el tercer trimestre se realizó 11 asistencias técnicas a los Esquema Asociativo Territoriales. Además, Se avanzo en la Reglamentación y/o Implementación del Artículo 41 Del PND: “Fortalecimiento de los Esquemas Asociativos Territoriales”. También, Realización de mesas técnicas de trabajo con las direcciones responsables de los indicadores del PMI en el Ministerio. 3. Se han desarrollado espacios de coordinación y articulación interinstitucional con otras entidades del orden nacional para la Implementación del Acuerdo Final de Paz, la Unidad para la atención y Reparación a Victimas.</t>
  </si>
  <si>
    <t>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Se avanzo en el Proyecto de Decreto cuyo objeto es reglamentar el artículo 38 de la Ley 2079 de 2021, “Por la cual se dictan disposiciones en materia de vivienda y hábitat”, se realizó el documento de conformación y funcionamiento del Observatorio de Ordenamiento Territorial, y su memoria justificativa y se logró avanzar en el diseño del plan nacional de incentivos a los Esquemas Asociativos Territoriales se logró la consolidación de propuesta normativa, proyecto de articulado para la reglamentación del artículo 41 “Fortalecimiento de los Esquemas Asociativos Territoriales”, del Plan Nacional de Desarrollo 2022-2026 “Colombia Potencia Mundial de la Vida”. Por otra parte, se fortalecieron las capacidades de 7 alianzas asociativas para la paz denominadas AMUNORCA, AREMCA, ASOATRATO, ASOMPASC, ASOMUDACAR, ASOREC y GOLFO DE MORROSQUILLO. Finalmente se realizaron 5 acciones para la consolidación de la Paz, así: 1. Seguimiento al plan de choque con las direcciones del Ministerio del Interior. 2. Estructuración y Creación mediante resolución del grupo interno del equipo de paz. 3. Reunión de seguimiento política PNIS; Mesa técnica PNIS; mesa de diálogo: garantías seguridad humana con CINEP y CIRAP. 4. Segundo encuentro nacional diálogo sobre el estado de la implementación del acuerdo de paz y Encuentro mecanismos especiales de consulta MEC. 5. apoyo a las comunidades indígenas vinculadas al capítulo étnico del Acuerdo Final de Paz con el fin de darle cumplimento a los elementos planteados en el acuerdo de paz, apoyo que buscará entre otras cosas, realizar la concertación de la hoja de ruta que impulse la Implementación del Capítulo étnico del Acuerdo Final de Paz.</t>
  </si>
  <si>
    <t>Durante el año 2023 se logró fortalecer a 40 Esquemas Asociativos Territoriales. Se logro suscribir 12 alianzas asociativas para la paz como estrategia de fortalecimiento de las regiones más afectadas por el conflicto armado. Se logro la consolidación de propuesta normativa para la reglamentación del artículo 41 “Fortalecimiento de los Esquemas Asociativos Territoriales”, del Plan Nacional de Desarrollo 2022-2026 “Colombia Potencia Mundial de la Vida”. Por otra parte, se logró la aprobación del proyecto de inversión para la construcción de la paz total. Además, se logró diagnóstico, evolución y puesta en marcha del plan de acción para que el Ministerio del Interior cumpla adecuadamente con los compromisos de los acuerdos de paz según le corresponda.</t>
  </si>
  <si>
    <t>Durante el primer trimestre se asistieron 13 Esquemas Asociativos Territoriales – EAT, así: El mes de enero se realizaron 3 acompañamientos técnicos de actualización de registro de EAT. En el mes de febrero se realizaron 8 acompañamientos técnicos, así: 1 registro de EAT, 5 actualizaciones de registro de EAT y 5 actualización de representante legal del EAT. En el mes de marzo se realizaron 2 acompañamientos técnicos para la actualización de registro de EAT.</t>
  </si>
  <si>
    <t xml:space="preserve">Durante el primer trimestre se asistieron 16 Esquemas Asociativos Territoriales – EAT, así: 10 actualizaciones, 1 renovación y 4  actualizaciones. Durante el mes de abril se capacitaron 50 municipios de 10 departamentos para el fortalecimiento de sus instancias de asesoría y gestión del ordenamiento territorial principalmente las Comisiones Regionales de O.T. </t>
  </si>
  <si>
    <t>Durante el Segundo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
Durante el mes de julio de 2024 se realizó 2 acompañamientos técnicos y jurídicos a los municipios de Villa María, Neira y Manizales en el departamento de Caldas para el fortalecimiento de sus instancias de asesoría y gestión del ordenamiento territorial.
Durante el mes de agosto de 2024 se realizó 6  acompañamientos técnicos y jurídicos a los municipios de Castilla La Nueva, Acacias y Guamal en el departamento del Meta; Providencia en el departamento de San Andrés; San Juan de Urabá y Copacabana en el departamento de Antioquia para el fortalecimiento de sus instancias de asesoría y gestión del ordenamiento territorial. 
Durante el mes de septiembre se realizaron 10 acompañamientos técnicos para el fortalecimiento de instancias de asesoría y gestión de ordenamiento territorial: Baraya, La Argentina, La Plata, Timaná, Iquira,  en el departamento del Huila;  Riohacha en la Guajira; Mocoa y Villa Garzón en Putumayo y el departamento de Amazonas.</t>
  </si>
  <si>
    <t xml:space="preserve">Durante el cuarto trimestre se asistieron 22 Esquemas Asociativos Territoriales – EAT  
En el mes de Octubre de 2024: Se atendieron 5 solicitudes de los esquemas asociativos así: 3 de actualización-2 de registro .
En el mes de Noviembre de 2024:Se atendieron 9 solicitudes de los esquemas asociativos así: 3 de actualización-5 de renovación-1 de registro 
En el mes de Diciembre de 2024: Se atendieron 8 solicitudes de los esquemas asociativos así:5 de actualización-2 de renovación- 1 registro
Finalmente  se realizaron 2 asistencias técnicas para el fortalecimiento de las instancias de asesoría y gestión de ordenamiento territorial a los municipios de Circasia, Salento y La Tebaida.
</t>
  </si>
  <si>
    <t xml:space="preserve">En 2024 se atendieron 74 solicitudes relacionadas con el registro, actualización y renovación de los Esquemas Asociativos Territoriales, asimismo, se acompañó a 70 entidades territoriales en la consolidación de instancias de asesoría y gestión del ordenamiento territorial </t>
  </si>
  <si>
    <t>En el primer trimestre de 2025 se recibieron 15 solicitudes de resolución por parte de esquemas asociativos territoriales, las cuales se distribuyen así: En el mes de enero se realizaron 1 de registro, 1 de actualización y 3 de renovación. En el mes de febrero se realizaron 1 de registro, 2 de actualización y 4 de renovación. En el mes de marzo se realizaron 2 de registro y 1 de renovación.</t>
  </si>
  <si>
    <t>Durante el segundo trimestre del 2025, se generaron 16 resoluciones a los esquemas asociativos territoriales; se fortaleció el esquema asociativo territorial ASOMUNICIPIOS EAT- Calamar. El Retorno y Miraflores Guaviare, Alcaldía De Santa Isabel Tolima, Área Metropolitana De Valledupar, ASPROVEL- Asociación de Municipios de la Provincia de Vélez y Territorios Nacionales-, RAP AMAZONIA- Región Administrativa y de Planificación de la Amazonia y ASOMOMPOSINA- Asociación de Municipios de la Depresión Momposina; en la actividad de realizar acompañamiento a la conformación de Esquemas Asociativos Territoriales Transfronterizos se realizaron los 3 documentos Técnicos; se realizaron 13 articulaciones de conexión gobernanza y se realizaron apoyos a 45 entidades territoriales en aspectos relacionados con el ordenamiento territorial.</t>
  </si>
  <si>
    <t>Durante el tercer trimestre de 2025, se generaron 28 resoluciones a los Esquemas Asociativos Territoriales: 15 en julio (10 de renovación, 2 de registro y 3 de actualización), 4 en agosto (2 de renovación y 2 de actualización) y 9 en septiembre (4 de renovación, 3 de actualización y 2 de registro). Se realizó una asistencia técnica que benefició a 15 esquemas asociativos, en el marco de las estrategias “Asociatividad Territorial para la Paz” y “Escuela: Juntanza para la Gobernanza y el Ordenamiento Territorial hacia la Paz”, conforme al artículo 41 del Plan Nacional de Desarrollo 2022–2026. Se avanzó en la revisión y consolidación del Decreto Reglamentario de Fronteras, la cualificación técnica de alcaldes y equipos de planeación en Putumayo, Cauca y Caquetá, y la elaboración del Documento Técnico para la Reglamentación de Procesos Asociativos Transfronterizos y Zonas Especiales de Intervención Fronteriza. Asimismo, se realizaron 36 articulaciones interinstitucionales en 11 departamentos con entidades nacionales y locales, fortaleciendo la coordinación territorial. Finalmente, se efectuaron 28 apoyos técnicos a entidades territoriales y consejos de participación, con entrega de 28 documentos técnicos que contribuyeron a la actualización de los POT y POD.</t>
  </si>
  <si>
    <t>Atender las solicitudes de registro, actualización y renovación de los Esquemas Asociativos Territoriales.</t>
  </si>
  <si>
    <t>Registros, actualizaciones y renovaciones de EAT atendidas.</t>
  </si>
  <si>
    <t>(Número de solicitudes de EAT atendidas oportunamente / Número de solicitudes de EAT requeridas.)* 100%</t>
  </si>
  <si>
    <t>OAP_I_TRIM_2025: Se cambia el nombre del tipo de acumulación cuyo objetivo es mantener, pasando de "Mantenimiento" a "Stock". Lo anterior de conformidad con lo establecido en la guía para la elaboración y análisis de indicadores del DNP.
OAP 15.08.2025: En atención a solicitud de fecha 15.08.2025 y de acuerdo con la viabilidad Radicado 2025-3-001102-023470 Id: 593150 se modifica (Reducir) el valor del presupuesto asociado a la actividad 10.1 en 22.000.000</t>
  </si>
  <si>
    <t>Fortalecer las capacidades técnicas, operativas y/o administrativas de los Esquemas Asociativos Territoriales (EAT).</t>
  </si>
  <si>
    <t>Esquemas Asociativos Territoriales fortalecidos.</t>
  </si>
  <si>
    <t>Sumatoria de Esquemas Asociativos Territoriales (EAT) fortalecidos</t>
  </si>
  <si>
    <t>Promover la articulación entre entidades territoriales, corporaciones públicas y actores sociales organizados con entidades del orden nacional para fortalecer la gestión territorial.</t>
  </si>
  <si>
    <t>Entidades territoriales y corporaciones públicas y actores sociales organizados articuladas con entidades del orden nacional .</t>
  </si>
  <si>
    <t>Sumatoria de entidades territoriales o corporaciones públicas y actores sociales organizados articuladas.</t>
  </si>
  <si>
    <t>(Sumatoria de actividades realizadas / Sumatoria actividades programadas) * 101</t>
  </si>
  <si>
    <t>10.4</t>
  </si>
  <si>
    <t>Fortalecer los mecanismos participativos e instrumentos de planificación territorial promoviendo procesos de planeación participativa, concertación y articulación institucional para la gestión integral del territorio.</t>
  </si>
  <si>
    <t>Documentos Técnicos</t>
  </si>
  <si>
    <t>Mecanismos participativos e instrumentos de planificación territorial fortalecidos</t>
  </si>
  <si>
    <t>Sumatoria de entidades territoriales fortalecidas</t>
  </si>
  <si>
    <t>10.5</t>
  </si>
  <si>
    <t>Elaborar estudios técnicos que fortalezcan la gestión y el ordenamiento territorial, orientados a mejorar la planificación y la articulación institucional para el desarrollo integral de los territorios.</t>
  </si>
  <si>
    <t>Documentos de estudios técnicos</t>
  </si>
  <si>
    <t>Estudios técnicos realizados para el fortalecimiento de la gestión y el ordenamiento territorial</t>
  </si>
  <si>
    <t>Número de documentos de estudios técnicos realizados</t>
  </si>
  <si>
    <t>Los documentos serán publicados por los canales digitales del ministerio.</t>
  </si>
  <si>
    <t>10.6</t>
  </si>
  <si>
    <t>Fortalecer las capacidades institucionales de las entidades territoriales, para la promoción de los procesos asociativos Transfronterizos.</t>
  </si>
  <si>
    <t>Entidades Territoriales fortalecidas en las capacidades institucionales para la promoción de los procesos asociativos transfronterizos.</t>
  </si>
  <si>
    <t>Documentos de estudios técnicos realizados</t>
  </si>
  <si>
    <t>Fortalecer las entidades territoriales en el desarrollo de procesos asociativos y de la estrategia del Sistema Administrativo del Interior.</t>
  </si>
  <si>
    <t>Entidades territoriales fortalecidas en el desarrollo de procesos asociativos.</t>
  </si>
  <si>
    <t>Se desarrollaron 6 asistencias técnicas a Entidades Territoriales en temas como Régimen de Distritos Especiales, Asociatividad PAZ, Ordenamiento territorial y Esquemas Asociativos Territoriales.</t>
  </si>
  <si>
    <t>Durante el segundo trimestre se desarrollaron 5 asistencias técnicas a Entidades Territoriales en temas como Régimen de Distritos Especiales, Asociatividad PAZ, Ordenamiento territorial y Esquemas Asociativos Territoriales. Se realizo la asistencia técnica a la RPG de Cartagena y la Provincia Administrativa y de Planificación del Sumapaz y del Alto Magdalena. Durante el mes de abril se brindó asesoría técnica a la Rap Caribe sobre el registro ante el Sistema REAT del ministerio del interior, pasos y documentos. En el mes de abril se realizó asistencia técnica para la conformación de la ASOCIATIVIDAD METROPOLITANA SUR OCCIDENTE DE COLOMBIA y Asistencia técnica a la alcaldía de Neiva para la conformación del Área Metropolitana y Área Metropolitana de Bucaramanga. Esta actividad se realizó durante el segundo trimestre del año 2023, en estos meses se logró un total de 9 asistencias técnicas a las entidades territoriales lo cual busca difundir y presentar la oferta institucional de la Subdirección de Gobierno, Gestión Territorial y Lucha Contra la Trata en el marco del Sistema Administrativo del Interior.</t>
  </si>
  <si>
    <t>En el tercer trimestre se realizaron 10 asistencias técnicas, así: se realizó 2 asistencias técnicas, asistencia técnica a algunos municipios del departamento Norte de Santander, se asesoró sobre la importancia de la creación o incorporación del esquema asociativo territorial para el municipio de Toledo de Norte de Santander y el municipio de Cubara de Boyacá. Asistencia técnica a la Rap Llanos, Región Administrativa y de Planificación del Gran Santander y la RAP Amazonia. También, se realizó asistencia técnica sobre la oferta Institucional del Sistema Administrativo del Interior, a los municipios de Gamarra y Aguachica del departamento de Cesar y municipio de Neiva, Huila.</t>
  </si>
  <si>
    <t>En el cuarto trimestre se realizaron en total 67 asistencias técnicas, distribuidas así: 39 asistencias técnicas sobre la importancia de la Asociatividad Territorial para el Desarrollo Regional y el fortalecimiento de la asociatividad, 4 asistencias técnicas a las entidades territoriales en la creación y seguimiento de las Regiones de Planeación y Gestión y Provincias Administrativas y de planificación, 1 asistencias técnicas para el fortalecimiento de los departamentos en las conformaciones y seguimientos de las Regiones Administrativas de Planeación, 2 asistencias técnicas sobre la conformación y seguimiento de asociaciones de Áreas Metropolitanas y Distritos Especiales y 21 asistencias técnicas a las entidades territoriales en la Oferta Institucional del Sistema Administrativo del Interior.</t>
  </si>
  <si>
    <t>Durante el año 2023 se realizaron en total 104 asistencias técnicas, distribuidas así: 54 asistencias técnicas sobre la importancia de la Asociatividad Territorial para el Desarrollo Regional y el fortalecimiento de la asociatividad, 6 asistencias técnicas a las entidades territoriales en la creación y seguimiento de las Regiones de Planeación y Gestión y Provincias Administrativas y de planificación, 6 asistencias técnicas para el fortalecimiento de los departamentos en las conformaciones y seguimientos de las Regiones Administrativas de Planeación, 6 asistencias técnicas sobre la conformación y seguimiento de asociaciones de Áreas Metropolitanas y Distritos Especiales y 32 asistencias técnicas a las entidades territoriales en la Oferta Institucional del Sistema Administrativo del Interior.</t>
  </si>
  <si>
    <t>OAP. 20.03.2024 Se elimina la iniciativa 11 por solicitud del doctora Sonia Bernal del 2024-03-14, mediante correo.
OAP. 12.09.2023 Se modifica el valor presupuestal asociada a la actividad por solicitud de la Dra. Sonia Bernal subdirectora, mediante Radicado 2023-3-003111-027658 Id: 194307, Solicitud actualización viabilidad técnica del proyecto de inversión denominado
“FORTALECIMIENTO INSTITUCIONAL EN DESCENTRALIZACIÓN Y ORDENAMIENTO TERRITORIAL A NIVEL NACIONAL.”, vigencia 2023.
OAP 02-12-2023: De acuerdo con correo electrónico remitido por la Subdirectora de la SGT, se ajusta la iniciativa (Avance Cuantitativo del I y II Trimestre).</t>
  </si>
  <si>
    <t>Generar investigaciones, lineamientos técnicos y metodologías en materia de descentralización.</t>
  </si>
  <si>
    <t xml:space="preserve">Lineamiento técnicos generados en materia de descentralización </t>
  </si>
  <si>
    <t xml:space="preserve">Sumatoria de lineamientos técnicos elaborados </t>
  </si>
  <si>
    <t>Iniciativa prevista para iniciar el segundo trimestre.</t>
  </si>
  <si>
    <t>En el cuarto trimestre se desarrolló la Metodología de participación que se utiliza en los talleres de diagnóstico participativo. La cual está constituida por los siguientes instrumentos: Cartografía social, entrevistas semiestructuradas, instrumento de caracterización demográfica y territorial. Además, se realizó la elaboración de dos documentos guía para el fortalecimiento administrativo y técnico de los Esquema Asociativos Territoriales, hacia la gobernanza territorial. Se realiza documento de seguimiento enfocado en las iniciativas y políticas implementadas por la Subdirección en procesos clave como Esquemas de Asociatividad Territorial, el apoyo a la descentralización administrativa y la lucha contra la trata de personas. Se logró presentar ante la Dirección de Asuntos Legislativos del Ministerio del Interior el Proyecto de ley orgánica “Por el cual se desarrolla el artículo 13 de la Ley 2200 de 2022 relacionado con los requisitos y procedimientos para la creación de departamentos y se dictan otras disposiciones” y el Proyecto de decreto: “Por la cual se deroga la Ley Orgánica 128 de 1994 y se expide el Régimen para las Áreas Metropolitanas”.</t>
  </si>
  <si>
    <t>en el año 2024 se logró desarrollar 3 guías metodológicas para la buena gestión pública en las entidades territoriales. Formular la propuesta normativa de acuerdo con la solicitud agenda legislativa de impacto territorial. Se logro elaborar el documento de seguimiento enfocado en las iniciativas y políticas implementadas por la Subdirección frente a los procesos clave como Esquemas de Asociatividad Territorial, el apoyo a la descentralización administrativa y la lucha contra la trata de personas.</t>
  </si>
  <si>
    <t>Realizar encuentros entre autoridades nacionales, departamentales y municipales que desarrollen y promuevan políticas de descentralización y ordenamiento territorial.</t>
  </si>
  <si>
    <t>Número de eventos</t>
  </si>
  <si>
    <t>Sumatoria de eventos.</t>
  </si>
  <si>
    <t>Actividad prevista para iniciar el cuarto trimestre.</t>
  </si>
  <si>
    <t>En el marco del convenio 2604 de 2023, el 15 y 16 de diciembre se realizó el encuentro Regional en el Catatumbo, en la ciudad de Ocaña, en donde se contó con la participación de 120 representantes de las organizaciones sociales de los 16 municipios que conforman la Asociación de Municipios del Catatumbo. Asociación de Municipios del Catatumbo, Provincia de Ocaña Y Sur del Cesar (municipios de Ábrego, Cachirá, Convención, El Carmen, El Tarra, Hacarí, La Esperanza, La Playa, Ocaña, Río De Oro, San Calixto, Sardinata y Teorama), organizaciones sociales (indígenas, campesinas, de mujeres, de jóvenes, de ambientalistas entre otras), y población de los municipios asociados con interés en temas de ordenamiento territorial. Además, Se realizo el congreso nacional de concejales en el marco del programa de formación que se brinda es una experiencia de gran importancia para el fortalecimiento de la democracia participativa y el desarrollo territorial en Colombia, con los representantes de los concejos municipales y distritales de todo el país, así como a algunas autoridades nacionales, departamentales y locales, y a los actores sociales, académicos y económicos vinculados con la gestión pública.</t>
  </si>
  <si>
    <t>En el 2023 se realizó un evento nacional de desarrollo, competitividad territorial y procesos de planificación de ordenamiento territorial y un evento de divulgación de los principios estructurales de la descentralización política y administrativa y el afianzamiento de la gobernabilidad en el marco del congreso nacional de concejales 2023.</t>
  </si>
  <si>
    <t>OAP. 20.03.2024 Se elimina la iniciativa 13 por solicitud del doctora Sonia Bernal del 2024-03-14, mediante correo.</t>
  </si>
  <si>
    <t>Mejorar las acciones de divulgación en prevención, protección y asistencia en la lucha contra el delito de trata de personas a nivel nacional.</t>
  </si>
  <si>
    <t>acciones de divulgación en prevención, protección y asistencia en la lucha contra el delito de trata de personas mejoradas.</t>
  </si>
  <si>
    <t>No se presentó avance de esta iniciativa, la misma será reprogramada para cumplir durante el siguiente trimestre.</t>
  </si>
  <si>
    <t>Se adelantó el anexo técnico para levantar los requerimientos operativos, el cual se encuentra en el proceso precontractual</t>
  </si>
  <si>
    <t xml:space="preserve">
No se presentó avance de esta actividad, la misma se reprogramada para cumplir durante el siguiente trimestre</t>
  </si>
  <si>
    <t>Se realizó documento técnico en el que se incorpora descripción de procesos, métodos y herramientas en los ejes de prevención y protección en la lucha contra la trata de personas. En dicho documento se menciona las principales dificultades, retos y propuestas de mejoramiento, cuenta con un diagnóstico y objetivo general, que se tendrá en cuenta en la construcción de iniciativas encaminados al abordaje de la lucha contra la trata de personas.</t>
  </si>
  <si>
    <t>Se elaboró un documento técnico que describe procesos, métodos y herramientas en los ejes de prevención y protección contra la trata de personas, incluyendo un diagnóstico, dificultades, retos y propuestas de mejoramiento para la construcción de iniciativas en esta lucha</t>
  </si>
  <si>
    <t>Iniciativa prevista a cumplir a partir del segundo trimestre del año 2025.</t>
  </si>
  <si>
    <t>No se presenta avance de esta iniciativa en el segundo trimestre, las actividades serán reprogramadas para ser cumplidas en los siguientes trimestres del año 2025.</t>
  </si>
  <si>
    <t>Se realizo la Guía para la prevención, atención y articulación territorial en Colombia. Estrategia para la protección en la lucha contra la trata de personal a nivel nacional.</t>
  </si>
  <si>
    <t xml:space="preserve">Documento con la descripción de procesos, métodos y herramientas - Elaboración de documentos técnicos en la prevención y protección en la lucha contra la trata de personas a nivel nacional. </t>
  </si>
  <si>
    <t>Documento técnico en prevención y protección en la lucha contra la trata de personas realizado.</t>
  </si>
  <si>
    <t>Sumatoria de documentos técnicos realizados</t>
  </si>
  <si>
    <t>C-3702-1000-17</t>
  </si>
  <si>
    <t>FORTALECIMIENTO EN LA PREVENCIÓN, PROTECCIÓN Y ASISTENCIA EN LA LUCHA CONTRA EL DELITO DE TRATA PERSONAS</t>
  </si>
  <si>
    <t>Plan de trabajo - Elaboración de contenidos en la prevención y protección en la lucha contra la trata de personas.</t>
  </si>
  <si>
    <t>Plan de trabajo sobre la prevención y protección en la lucha contra la trata de personas elaborado.</t>
  </si>
  <si>
    <t>Realizar mesas técnicas de socialización de los contenidos en la prevención en la lucha contra la trata.</t>
  </si>
  <si>
    <t>Listas de asistencia y actas</t>
  </si>
  <si>
    <t>Eventos de socialización de contenidos sobre la prevención de la lucha contra la trata</t>
  </si>
  <si>
    <t xml:space="preserve"> Número de eventos realizados</t>
  </si>
  <si>
    <t>Las mesas técnicas se podrán realizar de forma presencial o virtual</t>
  </si>
  <si>
    <t xml:space="preserve">Difusión y divulgación en la prevención, protección de la lucha contra el delito de trata de personas. </t>
  </si>
  <si>
    <t>Contenidos sobre la prevención de la lucha contra la trata difundidos y divulgados.</t>
  </si>
  <si>
    <t>Sumatoria de eventos realizados</t>
  </si>
  <si>
    <t xml:space="preserve">Apoyar la articulación institucional e interinstitucional en la prevención, protección y asistencia en la lucha contra el delito de trata de personas a nivel nacional. </t>
  </si>
  <si>
    <t>prevención, protección y asistencia en la lucha contra el delito de trata de personas articulada institucional e interinstitucionalmente.</t>
  </si>
  <si>
    <t>Sumatoria de asistencias técnicas</t>
  </si>
  <si>
    <t>No se presentó avance de está actividad, la misma se reprogramada para cumplir durante el siguiente trimestre</t>
  </si>
  <si>
    <t>Se realizó 8 asistencias técnicas en el abordaje de la lucha contra el delito de la trata de personas, como capacidades para completar el reporte en plataforma Red PAT por parte de los comités territoriales de lucha contra la trata de personas y se completó el diagnóstico y evaluación de la lucha contra la trata de personas a nivel nacional, relacionando las asistencias técnicas realizadas, los territorios acompañados, así como el número de funcionarios y población impactada. El diagnóstico cuenta con una metodología y objetivo, así como identificación de principales obstáculos para el cumplimiento de metas y las sugerencias para su mejoramiento.</t>
  </si>
  <si>
    <t>Durante el 2024 se llevaron a cabo 8 Asistencias Técnicas para fortalecer la lucha contra el delito de la trata de personas, con énfasis en la capacitación de los comités territoriales para completar los reportes en la plataforma Red PAT. Además, se completó un diagnóstico y evaluación integral de las acciones realizadas a nivel nacional.</t>
  </si>
  <si>
    <t>No se presenta avance de esta iniciativa en el segundo trimestre, la actividad será reprogramada para ser cumplida en los siguientes trimestres del año 2025.</t>
  </si>
  <si>
    <t>Durante el tercer trimestre de la vigencia 2025, se llevaron a cabo diecisiete (17) asistencias técnicas en el marco de la implementación del Protocolo para Identificar, Proteger y Asistir a las Víctimas de Trata de Personas en Contextos Migratorios, orientadas al fortalecimiento de las capacidades institucionales de los Comités Territoriales de Lucha contra la Trata de Personas.
En el mes de julio, se desarrollaron siete (7) asistencias técnicas dirigidas a los Comités Territoriales de Guaviare, Tibú (Norte de Santander), Cúcuta, Vaupés, Buenaventura, Silos (Norte de Santander) y Bucaramanga.
Durante el mes de agosto, se efectuaron seis (6) asistencias técnicas en los territorios de Mitú (Vaupés), Concepción (Norte de Santander), Orito (Putumayo), Neiva (Huila), Puerto Carreño (Vichada) y Leticia (Amazonas).
Finalmente, en el mes de septiembre, se realizaron cinco (5) asistencias técnicas en los municipios y departamentos de Cúcuta (Norte de Santander), Guainía, La Guajira y Arauca, consolidando así el proceso de acompañamiento técnico a nivel territorial en materia de prevención, identificación y atención a víctimas de trata de personas en contextos migratorios.</t>
  </si>
  <si>
    <t>Realizar articulación y asistencias técnicas en el abordaje de la lucha contra el delito de trata de personas.</t>
  </si>
  <si>
    <t>Asistencias técnicas en el abordaje de la lucha contra a el delito de trata de personas realizadas.</t>
  </si>
  <si>
    <t>Fortalecer la capacidad institucional en la prevención, protección y asistencia en la lucha contra el delito de trata de personas a nivel nacional.</t>
  </si>
  <si>
    <t xml:space="preserve">Capacidad administrativa en prevención, protección y asistencia contra el delito de trata de personas fortalecida. </t>
  </si>
  <si>
    <t>Sumatoria de herramientas tecnológicas desarrolladas y/o implementadas</t>
  </si>
  <si>
    <t>No se realizó contratación para la ejecución de la actividad</t>
  </si>
  <si>
    <t>Para la vigencia 2024, no se logró ningún avance, toda vez que no fue aprobado el proyecto de transformación digital.</t>
  </si>
  <si>
    <t>No se realizó ninguna acción correspondiente al cumplimiento de la actividad.</t>
  </si>
  <si>
    <t>Durante el mes segundo trimestre del 2025, se realizó en el mes de mayo análisis de los sistemas de información de la Subdirección de Gobierno, gestión territorial y lucha contra la trata, en el mes de junio avanzó  en el proceso de transformación digital, siguiendo los lineamientos estratégicos establecidos por la Subdirectora  y en coordinación con el área de Planeación y la Oficina de Innovación y Tecnología (OIP). Logrando avances en la Se consolidó la línea estratégica para la modernización tecnológica de la Subdirección, alineada con las necesidades operativas y misionales. O Se estructuró un plan de trabajo 2025 con acciones concretas para alcanzar los objetivos de digitalización. Se realizaron dos mesas técnicas en las que se revisaron los proyectos tecnológicos vigentes, estableciendo criterios y prioridades para su ejecución. Se definieron compromisos clave, como la verificación de proyectos inscritos y la asignación de responsables. Avances por Proyecto: RedPAVI: Se identificó un software existente con funcionalidad similar, por lo que se programó una mesa técnica para evaluar su viabilidad y determinar si se adapta o se inicia un nuevo desarrollo. SisREAT: Se gestionará la baja del sistema antiguo y se avanzará en el diseño del nuevo sistema, ajustado a los requerimientos actuales. Red PAT Fase 2: Se analizarán las fallas de la Fase 1 para corregirlas antes de definir el alcance de la siguiente etapa. Plataforma Power BI: Se verificó un archivo proporcionado por UNODC con datos estadísticos sobre trata de personas, el cual está listo para su publicación y análisis.</t>
  </si>
  <si>
    <t>En el tercer trimestre se llevó a cabo: SNITP Sistema Nacional de información sobre Trata de Personas. Durante los últimos 2 meses se ha realizado pruebas con el proceso para identificar los cambios en requeridos en el sistema, realizando una revisión modulo por modulo con la asistencia de los profesionales de los procesos involucrados COAT y Canales de Información bajo el acompañamiento técnico del profesional asignado por sistemas. SREAT Sistema de información para el Registro de Esquemas Asociativos. Actualmente se plantea la solución de desarrollo in house o externo planteadas por la secretaria general y la oficina de sistemas. Red PAT Sistema de Redes de Planes de Acción Territorial de Lucha Contra la Trata de Sistemas. Actualmente el convenio está por liquidarse para que el sistema sea entregado a sistemas del Ministerio del Interior y poder realizar un análisis técnico y funcional profundo y establecer una estrategia de actualización del mismo</t>
  </si>
  <si>
    <t>16.1</t>
  </si>
  <si>
    <t>Mejorar las diferentes estrategias de innovación en la prevención y asistencia del delito de trata de personas a nivel nacional. (Implementación)</t>
  </si>
  <si>
    <t>Implementación de herramientas tecnológicas desarrolladas</t>
  </si>
  <si>
    <t>Herramientas tecnológicas implementadas/Herramientas tecnológicas desarrolladas</t>
  </si>
  <si>
    <t>OAP 07.02.2025: En atención a solicitud de la SGT se actualiza la ficha del indicador de la actividad 16.1 dejando indicador de Gestión, tipo de acumulación Mantenimiento, y se modifica la programación de metas. 
OAP_I_TRIM_2025: Se cambia el nombre del tipo de acumulación cuyo objetivo es mantener, pasando de "Mantenimiento" a "Stock". Lo anterior de conformidad con lo establecido en la guía para la elaboración y análisis de indicadores del DNP.</t>
  </si>
  <si>
    <t>Mejorar la articulación del ordenamiento territorial en competencias institucionales (orgánico) con enfoque alrededor del agua.</t>
  </si>
  <si>
    <t>Articulación del ordenamiento territorial mejorado.</t>
  </si>
  <si>
    <t>Sumatoria de documentos</t>
  </si>
  <si>
    <t>Se adelantó el anexo técnico para levantar los requimientos operativos, el cual se encuentra en el proceso precontractual</t>
  </si>
  <si>
    <t>Se realizó un  informe de ordenamiento territorial, específicamente enfocado en los instrumentos de participación ciudadana con el fin de visibilizar el trabajo y aporte por parte de la Subdirección de Gobierno, Gestión Territorial y lucha contra la trata.
Se realizaron  3 documentos que se estuvieron trabajando de manera articulada con las diferentes entidades del gobierno nacional: 
1. Plan Estratégico del Observatorio de Ordenamiento Territorial
2. Avances de la Plataforma de ordenamiento territorial
3. Estrategias de difusión del Observatorio de Ordenamiento Territorial</t>
  </si>
  <si>
    <t>Durante el periodo reportado, se elaboró un informe de ordenamiento territorial enfocado en los instrumentos de participación ciudadana, destacando su labor y contribución en este ámbito. Además, se desarrollaron tres documentos en colaboración con diversas entidades del gobierno nacional</t>
  </si>
  <si>
    <t>Desarrollar Herramientas tecnológicas encaminadas a la transferencia del conocimiento a las entidades territoriales, corporaciones públicas y líderes locales.</t>
  </si>
  <si>
    <t>Herramientas tecnológicas desarrolladas.</t>
  </si>
  <si>
    <t>Sumatoria de vigilancia móvil instalada.</t>
  </si>
  <si>
    <t>Iniciativa prevista para iniciar el tercer trimestre.</t>
  </si>
  <si>
    <t>No se realizó convenio para la ejecución de la actividad</t>
  </si>
  <si>
    <t>1. Nuevo ordenamiento territorial alrededor del agua.
22. Conocimiento que transforma al país</t>
  </si>
  <si>
    <t>Fortalecer el conocimiento de las autoridades territoriales y líderes locales en descentralización y ordenamiento territorial alrededor del agua.</t>
  </si>
  <si>
    <t>Encuentros que promuevan la descentralización y ordenamiento territorial realizados.</t>
  </si>
  <si>
    <t>En el primer trimestre se realizaron 11 asistencias técnicas, distribuidas así: Se realizaron 2 eventos de asistencia técnica regional para presentar la oferta institucional donde asistieron representantes de los departamentos de Antioquia, Cuaca y Atlántico. se contó con la participación de representantes de entidades como: Ministerio de Vivienda, Ministerio de Minas y Energía, Ministerio de Salud, Ministerio de Ambiente y Desarrollo Sostenible, Ministerio de Educación, Ministerio de Agricultura y Desarrollo Rural. En el mes de marzo de 2024 se realizaron 11 asistencias técnicas así: se realizaron 6 asistencia técnica sobre el componente de corresponsabilidad decreto 1649 de 2023 (Ministerio del Interior/Ministerio de la Igualdad) en los municipios de Medellín, Bogotá, Guachené, Puerto Tejada, Quibdó y Buenaventura. Se realizaron 2 asistencias técnicas sobre la oferta institucional de FONSECON en el municipio de Titiribí y La Unión. Además, se realizó 3 asistencias técnicas de presentación de la oferta institucional de la subdirección y acompañamiento técnico para Juntas de Acción Comunal en el municipio de Sabanalarga, Beltrán y Cajamarca. Por último, se realizó la capacitación sobre el artículo 131 de la ley 136 del 94 y la 1176 del 2021, a La Federación Nacional de Junta Administradora Local a la asamblea de Servidores públicos que conforman las corporaciones JAL. Se realizó la Primera Mesa Técnica Asociatividad Territorial, Motor para el Desarrollo Regional” el 4 de marzo del 2024.</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</si>
  <si>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</si>
  <si>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Se ha realizado 77 asistencias técnicas relacionado con el funcionamiento de las Corporaciones públicas de elección popular (Concejos municipales, Juntas Administradoras locales, y Consejos de Juventud), así mismo,  se realizaron 68 asistencias técnicas a las entidades territoriales acompañando el proceso de diagnóstico de los instrumentos de ordenamiento territorial, promoviendo metodologías y actividades que permitan la participación ciudadana de todos los actores presentes en los municipios. De igual forma,  se realizó 2 eventos  con ofertas institucionales de los cuales son: 1 evento SEMINARIO NACIONAL DE CAPACITACION PARA CONCEJALES y  el 2 evento foro que se llevara acabo del 8 al 11 de julio de 2024 en la maloca del Cabildo Mayor Dxi´j Phadena Valle del Cauca y finalmente, se realizó 1 evento Foro “El gran acuerdo Nacional” en la Ciudad de Bogotá D.C. con la Participación de 150 Lideres-Servidoras y Servidores Públicos y Demas Actores Sociales Claves-Defensores De Derechos Humanos -Alcaldes-Ediles-Gobernadores-Comunidades</t>
  </si>
  <si>
    <t xml:space="preserve">Se realizaron  15 asistencias técnicas institucionales Corporaciones públicas de elección popular (Concejos municipales, Juntas Administradoras locales) y Entidades Territoriales y 36 asistencias técnicas que se enfocaron en poder acompañar y agilizar el proceso de participación de los instrumentos de ordenamiento territorial en los municipios y departamentos. </t>
  </si>
  <si>
    <t>Se llevaron a cabo diversas actividades de A.T y fortalecimiento institucional en entidades territoriales, destacando las siguientes acciones: 173 asistencias técnicas a entidades territoriales, 124 en Instrumentos de O.T, 5 eventos e articulación institucional, 1 Foro municipal contra la trata de personas y 70 Evaluaciones de satisfacción</t>
  </si>
  <si>
    <t>Durante el segundo trimestre de 2025, los enlaces territoriales realizaron asistencias técnicas, así: Mes de Abril; 1 asistencia en el municipio de Nunchia Casanare, En el mes de mayo-25, los enlaces territoriales, realizaron 9 asistencia técnicas, en los departamentos de: Atlántico, Cesar Córdoba, Santander y Casanare y durante el mes de junio-25, 16 asistencias técnicas, así: Atlántico, Cesar, Córdoba, Guaviare, Meta, Putumayo, Santander Sucre y Tolima. Por otra parte, se realizaron 20 asistencias técnicas sobre organización territorial: Abril se realizó 1. Diagnóstico del estado actual del PEMOT del  Área Metropolitana de Valledupar, 2.  Reunión de  la mesa técnica para el desarrollo de un proceso  asociativo territorial en la región de La Mojana.Mayo.  Articulación interinstitucional con enfoque territorial, con el fin de socializar la normativa de los Esquemas Asociativos Territoriales – EAT, con la Gobernación de Sucre, municipios de Caimito, Guaranda, Majagual, San Benito Abad, San Marcos y Sucre, Ministerio de Ambiente y Desarrollo Sostenible, Subdirección de Gobierno y el Instituto Colombiano de Antropología e Historia. 2. Asistencia técnica con la Gobernación de Putumayo, Ministerio de la Igualdad, Parques Naturales Nacionales y Subdirección de Gobierno. 3. Asistencia técnica al Área Metropolitana Centro Sur de Caldas. 4. Mesa técnica con el Área Metropolitana Centro Occidente; temática diagnóstica del estado actual del Plan Estratégico Metropolitano de Ordenamiento Territorial del Área Metropolitana Centro Occidente. Junio se realizaron 14 asistencias técnicas en: Área Metropolitana del Suroccidente de Colombia, Alcaldía municipal de Santa Isabel, Tolima, Área Metropolitana de Valledupar-2-, Gobernación de Nariño, Gobernación de Chocó, Gobernación de Quindío, Regiones Planeación y Gestión -RGP- El Gran Santander-2-, Región Administrativa y de planificación -RGA- de la Amazonia, ASOMOMPOSINA, ASMETA, Región Planeación y Gestión -RPG- ATLANTUR, Provincia de Vélez- ASPROVEL.</t>
  </si>
  <si>
    <t>Durante el tercer trimestre de la vigencia 2025, se adelantaron 74 asistencias técnicas y socializaciones de la oferta institucional en distintos territorios del país. En julio se realizaron 22 asistencias; en agosto, 42; y en septiembre, 9, con participación de departamentos como Atlántico, Casanare, Cesar, Córdoba, Guaviare, Meta, Putumayo, Sucre, Tolima, Magdalena, Quindío, Valle del Cauca, Boyacá, Chocó y Amazonas. Asimismo, se desarrollaron 24 mesas técnicas estratégicas orientadas al fortalecimiento del ordenamiento territorial con enfoque diferencial y regional. De estas, 4 se llevaron a cabo en julio, 3 en agosto y 17 en septiembre, consolidando espacios de articulación interinstitucional y de acompañamiento técnico a los territorios.</t>
  </si>
  <si>
    <t xml:space="preserve">Realizar asistencias técnicas a las entidades territoriales, corporaciones públicas y líderes locales en descentralización, desarrollo institucional y gestión pública. </t>
  </si>
  <si>
    <t>Asistencias técnicas a las entidades territoriales, corporaciones públicas y líderes locales en ordenamiento territorial orgánico realizadas.</t>
  </si>
  <si>
    <t>C-3702-1000-18</t>
  </si>
  <si>
    <t>FORTALECIMIENTO DE LA ARTICULACIÓN, COORDINACIÓN Y PARTICIPACIÓN DE LAS ENTIDADES TERRITORIALES, CORPORACIONES PÚBLICAS Y LÍDERES LOCALES EN LOS PROCESOS DE ORDENAMIENTO TERRITORIAL ALREDEDOR EL AGUA Y DESCENTRALIZACIÓN</t>
  </si>
  <si>
    <t>Las asistencias técnicas se podrá realizar de forma presencial o virtual.</t>
  </si>
  <si>
    <t>Realizar asistencias técnicas a las entidades territoriales, corporaciones públicas y líderes locales en ordenamiento territorial orgánico.</t>
  </si>
  <si>
    <t>19.3</t>
  </si>
  <si>
    <t>Realizar eventos de articulación de oferta institucional y difusión del conocimiento a entidades territoriales, corporaciones públicas y líderes locales en Ordenamiento territorial orgánico y descentralización.</t>
  </si>
  <si>
    <t>Eventos de articulación de oferta institucional y difusión del conocimiento realizados.</t>
  </si>
  <si>
    <t>Sumatoria de Eventos realizados.</t>
  </si>
  <si>
    <t>031/12/2026</t>
  </si>
  <si>
    <t>Fortalecer los esquemas asociativos en el marco de la consolidación de la Paz.</t>
  </si>
  <si>
    <t>Esquemas asociativos fortalecidos.</t>
  </si>
  <si>
    <t>No se presentó avance de esta actividad, la misma será reprogramada para cumplir durante el  tercer  trimestre.</t>
  </si>
  <si>
    <t xml:space="preserve">
Actividad prevista para iniciar el cuarto trimestre.</t>
  </si>
  <si>
    <t>Subdirección de Proyectos para la Seguridad y Convivencia Ciudadana</t>
  </si>
  <si>
    <t>Tito Lorenzo Lovo Carretero</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</si>
  <si>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</si>
  <si>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</si>
  <si>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</si>
  <si>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</si>
  <si>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37. Jovenes en paz</t>
  </si>
  <si>
    <t>Fortalecer las Entidades Territoriales con nuevos proyectos ejecutados para la seguridad y la convivencia ciudadana</t>
  </si>
  <si>
    <t>Proyectos para la seguridad y la convivencia ciudadana ejecutados y con acta de recibo</t>
  </si>
  <si>
    <t>Sumatoria de proyectos ejecutados y con acta de recibo</t>
  </si>
  <si>
    <t>Durante el trimestre se recibieron 10 obras en los siguientes territorios: NUEVA GRANADA - MAGDALENA, GUACAMAYAS - BOYACA, JAGUA DEL PILAR - LA GUAJIRA, AN PEDRO - VALLE DEL CAUCA, PUERTO BERRIO - ANTIOQUIA, PRADO - TOLIMA, VILLA DEL ROSARIO - NORTE DE SANTANDER, LA UNION - SUCRE, LORICA - CORDOBA y SABANALARGA - CASANARE</t>
  </si>
  <si>
    <t>Durante el II trimestre se recibieron 11 obras en los siguientes territorios:DOSQUEBRADAS, CALAMAR, CUNDINAMARCA, SANTAFE DE ANTIOQUIA, CACOTA, PONEDERA, GUATEQUE, PAUNA, CALOTO, LEYVA Y ANCUYA.</t>
  </si>
  <si>
    <t>Durante el III trimestre se recibieron 8 obras en los siguientes territorios: SACAMA-CASANARE, TRINIDAD-CASANARE, MAPIRIPAN-META, SABANALARGA-CASANARE, SALADOBLANCO-HUILA, SABANAS DE SAN ANGEL-MAGDALENA, ALGARROBO-MAGDALENA y ARIGUANI-MAGDALENA.</t>
  </si>
  <si>
    <t>Durante el IV  trimestre se recibieron 40 obras en los siguientes territorios: ORITO- PUTUMAYO, SAN ESTANISLAO -BOLIVAR, LA SALINA- CASANARE, CHAMEZA- CASANARE, LEBRIJA -SANTANDER, OVEJAS-SUCRE, EL CARMEN DE CHUCURI-SANTANDER, COPER-BOYACA, VILLAGARZON- PUTUMAYO, ARBOLEDA- NARIÑO, EL BANCO- MAGDALENA, SAN CRISTOBAL- BOLIVAR,
EL CARMEN DE CHUCURI-SANTANDER, ENCINO- SANTANDER, CIMITARRA - SANTANDER, LA CEJA- ANTIOQUIA, VIOTA- CUND, PEÑOL- NARIÑO, SAN CARLOS- CORDOBA, PITALITO-HUILA, OSPINA- NARIÑO, REGIDOR- BOLIVAR, GUACARI- VALLE DEL CAUCA, SIMIJACA-CUND, YACOPI-CUND, SANTA FE DE ANTIOQUIA- ANTIOQUIA, LOS ANDES- ANTIOQUIA, SAN DIEGO (RURAL)- CESAR, 
MANAURE- CESAR, CHIQUINQUIRA-BOYACA, CACHIRA- NTE  SDER, CALAMAR- BOLIVAR, SAN MARCOS-  SUCRE, TOLU VIEJO- SUCRE, GAMEZA -BOYACA, GUATAPE- ANTIOQUIA, HATONUEVO- LA GUAJIRA, SAMPUES -SUCRE, RIVERA-HUILA, SAN JOSE -CALDAS.</t>
  </si>
  <si>
    <t>Al cierre de la vigencia 2023 se logró el cumplimiento de la meta alcanzando un total de 69 obras de Infraestructura física diseñadas y construidas para la fuerza publica, la seguridad y la convivencia ciudadana, y la gobernabilidad con acta de recibido.</t>
  </si>
  <si>
    <t>Para el presente trimestre se fortalecen las entidades territoriales, por cuanto se recibieron por lala entidad territorial como por Mininterior los siguientes proyectos: SACUDETE MOGOTE-SDER, SACUDETE CHOACHI - CUNDINAMARCA, SACUDETE ROBLE - SUCRE, MOVILIDAD PARA EL GAULA (17 Camiones).</t>
  </si>
  <si>
    <t>Para el presente segundo trimestre se fortalecen las entidades territoriales con el recibo 13 proyectos, en los siguientes territorios: 
1. Convenio 2021-2022 Barbosa - Santander, 
2. Convenio 2305-2022 El Tarra - Norte de Santander,
3. Convenio 2312-2022 Teorama - Norte de Santander, 
4. Convenio 946 de 2021 Sahagún - Córdoba, 
5. Convenio 1993 de 2021 Purificación - Tolima, 
6. Convenio 2020-2021 Barrancas - La Guajira, 
7. Convenio 1581-2021 La Calera - Cundinamarca, 
8. Convenio 2310-2022 Aguazul - Casanare, 
9. Convenio 943 de 2021 Gachalá - Cundinamarca, 
10. Convenio 1033 de 2021 Alpujarra - Tolima, 
11. Convenio 1982-2021 San Diego (Urbano) - Cesar, 
12. Convenio 1990-2021 Santa Barbara de Pinto - Magdalena, 
13. Convenio 1595-2021 Pueblorrico - Antioquia.</t>
  </si>
  <si>
    <t>Para el presente tercer trimestre se fortalecen las entidades territoriales con el recibo 09 proyectos, en los siguientes territorios:  
Convenio No. 1612 - 2023 - Bochalema - Norte De Santander,
Convenio No. 2036 - 2021 - Fuente De Oro Meta,  
Convenio No. 2313 - 2022 - Toca Boyacá,  
Convenio No. 1999 - 2021- Albán – Cundinamarca, 
Convenio No. 2034 - 2021 – Yaguará – Huila, 
Convenio No. 824 - 2019 – Arauquita – Arauca, 
Convenio No. 1315 - 2020 – Saravena – Arauca, 
Convenio No. 1523-2021 - Calarcá - Quindío y 
Convenio No. 2047 - 2021 - La Plata - Huila.</t>
  </si>
  <si>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</si>
  <si>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En el año se forteliceiron 61 entidades territoriales con nuevos proyectos ejecutados para la seguridad y la convivencia ciudadana representados en los territorios reportados en cada trimestre de la vigencia 2024</t>
  </si>
  <si>
    <t>Para el primer trimestre de 2025 se reporta el fortalecimiento de entidades territoriales con el recibo 4 proyectos, en los siguientes territorios:  
- Convenio 1966-21 SACUDETE TINJACA-BOYACA.
- Convenio 1336-20 SACUDETE CHAMEZA - CASANARE.
 - Convenio 1974-21 SACUDETE PUERTO SALGAR - CUNDINAMARCA.
 - Convenio 2314-22 SACUDETE 2314-22 TIPACOQUE - BOYACA.
No obstante,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</si>
  <si>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 xml:space="preserve">Para el segundo trimestre de 2025 se reporta el fortalecimiento de entidades territoriales con el recibo 8 proyectos, en los siguientes territorios:  
- Convenio 1361-20 SACUDETE TIPO 2 CHARALA - SANTANDER.
 - Convenio 2004-21 SACUDETE TIPO 1 PANDI - CUNDINAMARCA.
 - Convenio 1592-21 SACUDETE TIPO 1 CURUMANI-CESAR.
 - Convenio 2303-22 SACUDETE TIPO 1 AYAPEL - CORDOBA.
 - Convenio 910-19 CENTRO DE INTEGRACIÓN CIUDADANA (CIC) CALDAS - BOYACA.
 - Convenio 2013-21 SACUDETE TIPO 1 ESPINAL - TOLIMA.
 - Convenio 1537-21 CENTRO ADMINISTRATIVO MUNICIPAL (CAM) SAN VICENTE DE CHUCURI - SANTANDER.
- Convenio 891-19 ESTACIÓN TIPO B VILLAPINZÓN - CUNDINAMARCA.
</t>
  </si>
  <si>
    <t>Para el tercer trimestre se reporta el fortalecimiento de las entidades territoriales con el recibo de dos (2) convenios para la seguridad y convivencia ciudadana, que corresponde a:
•	Convenio interadministrativo No. 2037 de 2021. Anexo 26 firmado el 30 de julio de 2025.
•	Convenio interadministrativo No. M2154 de 2017. Anexo 26 firmado el 08 de agosto de 2025.</t>
  </si>
  <si>
    <t>Entrega de proyectos para la seguridad y la convivencia ciudadana ejecutado con acta de recibo.</t>
  </si>
  <si>
    <t>Actas</t>
  </si>
  <si>
    <t>Sumatoria del número de proyectos entregados</t>
  </si>
  <si>
    <t>Programa Misional de Funcionamiento</t>
  </si>
  <si>
    <t>A-03-03-01-032</t>
  </si>
  <si>
    <t>FONDO NACIONAL DE SEGURIDAD Y CONVIVENCIA - FONSECON</t>
  </si>
  <si>
    <t>13. Seguimiento y evaluación del desempeño Institucional</t>
  </si>
  <si>
    <t>Reuniones con las entidades territoriales</t>
  </si>
  <si>
    <t>Fortalecer las Entidades Territoriales con nuevas obras de infraestructura y movilidad ejecutadas para la convivencia y la seguridad ciudadana</t>
  </si>
  <si>
    <t>Proyectos de infraestructura y movilidad ejecutadas a entidades territoriales con acta de recibo</t>
  </si>
  <si>
    <t>Sumatoria de proyectos de infraestructura y movilidad ejecutadas a entidades territoriales con acta de recibo</t>
  </si>
  <si>
    <t>Brindar acompañamiento técnico en la revisión de documentos para la presentación y evaluación de proyectos para la seguridad y convivencia ciudadana</t>
  </si>
  <si>
    <t>Registro SIPI</t>
  </si>
  <si>
    <t>Proyectos de convivencia y seguridad ciudadana evaluados</t>
  </si>
  <si>
    <t>Sumatoria de acompañamiento técnico en la revisión de proyectos para ser evaluados por el grupo de Viabilidad</t>
  </si>
  <si>
    <t>Contar con el personal y recursos para realizar la debida supervisión al seguimiento   de la ejecución de proyectos FONSECON</t>
  </si>
  <si>
    <t xml:space="preserve">Otros </t>
  </si>
  <si>
    <t>Presupuesto ejecutado para llevar a cabo las actividades de  seguimiento a la ejecución de los proyectos</t>
  </si>
  <si>
    <t>Presupuesto obligado/Presupuesto apropiado vigente</t>
  </si>
  <si>
    <t>Liquidación y/o cierre de órdenes de compra, convenios y/o contratos para la seguridad y la convivencia ciudadana.</t>
  </si>
  <si>
    <t xml:space="preserve"> Órdenes de compra, convenios y/o contratos  para la seguridad y la convivencia ciudadana liquidados y/o cerrados</t>
  </si>
  <si>
    <t>Sumatoria del número de  órdenes de compra, convenios y/o contratos liquidados y/o cerrados</t>
  </si>
  <si>
    <t>Garantizar espacios físicos funcionales para la preservación de la seguridad y la promoción de la convivencia ciudadana.</t>
  </si>
  <si>
    <t>Proyectos de convivencia y seguridad ciudadana apoyados financieramente</t>
  </si>
  <si>
    <t>Proyectos de convivencia y seguridad ciudadana apoyados financieramente en cada vigencia.</t>
  </si>
  <si>
    <t>A la fecha se tienen en ejecución 19 obras entre estaciones de policía, comandos y distritos, los cuales están en etapa de estudios y diseños.</t>
  </si>
  <si>
    <t>Se continua con la ejecución 19 obras entre estaciones de policía, comandos y distritos, los cuales están en etapa de estudios y diseños.</t>
  </si>
  <si>
    <t>Se logró avanzar en la ejeción de los 19 proyectos con el recibdo de estudios y diseños.</t>
  </si>
  <si>
    <t>Se cumplieron las metas de seguimiento y avance de las 19 estaciones de policia.</t>
  </si>
  <si>
    <t>A 31 de marzo de 2024 se continua con la ejecución de las estaciones de policía y con respecto a los centros de convivencia se inicia el proceso de contratación con FINDETER.</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</si>
  <si>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</si>
  <si>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A 30 de septiembre de 2024 se continua con la ejecución de las 19 estaciones de policía; de las cuales 15 se encuentran en ejecución de obra, 02 continúan en elaboración de estudios y diseños, y 02 ya se encuentran en revisión de estudios y diseños. Durante este trimestre y con corte al 30 de septiembre de 2024, los procesos convocados por FINDETER entidad ejecutora, debieron ser suspendidos dado que, se presentaron atrasos en el proceso de convocatoria de interventoría, adicionalmente los convenios FINDETER con lo municipios beneficiados, no se encontraban perfeccionados en su totalidad.</t>
  </si>
  <si>
    <t>A 31 de diciembre de 2024, los 19 proyectos de estaciones de Policía los cuales pertenecen al CONPES 4097, se encuentran en ejecución (16) en etapa de obra y 3 en estudios y diseños. Por el tipo de proyecto (Unidades policiales), la presencia de varios actores en su desarrollo (policía nacional DILOF, Gobernación, Municipio) y de situaciones externas al proyecto, la ejecución de estos es más complejo en su etapa de desarrollo, lo que conlleva que, si bien se encuentran todos en ejecución, las distintas etapas del proyecto pueden tomar tiempos más amplios de los contemplados en su planeación inicial. 
Durante el último trimestre de 2024, los procesos contratados por FINDETER como entidad ejecutora, presentaron atrasos en el proceso de convocatoria de interventoría, adicionalmente los convenios FINDETER con los municipios beneficiados, no se perfeccionaron en su totalidad.</t>
  </si>
  <si>
    <t>Para el primer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</si>
  <si>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Con corte al segundo trimestre de 2025 se siguen financiando 42 proyectos asi:  19 proyectos de estaciones de policia y 23 proyectos de infraestructura para la convivencia.</t>
  </si>
  <si>
    <t>Con corte al tercer trimestre se 2025 se siguen financiando 42 proyectso asi: 19 proyectos de estaciones de policia y 23 proyectos de infraestructura para la convivencia.</t>
  </si>
  <si>
    <t>Ejecutar recursos comprometidos en convenios para la seguridad y convivencia ciudadana</t>
  </si>
  <si>
    <t>Presupuesto ejecutado para proyectos de seguridad y convivencia ciudadana</t>
  </si>
  <si>
    <t>Proyecto Inversión Fortalecimiento a las entidades territoriales a través de la financiación de infraestructura para la seguridad y convivencia ciudadana a nivel Nacional.</t>
  </si>
  <si>
    <t>C-3702-1000-13-0-3702027-02</t>
  </si>
  <si>
    <t>ADQUISICIÓN DE BIENES Y SERVICIOS - SERVICIO DE APOYO FINANCIERO PARA PROYECTOS DE CONVIVENCIA Y SEGURIDAD CIUDADANA - FORTALECIMIENTO A LAS ENTIDADES TERRITORIALES A TRAVES DE LA FINANCIACION DE INFRAESTRUCTURA PARA LA SEGURIDAD Y CONVIVENCIA CIUDAD</t>
  </si>
  <si>
    <t>08.01.2026. OAP. En el marco de la formulación del PEIA la OAP realiza observación "Se observa que la SPS programó una meta del 100 % para el cuarto trimestre, con un indicador asociado a la ejecución presupuestal. Sin embargo, en el anexo del proyecto de inversión de fortalecimiento a las entidades territoriales se evidencia que, para la vigencia 2026, se estableció una meta de trece (13) proyectos, con la siguiente justificación técnica:
“Se ajustó la meta y los recursos para la vigencia fiscal 2026, con base en la proyección de centros de convivencia y seguridad tipo 1 que se podrían ejecutar con los recursos asignados, así como en los proyectos de infraestructura de estaciones de policía, de tal forma que se financiarían trece (13) proyectos para la vigencia 2026.”
En consecuencia, se sugiere programar los trece (13) proyectos de manera distribuida a lo largo de los cuatro (4) trimestres del año, definiendo como unidad de medida el número de proyectos, con el fin de asegurar coherencia entre el PEIA y los anexos del proyecto de inversión"
20.01.2026. OAP. La SPS no acoge la observación argumentando mediante correo electronico del Subdirector, que "Esta actividad se encuentra asociada a los recursos del proyecto de inversión BPIN 2022011000002. La programación de los porcentajes por trimestre se define con base en la proyección de pagos derivada del avance físico, de las obligaciones contractuales de cada convenio y los trámites que se deben realizar para desembolsos. En consecuencia, la distribución trimestral se realiza conforme a lo enunciado en el archivo adjunto."</t>
  </si>
  <si>
    <t>Sumatoria de Proyectos de convivencia y seguridad ciudadana apoyados financieramente en cada vigencia.</t>
  </si>
  <si>
    <t>Realizar visitas y mesas de seguimiento a la ejecución de los convenios para el cumplimiento de los cronogramas de obra.</t>
  </si>
  <si>
    <t>Visitas y mesas de seguimiento para el cumplimiento de los cronogramas de obra realizadas.</t>
  </si>
  <si>
    <t>Sumatoria de numero de visitas y mesas de seguimiento realizadas para el cumplimiento de los cronogramas de obra.</t>
  </si>
  <si>
    <t>Gestion</t>
  </si>
  <si>
    <t xml:space="preserve"> Implementar y modernizar herramientas tecnológicas para la seguridad y convivencia ciudadana</t>
  </si>
  <si>
    <t>Cámaras de seguridad en sistemas CCTV, fortalecimiento de infraestructura de comunicaciones y otras herramientas tecnologicas para la seguridad y la convivencia ciudadana</t>
  </si>
  <si>
    <t>Sumatoria de cámaras de seguridad Instaladas y otras tecnologías</t>
  </si>
  <si>
    <t>A la fecha los proyectos se encuentran en etapa de evaluación por parte del equipo de Viabilidad.</t>
  </si>
  <si>
    <t>Para el II trimestre el COMITÉ SIES aprobo 8 proyectos para los Departamentos de: Bosconia - Cesar, El Banco- Magdalena, Bello-Antioquia, Bochalema-Nte Sder, Coveñas-Sucre, Paipa-Boy, Fuerza Aerea y Armada de Colombia</t>
  </si>
  <si>
    <t>Para el III trimestre se da inicio a la ejecución de los proyectos de Bosconia - Cesar, El Banco- Magdalena, Bello-Antioquia, Bochalema-Nte Sder, Coveñas-Sucre, Paipa-Boy y con respecto a los proyectos de  Fuerza Aerea y Armada de Colombia se encuentran en etapa contractual.</t>
  </si>
  <si>
    <t>Para el IV se continua con la ejecución de los proyectos de PAIPA, COVEÑAS Y BOCHALEMA, adicionalmente  suscribió convenios con la AGENCIA LOGISTICA DE LAS FUERZAS MILITARES para la ejecución de los proyectos de Fuerza Aerea Colombiana,  Cámaras, Biometria e Hiperconvergencia con la Policia Nacional y Comando General de las Fuerzas Militares.</t>
  </si>
  <si>
    <t>Se logra la meta con la ejecución de los proyectos de PAIPA, COVEÑAS Y BOCHALEMA, adicionalmente  suscribió convenios con la AGENCIA LOGISTICA DE LAS FUERZAS MILITARES para la ejecución de lor proyectos de Fuerza Aerea Colombiana,  Cámaras, Biometria e Hiperconvergencia con la Policia Nacional y Comando General de las Fuerzas Militares.</t>
  </si>
  <si>
    <t>Para el presente trimestre con el propósito de fortalecer la seguridad y la convivencia ciudadana y de acuerdo con lo programado se recibió por parte de la entidad territorial y por Mininterior el proyecto de CAMARAS DE SAHAGUN - CORDOBA.</t>
  </si>
  <si>
    <t>Para el segundo trimestre se recibió el proyecto de AGUAZUL - CASANARE: con 36 cámaras domo ptz, 33 cámaras fija y adecuación y actualización tecnológica del centro de control y monitoreo.</t>
  </si>
  <si>
    <t>Para el tercer trimestre se recibió el proyecto de MAICAO - LA GUAJIRA, convenio 2317-2022, con 92 cámaras .</t>
  </si>
  <si>
    <t>Para el cuarto trimestre se realizó un ajuste en esta iniciativa alineando la definición y forma de cálculo del indicador de acuerdo con los registrado en la cadena de valor de proyecto de inversión en la PIIP, lo anterior implica que se registran el número de elementos considerados herramientas tecnológicas asociadas a los Sistemas Integrados de Emergencias y Seguridad SIES, que se implementen o modernicen en el marco de los proyectos ejecutados.  Por lo tanto para el cuarto trimestre se reportan 570 elementos así:
- Convenio 1607-23 SISTEMA DE SEGURIDAD PAIPA - BOYACÁ, 18 Cámaras PTZ, 27 Cámaras Fijas.
 - Convenio 1792-24 ADQUISICIÓN TERRITORIO NACIONAL, 484 Radios.
 - Convenio 1611-23 SISTEMA DE SEGURIDAD COVEÑAS - SUCRE, 13 Cámaras PTZ, 2 Cámaras Fijas.
 - Convenio 1546-24 RADIOS TERRITORIO NACIONAL, 26 Radios.</t>
  </si>
  <si>
    <t>Para el primer trimestre de 2025 no se entregaron proyectos que den cuenta de Cámaras de Seguridad en sistemas CCTV y otras herramientas tecnológicas para la seguridad y la convivencia ciudadana entregadas.
No obstante,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</si>
  <si>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segundo trimestre de 2025 no se entregaron proyectos que den cuenta de Cámaras de Seguridad en sistemas CCTV y otras herramientas tecnológicas para la seguridad y la convivencia ciudadana entregadas.</t>
  </si>
  <si>
    <t>Implementar cámaras de seguridad ciudadana en sistemas de CCTV y Fortalecimiento de la infraestructura de comunicaciones y otras tecnologías</t>
  </si>
  <si>
    <t>Cámaras de seguridad en sistemas CCTV, fortalecimiento de infraestructura de comunicaciones y otras herramientas tecnologicas para la seguridad y la convivencia ciudadana implementadas</t>
  </si>
  <si>
    <t>Sumatoria de cámaras de seguridad Instaladas e implementadas y otras tecnologías</t>
  </si>
  <si>
    <t>Proyecto Inversión Fortalecimiento de los Sistemas Integrados de Emergencia y Seguridad SIES.</t>
  </si>
  <si>
    <t>C-3702-1000-8-0-3702002-02</t>
  </si>
  <si>
    <t>ADQUISICIÓN DE BIENES Y SERVICIOS - DOCUMENTOS DE LINEAMIENTOS TÉCNICOS - FORTALECIMIENTO DE LOS SISTEMAS INTEGRADOS DE EMERGENCIA Y SEGURIDAD SIES A NIVEL  NACIONAL</t>
  </si>
  <si>
    <t>Realizar seguimiento a proyectos de Sistemas Integrados de emergencia y seguridad - SIES</t>
  </si>
  <si>
    <t>Seguimiento a proyectos de Sistemas integrados de emergencia y seguridad - SIES</t>
  </si>
  <si>
    <t>Viceministerio para el Diálogo Social y los Derechos Humanos</t>
  </si>
  <si>
    <t>Hector Gabriel Rondon Olave</t>
  </si>
  <si>
    <t>4. democratización del estado libertades fundamentales y agenda internacional para la vida</t>
  </si>
  <si>
    <t>Convergencia Regional - Catalizador 7 - Articulo 110 del PND</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</si>
  <si>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 Asuntos étnicos</t>
  </si>
  <si>
    <t>12. Reducción de la violencia en zonas de conflicto
33. Tránsito hacia la paz total
35. Justicia étnica y racial</t>
  </si>
  <si>
    <t>Aumentar las capacidades de diálogo social de las comunidades e instituciones.</t>
  </si>
  <si>
    <t>Porcentaje de actividades realizadas para aumentar las capacidades de diálogo social de las comunidades e instituciones.</t>
  </si>
  <si>
    <t>Número de actividades realizadas / Número de actividades programadas</t>
  </si>
  <si>
    <t>Para el primer  trimestre el Viceministerio tuvo como meta alcanzar un avance de ejecución de actividades correspondiente al 12.3% del total del proyecto correspondiente al avance en 4 actividades, al respecto se obtuvo un avance del 8.9%.</t>
  </si>
  <si>
    <t>Para el segundo Trimestre el viceministerio logró comprometer recursos encaminados a desarrollar la asistencia técnica, se puede evidenciar que los indicadores en este sentido logran mejoría pese a contar con apoyo logístico solamente a partir del mes de junio; algunas metas relacionadas con documentos metodológicos presentan atrasos debido a que la formalización del Decreto de la política pública de Diálogo Social no se ha concretado.</t>
  </si>
  <si>
    <t xml:space="preserve">En el tercer trimestre el Viceministerio para el Diálogo Social ha superado la meta de funcionarios del estado asistidos técnicamente, en cuanto a personas de la sociedad civil, la meta estuvo por debajo debido a la demanda de espacios específicos con actores clave para la resolución de conflictos, ello impide un mayor alcance; una de las metas rezagadas y de gran importancia para el proyecto son las iniciativas comunitarias mediante banco de proyectos, es importante superar las dificultades contractuales y dar cumplimiento en el mes de octubre para lograr un indicador de ejecución óptimo. </t>
  </si>
  <si>
    <t xml:space="preserve">De las 5 actividades programadas con avance en trimestre 4, solo se lograron resultados 2 que corresponden a asistencia tecnica a funcionarios del Estado y a participantes en espacios de diálogo social territorial: Ello implicó un alcance de un poco mas del 40% de lo planeado para este periodo. </t>
  </si>
  <si>
    <t xml:space="preserve">
El resultado del 40% de la inicietiva a lograr en el año 1 del proyecto no se logró en su totalidad, se lleg{o al 19,9% dado que una gran parte de actividades necesarias para cumplir indicadores no fueron ejecutadas al contar con menos presupuesto.</t>
  </si>
  <si>
    <t xml:space="preserve">Durante el trimestre se alcanzaron las metas en las dos actividades propuestas, se desarrollaron 46 espacios participativos de Diálogo Social fortaleciendo las capacidades de 460 funcionarios del Estado en sus distintos niveles institucionales, incluyendo entidades del orden nacional y territorial; así mimsmo participaron 3384 miembros de la comunidad con quienes se busca el fortalecimiento de las capacidades del diálogo Social en el trritorio nacional. </t>
  </si>
  <si>
    <t xml:space="preserve">El resultado cuantitativo evidencia un rezago en el alcance de las metas propuestas para el segundo Trimestre de la vigencia. No se logra formalizar el Documento de Plítica Pública de Diálog Social, no se alcanza los acompañamientos internacionales proyectados, así como tampoco se alcanz{o la implementación de la difusión de las 1000 cuñas; de igal forma los indicadores de asistencia tecnica a personas de la counidad y funcionarios del Estado quedaron por debajo de las cifras proyectadas; los factores que han insidido se enmarcan en retrasos de los procesos contractuales que han imposibilitado el alcance efectivo de los objetivos trazados. </t>
  </si>
  <si>
    <t xml:space="preserve">El despacho del vicmeinisterio ha logrado avanzar significativamnte en los procesos contratuales como mecanismo para alcanzar los indicadores propuestos para la vigencia; gracias a ello, ha avanzado para superar rezagos en términos de asistencia técnica; </t>
  </si>
  <si>
    <t>Divulgar la  guía metodológica de la política pública de Diálogo Social.</t>
  </si>
  <si>
    <t>Cuñas
comunicativas</t>
  </si>
  <si>
    <t>C-3701-1000-40</t>
  </si>
  <si>
    <t>Fortalecimiento del Diálogo social nacional y regional mediante el desarrollo de acciones tendientes a atender las problemáticas sociales en los territorios</t>
  </si>
  <si>
    <t>Gestiòn para la protecciòn de los derechos</t>
  </si>
  <si>
    <t>Brindar acompañamiento técnico a las comunidades y funcionarios del Estado para la implementación del Diálogo social</t>
  </si>
  <si>
    <t>Listados de asistencia, actas, registros fotográficos y /o informes de comisión de los acompañamientos a las comunidades y entidades.</t>
  </si>
  <si>
    <t>Sumatoria del nùmero de Comunidades y funcionarios atendidos</t>
  </si>
  <si>
    <t>Llevar a cabo el desarrollo de espacios participativos con las comunidades en materia diálogo social</t>
  </si>
  <si>
    <t>Héctor Gabriel Rondón Olave</t>
  </si>
  <si>
    <t>Implementar iniciativas comunitarias para el fortalecimiento Diálogo Social</t>
  </si>
  <si>
    <t>Iniciativas de participación comunitarias implementadas.</t>
  </si>
  <si>
    <t xml:space="preserve">Implementar una plataforma para el cargue de información de los compromisos de los escenarios de Diálogo Social </t>
  </si>
  <si>
    <t>Plataforma Implementada</t>
  </si>
  <si>
    <t>Dirección de Asuntos para Comunidades Negras, Afrocolombianas, Raizales y Palenqueras</t>
  </si>
  <si>
    <t>Amelia Roció Cotes Cortes</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</si>
  <si>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</si>
  <si>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</si>
  <si>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</si>
  <si>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</si>
  <si>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 Asuntos étnicos</t>
  </si>
  <si>
    <t>Seguridad Humana y Justicia Social
8. Reducción de la desigualdad Social
Actores Diferenciales para el Cambio
35. Justicia Etnica y Racial
36. Una sociedad para el cambio de la Vida</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</si>
  <si>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</si>
  <si>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</si>
  <si>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 Número de avance de acciones programadas asociadas a la iniciativa)*100</t>
  </si>
  <si>
    <t>Durante el año 2023. se desarrollaron 4 acciones mediante las cuales se adelantar el cumplimiento de los compromisos del Plan Nacional de desarrollo Pueblos y comunidades étnicas. Se cumplió con el 100% de la meta propuesta</t>
  </si>
  <si>
    <t xml:space="preserve">En el trimestre se cumple con las metas programadas de las actividades asociadas a la iniciativa, de igual forma se adelanto 1 accion para garantizar el cumplimiento de los compromisos del Plan Nacional de desarrollo, en tema de comunidades étnicas asi;
Marzo (1)  Mesa tecnica y envio en articulación con la Oficina Asesora de Planeación del Ministerio del Interior, de la construcción de las fichas técnicas de los indicadores 489 y 495 del PND 2022-2026. asi mismo indicar que las mismas fueron remitidas al Departamento Nacional de Planeación para su validación, aprobación y carge en el aplicativo SINERGIA 2.0 </t>
  </si>
  <si>
    <t xml:space="preserve">En el trimestre se cumple con las metas programadas de las actividades asociadas a la iniciativa, de igual forma se adelanto 9 acciones para garantizar el cumplimiento de los compromisos del Plan Nacional de desarrollo, en tema de comunidades étnicas asi;
Abril(3) 1. se Acompaño grupo focal equipo acuerdos finales de paz, equipo de paz. 2.Se remitio informe trimestre Implemetación indicadores Plan marco de Implementación, como insumos para dar respusta solictud de Vicepresidencia.
3. Se acompaño reunión ente el mininterio del interior y el DNP, con el fin de realizar plan de choque reportes indicadores PMI
Mayo (3) 1. Se remitio información solicitada por el equipo de Paz, 2.Se remitio ajuste ajuste de metas indicador F.E.5 y B.E.20, segun recomendaciones realizadas por el DNP.
3, Reunion virtual de articulación para el reporte de los indicadores B.E17 Y B.E 20 con el equipo de paz del Mininterio y la dirección de Democracia.
Junio(3) 1. Información solicitada por el Despacho del Ministerio del Interior 2. Participamos en reunion  virtual de articulación para el reporte de los indicadores  PMI, en articulacion con el equipo de paz. </t>
  </si>
  <si>
    <t>En el trimestre se cumple con las metas programadas de las actividades asociadas a la iniciativa, de igual forma se adelanto 6 acciones para garantizar el cumplimiento de los compromisos del Plan Nacional de desarrollo, en tema de comunidades étnicas asi;
Julio. (4) actividades para garantizar la participación de las mujeres y dar cumplimiento al indicador B.E 18 en los Municipios de Barranquilla, Condoto Choco, Buena ventura Valle del Cauca y Medellin.
Agosto(2) 1. Se Acompaño la actividad Arbuco Preplenaria contemplada en la etapa III "pREACUERDID" De la Ruta Metodologica de Consulta Previa del del Catastro Multiproposito, para Comunidades Negras, Afrocolombianas, Raizales y Palenqueras.
2.  Se acompaño la sesrion de protocolizacion del proceso de consulta Previa Ctastro Multiproposito</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</si>
  <si>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asi;
</t>
  </si>
  <si>
    <t>Durante el año 2024 . Se realizaron 35  acciones  para garantizar el cumplimiento de los compromisos del Plan Nacional de desarrollo, en tema de comunidades étnicas</t>
  </si>
  <si>
    <t xml:space="preserve">En el trimestre de las 31 actividades asociadas a la iniciativa y el mismo numero no cuentan con metas programadas  de igual forma se adelantaron acciones para garantiza, para el cumplimiento de los compromisos del Plan Nacional de desarrollo, en tema de comunidades étnicas
</t>
  </si>
  <si>
    <t>Para el II trimestre se adelantaron las 9 acciones para el cumplimiento de los compromisos del Plan Nacional de desarrollo Pueblos y comunidades étnicas  , para el cumplimiento de la iniativa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(7) (4) Sesiones de el comité asesor de la estrategia de bancos, aprobó el presupuesto y las líneas de financiación de la vigencia 2025. (3) Mesas tecnicas para la socialización de la Ficha Técnica con el futuro aliado estrategico para el desarrollo de la estrategia de bancos.</t>
  </si>
  <si>
    <t xml:space="preserve">Para el III trimestre se adelantaron 16 acciones para el cumplimiento de los compromisos del Plan Nacional de desarrollo Pueblos y comunidades étnicas  , para el cumplimiento de la iniativa asi;
Julio (4) Consolidación de ajustes para Plan de acción, Orden 5ta STC 622 de 2016. Espacio de trabajo presencial con Min Ambiente, Planes de etnodesarrollo
Reunión presencial con Min Ambiente, Ruta de trabajo Planes de etnodesarrollo. Consolidación y envio de respuesta a Procuraduria, seguimiento STC T-622 de 2016
Agosto. (4) Mesas de trabajo tecnicas donde fueron aprobadas las líneas de fianciación del Banco de Iniciativas, con su respectivo porcentaje de asiganción presupuestal, además fue celebrado el contrato 1773 de 2025 con FINDETER para la ejecución de la estrategia.
Septiembre.(8) BARRANQUILLA: 2: $838,813,005
BOGOTA: 4: $74.755.225
QUIBDO: 1: $ 29.992.363
SANTA MARTA: 1: $ 13.155.564
</t>
  </si>
  <si>
    <t>Realizar eventos de divulgación para fortalecer el conocimiento y apropiación de la Ley 70 de 1993 y sus decretos reglamentarios.</t>
  </si>
  <si>
    <t>Numero de eventos de divulgación para fortalecer el conocimiento y apropiación de la Ley 70 de 1993 y sus decretos reglamentarios, realizados</t>
  </si>
  <si>
    <t>Sumatoria de eventos de divulgación para fortalecer el conocimiento y apropiación de la Ley 70 de 1993 y sus decretos reglamentarios, realizados</t>
  </si>
  <si>
    <t xml:space="preserve">Proyecto de Inversión </t>
  </si>
  <si>
    <t>C-3701-1000-47</t>
  </si>
  <si>
    <t>FORTALECIMIENTO DE LOS MECANISMOS PARA EL FOMENTO DEL DESARROLLO ECONÓMICO Y SOCIAL, ASÍ COMO LA PROTECCIÓN Y GARANTÍA DE LOS DERECHOS DE LAS COMUNIDADES NEGRAS, AFROCOLOMBIANAS, RAIZALES Y PALENQUERAS EN EL MARCO DE LA IMPLEMENTACIÓN DE LA LEY 70 DE 1993 EN EL TERRITORIO NACIONAL</t>
  </si>
  <si>
    <t xml:space="preserve">
Participación Ciudadana en la Gestión Pública</t>
  </si>
  <si>
    <t xml:space="preserve">Marco de fortalecimiento de los gobiernos propios, sistemas organizativos y autosostenibilidad, implementacion de la Ley 70 de 1993 en el territorio nacional, cumplimiento de los acuerdos derivados de los diálogos sociales con las comunidades negras y afrocolombianas y el fortalecimiento de la cultura de paz estable y duradera en los territorios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</si>
  <si>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</si>
  <si>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(Número de avance de acciones desarrolladas  / Número de avance de acciones programadas)*100</t>
  </si>
  <si>
    <t>Apoyar actividades económicas en los territorios colectivos adjudicados, en trámite u ocupados ancestral y/o tradicionalmente por las comunidades negras que contribuyan al desarrollo sostenibles de las comunidades.</t>
  </si>
  <si>
    <t>Numero de asistencia técnicas  actividades económicas en los territorios colectivos adjudicados, en trámite u ocupados ancestral y/o tradicionalmente por las comunidades negras que contribuyan al desarrollo sostenibles de las comunidades, realizadas</t>
  </si>
  <si>
    <t>Sumatoria de asistencia técnicas  actividades económicas en los territorios colectivos adjudicados, en trámite u ocupados ancestral y/o tradicionalmente por las comunidades negras que contribuyan al desarrollo sostenibles de las comunidades, realizadas</t>
  </si>
  <si>
    <t>15.Justicia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</si>
  <si>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</si>
  <si>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Ley 1757. Por la cual se dictan disposiciones en materia de promoción y protección del derecho a la participación democrática.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Bases del Plan Nacional de Desarrollo 2022 - 2026</t>
  </si>
  <si>
    <t>BANCO DE PROYECTO: Apoyar la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t>
  </si>
  <si>
    <t>Numero de ejecución de las iniciativas o proyectos de fortalecimiento técnico, tecnológico, administrativo, económico, social y cultural seleccionados para su financiación de los consejos comunitarios, organizaciones de  base y otras formas de expresiones organizativas de las Comunidades Afrocolombianas, Negras, Palenqueras y Raizales, realizadas</t>
  </si>
  <si>
    <t>Sumatoria de las iniciativas o proyectos de fortalecimiento técnico, tecnológico, administrativo, económico, social y cultural apoyadas para su financiación de los consejos comunitarios, organizaciones de  base y otras formas de expresiones organizativas de las Comunidades Afrocolombianas, Negras, Palenqueras y Raizales, realizadas</t>
  </si>
  <si>
    <t>C-3701-1000-48</t>
  </si>
  <si>
    <t>FORTALECIMIENTO DE LOS GOBIERNOS PROPIOS, SISTEMAS ORGANIZATIVOS Y AUTOSOSTENIBILIDAD DE LAS COMUNIDADES NEGRAS, AFROCOLOMBIANAS, RAIZALES Y PALENQUERAS</t>
  </si>
  <si>
    <t>Apoyar el cumplimiento de la Sentencia T-622 de 2016 mediante la cual se reconoció al Rio Atrato, sus cuencas y afluentes como una entidad sujeta de derechos a la protección, conservación, mantenimiento y restauración a cargo del Estado y comunidades étnicas</t>
  </si>
  <si>
    <t>Numero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</si>
  <si>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Sumatoria de acciones  el cumplimiento de la Sentencia T-622 de 2016 mediante la cual se reconoció al Rio Atrato, sus cuencas y afluentes como una entidad sujeta de derechos a la protección, conservación, mantenimiento y restauración a cargo del Estado y comunidades étnicas, realizadas</t>
  </si>
  <si>
    <t xml:space="preserve">5. Pueblos y comunidades étnicas
3. Derecho humano a la alimentación: más y mejores alimentos.  
</t>
  </si>
  <si>
    <t>Realizar eventos de fortalecimiento organizativo, económico, social y cultural de los Pueblos y Comunidades Afrocolombianas, Negras, Palenqueras y Raizales</t>
  </si>
  <si>
    <t>Numero de  eventos de fortalecimiento organizativo, económico, social y cultural de los Pueblos y Comunidades Afrocolombianas, Negras, Palenqueras y Raizales, realizados</t>
  </si>
  <si>
    <t>Sumatoria de eventos de fortalecimiento organizativo, económico, social y cultural de los Pueblos y Comunidades Afrocolombianas, Negras, Palenqueras y Raizales, realizados</t>
  </si>
  <si>
    <t>17. Reducción de la desigualdad social</t>
  </si>
  <si>
    <t xml:space="preserve">5. Pueblos y comunidades étnicas
4. Productividad para una economía de la vida con justicia ambiental.  </t>
  </si>
  <si>
    <t>Ley 1757. Por la cual se dictan disposiciones en materia de promoción y protección del derecho a la participación democrática.
Bases del Plan Nacional de Desarrollo 2022 - 2026</t>
  </si>
  <si>
    <t>Realizar campañas de sensibilización y educación para promover una cultura de paz y no violencia, en la que se fomente el respeto mutuo, la tolerancia, la diversidad y la resolución pacífica de conflictos como valores fundamentales de la convivencia humana</t>
  </si>
  <si>
    <t>Numero de  campañas de sensibilización y educación para promover una cultura de paz y no violencia, en la que se fomente el respeto mutuo, la tolerancia, la diversidad y la resolución pacífica de conflictos como valores fundamentales de la convivencia humana, realizadas</t>
  </si>
  <si>
    <t>Sumatoria de campañas de sensibilización y educación para promover una cultura de paz y no violencia, en la que se fomente el respeto mutuo, la tolerancia, la diversidad y la resolución pacífica de conflictos como valores fundamentales de la convivencia humana, realizadas</t>
  </si>
  <si>
    <t>C-3701-1000-43</t>
  </si>
  <si>
    <t>IMPLEMENTACIÓN DE ESTRATEGIAS PARA EL FORTALECIMIENTO DE LA CULTURA DE PAZ ESTABLE Y DURADERA EN LOS TERRITORIOS DE LOS PUEBLOS Y COMUNIDADES NEGRAS A NIVEL NACIONAL.</t>
  </si>
  <si>
    <t xml:space="preserve">5. Pueblos y comunidades étnicas
5. Convergencia regional para el bienestar y buen vivir.  
</t>
  </si>
  <si>
    <t>Realizar asistencia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t>
  </si>
  <si>
    <t>Numero de  asistencias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realizadas</t>
  </si>
  <si>
    <t>Sumatoria de asistencias técnica y mesas de trabajo Nacional para la recolección de insumos consolidación de información base para monitorear el progreso y el cumplimiento de los acuerdos acuerdos derivados de los diálogos sociales con las comunidades negras y afrocolombianas en los departamentos de Cauca, Chocó, Nariño, Valle del Cauca, realizadas</t>
  </si>
  <si>
    <t>C-3701-1000-45</t>
  </si>
  <si>
    <t>FORTALECIMIENTO DE CAPACIDADES EN PROCESOS ORGANIZATIVOS PARA EL SEGUIMIENTO EFECTIVO Y GARANTIZAR EL CUMPLIMIENTO DE LOS ACUERDOS DERIVADOS DE LOS DIÁLOGOS SOCIALES CON LAS COMUNIDADES NEGRAS Y AFROCOLOMBIANAS EN LOS DEPARTAMENTOS DE   CAUCA, CHOCÓ, NARIÑO, VALLE DEL CAUCA</t>
  </si>
  <si>
    <t>3.5 Igualdad de oportunidades y garantías para poblaciones vulneradas y excluidas</t>
  </si>
  <si>
    <t xml:space="preserve">5. Pueblos y comunidades étnicas
6. Apuestas fundamentales para garantizar un enfoque diferencial étnico para el cambio </t>
  </si>
  <si>
    <t>Resolución No. 1969 del 28 de diciembre de 2017</t>
  </si>
  <si>
    <t>Seguridad Humana y Justicia Social
8. Reducción de la desigualdad Social
Actores Diferenciales para el Cambio
34. Mujeres Autonomas
35. Justicia Etnica y Racial
36. Una sociedad para el cambio de la Vida</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</si>
  <si>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(GESTION INTERINSTITUCIONAL)</t>
  </si>
  <si>
    <t>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</si>
  <si>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Numero de avance de acciones realizadas /  Numero de avance de acciones programadas)*100</t>
  </si>
  <si>
    <t>Durante el año 2023. se desarrollaron 14 acciones  acciones de mejoramiento continuo de articulación con las entidades del orden local, departamental y nacional que incluyan a las comunidades en las dinámicas sociales, económicas, educativas, políticas. Se cumplió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</si>
  <si>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Enero(1) Convocatoria  a la Cuarta Reunión de la comisión  V del Espacio Nacional de Previa -Catastro Multiprosito. 
Febrero(1) Segunda sesión de la comion III del Espacio Nacional de Consulta Previa, en el marco de del desarrollo de la consulta previa proyecto de Reforma a la salud.
Marzo (3) (1) Se brindó asistencia técnica a la Gobernación de Arauca. (2) Se brindó asistencias tecnicas a la Gobernación del Departamento del Chocó y el Municipio de Quibdó en los temas de Gobernanza (ley 70 del 1993 y sus decretos reglamentarios) y oferta Institucional.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</si>
  <si>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asi;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Asitencia tecnica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</si>
  <si>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Julio(3) 1, Articulación con la Dirección de Drechos Humanos para atender el la jornada de la Comisión Intersectorial de Garantías para Mujeres Lideresas y Defensoras  2. Apoyo el espacio uatónomo de la exprexión organizativa Juntanza Nacional en la  construcción del Plan de Acción, mujeres. 3. Participación en enventos conmemorativos al 25 de julio Día Internacional de la Mujer Afrolatina, Afrocaribeña. 
Agosto(2) 1. Estrategia de resolución de conflíctos, se grafica la ruta de atención los conflíctos, según guía aprobada. 2. Se parrticipa en el  VI Congreso Internacional “Interculturalidades y Educaciones en América Latina.  Diálogos, tensiones y alternativas” .</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</si>
  <si>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</si>
  <si>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</si>
  <si>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 xml:space="preserve">En el trimestre de las 10 actividades asociadas a la iniciativa  se cuenta con 1 con meta; se realizan 3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</si>
  <si>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En el trimestre de las 6 actividades asociadas a la iniciativa  se cuenta con  1 actividad sin meta con meta; se realizan 26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</si>
  <si>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 xml:space="preserve">En el trimestre de las 6 actividades asociadas a la iniciativa  se cuenta con  1 actividad sin meta con meta; se realizan 11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Julio(2)  Reunión de articulación entre la DCN , el programa de etnoeducación de la secretaria Distrital de educación de Barranquilla y  asuntos etnicos de la secretaría de gobierno. (2) La DCN convoco un espacion de aticulación con Centro Regional De Atención y Reparación a las Víctimas del municipio de Soledad, Atlántico.
Agosto(1) El V Foro  Internacional Afro andino, ciudad de Cali  organizado por la Comunidad Andina (CAN), conto con  el apoyo financiero y logístico de la DCN.
Septiembre (8)) Mesa de concertación con las comunidades negras de la cuenca del Río San Juan se realizó en Quibdó participación de 57 delegados de 19 comunidades.(2) mesa de trabajo con el viceministro Héctor Rondón y la directora Amelia Cotes. compromisos de DD. HH., consulta previa y elecciones de consejos comunitarios, Tumaco.(3)  Mesa en Caño del Oro Cartagena, autoridades nacionales y locales junto al Consejo Comunitario, estrategia de protección del Título Colectivo y ecosistemas estratégicos. (4)  Presentación de la Organización Violeta y la Red de Mujeres del Sur, Tejiendo Paz. con comuneros del sur, (5) Mesa de Seguimiento con voceros de los Valles Interandinos del Valle del Cauca  compromisos en derechos humanos, tierras, seguridad, infraestructura, educación, salud, cultura, ambiente, deporte y generación de ingresos. (8) Durante dos jornadas se abordaron compromisos en derechos humanos, tierras, seguridad, infraestructura, educación, salud, cultura, ambiente, deporte y generación de ingresos. 
</t>
  </si>
  <si>
    <t>Prestar asesoria técnica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t>
  </si>
  <si>
    <t>Listas de Asistencia</t>
  </si>
  <si>
    <t>Asesoramientos a las gobernaciones y alcaldías en lo relacionado a la concertación, ejecución y atención de las acciones orientadas al diálogo político, reconocimiento y protección de los derechos étnicos y desarrollo de la diversidad cultural para las comunidades negras, afrocolombianas, palenqueras y raizales, realizadas</t>
  </si>
  <si>
    <t>Sumatoria de asesoramientos  a las gobernaciones y alcaldías en lo relacionado a la concertación, ejecución y atención de las acciones orientadas al diálogo político, reconocimiento y protección de los derechos étnicos y desarrollo de la diversidad cultural realizadas</t>
  </si>
  <si>
    <t>A-03-06-01-012</t>
  </si>
  <si>
    <t>FORTALECIMIENTO A LOS PROCESOS ORGANIZATIVOS Y DE CONCERTACION DE LAS COMUNIDADES NEGRAS, AFROCOLOMBIANAS, RAIZALES Y PALENQUERAS</t>
  </si>
  <si>
    <t>Fortalecimiento a los procesos organizativos y de concertación de las comunidades Negras, Afrocolombianas, Raizales y Palenqueras</t>
  </si>
  <si>
    <t>14. Una sociedad para la vida, garante de derechos y en condiciones de igualdad hasta que la dignidad se haga costumbre</t>
  </si>
  <si>
    <t>Ley 1757. Por la cual se dictan disposiciones en materia de promoción y protección del derecho a la participación democrática.
Resolución No. 1969 del 28 de diciembre de 2017</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</si>
  <si>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 GESTION INTERINSTITUCIONAL)</t>
  </si>
  <si>
    <t>Impulsar acciones para fortalecer la participación de las mujeres, los jóvenes, los adultos mayores y la población LGBTIQ+ de las comunidades  negras, afrocolombianas, raizales y palenqueras que conduzcan a la inclusión en los escenarios sociales, económicos, educativos, ambientales y culturales.</t>
  </si>
  <si>
    <t>Participación de las mujeres, los jóvenes, los adultos mayores y la población LGBTII de las comunidades  negras, afrocolombianas, raizales y palenqueras en los escenarios sociales, económicos, educativos, ambientales y culturales realizados</t>
  </si>
  <si>
    <t>Sumatoria  de escenarios sociales, económicos, educativos, ambientales y culturales realizados</t>
  </si>
  <si>
    <t>Acuerdos de Paro Civico</t>
  </si>
  <si>
    <t xml:space="preserve">Acompañar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t>
  </si>
  <si>
    <t xml:space="preserve">
Acompañamientos al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realizados</t>
  </si>
  <si>
    <r>
      <t xml:space="preserve">
</t>
    </r>
    <r>
      <rPr>
        <sz val="8"/>
        <rFont val="Arial Narrow"/>
        <family val="2"/>
      </rPr>
      <t>Sumatoria de Acompañamientos el cumplimiento de los compromisos establecidos en los acuerdos sociales de Chocó; Buenaventura, Pacífico Nariñense, Cauca, San Andrés y Providencia, Tumaco; pactados con comunidades negras, afrocolombianas, raizales y palenqueras; así como otros territoriales y sociales de estas comunidades. realizados</t>
    </r>
  </si>
  <si>
    <t>Creación en el término de seis meses a partir de la aprobación del Plan Nacional de Desarrollo de una comisión conformada por el ministerio del Interior, presidencia de la República, Gobernación de San Andrés y Providencia y la autoridad Raizal para formular e iniciar la implementación del plan de retorno digno, voluntario de la población inmigrante del Archipiélago a sus lugares de origen. (NT5-154)</t>
  </si>
  <si>
    <t>Plan de retorno digno y voluntario de la población inmigrante del Archipiélago de San Andrés y Providencia, creado y en funcionamiento, formulado e implementado</t>
  </si>
  <si>
    <t>15. Justicia étnica y racial para superar los efectos del racismo, la discriminación racial y el colonialismo en los pueblos étnicos del país</t>
  </si>
  <si>
    <t>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t>
  </si>
  <si>
    <t xml:space="preserve">Informes </t>
  </si>
  <si>
    <t>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 realizados</t>
  </si>
  <si>
    <r>
      <t xml:space="preserve">
</t>
    </r>
    <r>
      <rPr>
        <sz val="8"/>
        <rFont val="Arial Narrow"/>
        <family val="2"/>
      </rPr>
      <t xml:space="preserve">Coordinar y realizar los procesos de Consulta Previa para la adopción de Medidas Legislativas y Administrativas de Amplio Alcance Susceptibles de Afectar a las Comunidades Negras, Afrocolombianas, Raizales y Palenqueras con el Espacio Nacional de Consulta Previa – ENCP (Decreto 1372 de 2018); así como la secretaría técnica de la Comisión Consultiva de Alto Nivel (Decreto 1640 de 2020). realizados </t>
    </r>
  </si>
  <si>
    <t>El Ministerio del Interior revisará y ajustará el documento borrador del Estatuto Raizal, según el Decreto 1211 de 2018, y presentará ante el Congreso de la República el proyecto de Ley  del Estatuto Autonómico Raizal en el marco de las legislaciones internacionales sobre los pueblos no autónomos. (NT5-152)</t>
  </si>
  <si>
    <t>Estatuto del Pueblo Raizal y Reserva de Biósfera Seaflower formulado, consultado y presentado al legislativo.</t>
  </si>
  <si>
    <t>Espacio Nacional de Consulta Previa</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</si>
  <si>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t>
  </si>
  <si>
    <t>Seguridad Humana y Justicia Social
8. Reducción de la desigualdad Social
Actores Diferenciales para el Cambio
35. Justicia Etnica y Racial
Paz Total e Integral
32. Implementación del Acuerdo de Paz con las FARC</t>
  </si>
  <si>
    <t>Apoyar los procesos de formación,  conocimiento, difusión, protección y defensa de los derechos fundamentales, el reconocimiento, salvaguarda de la integridad, diversidad étnica y cultural de los Pueblos y Comunidades  Negras, Afrocolombianas, Raizales y Palenqueras.(DERECHOS FUNDAMENTALES)</t>
  </si>
  <si>
    <t>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</si>
  <si>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(Numero de avance de acciones realizadas / Numero de avance de acciones programadas)*100</t>
  </si>
  <si>
    <t>Durante el año 2023 se desarrollaron 35 acciones de Promoción del conocimiento y difusión  de los derechos de las comunidades negras, afrocolombianas, raizales y palenqueras. Se cumplió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</si>
  <si>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Asi;
Enero.(1)Informe ejecutivo de los avances cuantitativos en la vigencia 2023 F.E.5 solicitado por vicepresidencia.
Marzo (2) (1) Consulta previa POA, San Andres, Mulle los Lancheros. (1) Consulta previa POA, San Andres, Sentencia T-333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</si>
  <si>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Asi;
Mayo(1) Participación en concertación de medidas en CERREM Colectivo Consejo Comunitario de la Comunidad Negra  del Rio Carburadó.
Junio(1) Atención a prosesos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</si>
  <si>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Asi;
Julio(6) Informe de cumplimeinto y pronuncimainetos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</si>
  <si>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</si>
  <si>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 xml:space="preserve">Durante el año 2024. se desarrollaron  acciones de apoyo jurídico y técnico a los consejos comunitarios y/o expresiones organizativas de las comunidades. 
</t>
  </si>
  <si>
    <t>En el trimestre de las 11 actividades asociadas a la iniciativa y con las metas programadas, no cuentan con avance para periodo señalado 5,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</si>
  <si>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En el trimestre de las 8 actividades asociadas a la iniciativa y con las metas programadas, no cuentan con avance para periodo señalado 1,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Mayo. (3)  (1) T 622 de 2016: Primer encuentro de Articulación entre MADS y el Ministerio del Interior para dar inicio al trabajo de cumplimiento en la Sentencia T-622 de 2016 (2) Mesas técnicas con el Grupo coordinador del seguimiento al cumplimiento del Auto 620 de 2017 (3) seguimient a requerimiento de procuraduría relaciobado con fallo de restitucion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</si>
  <si>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 xml:space="preserve">En el trimestre de las 8 actividades asociadas a la iniciativa y con las metas programadas, cuentan con avance para periodo señalado,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Julio(2) * Mesa de Trabajo Interinstitucional – Cumplimiento Sentencia No.
032 PUEBLO AWÁ – ZONA TELEMBÍ, de Nariño.
* seguimiento de acuerdos protocolizadosl proceso de consulta previa sentencia T-333 de 2022 
Agosto(1) Consulta Previa Consulta Fase
Formulación de medidas de manejo en el marco de Seguimiento del PROY00351, en cumplimiento de la Resolución número ST-1453 del 30 de octubre de
2024 con la comunidad del Consejo Comunitario de las Comunidades Negras
de La Boquilla.
Septiembre(2) * CERREM Medida 1 Consejo Comunitario Comunidades Limones
* CERREM COLECTIVO, CC de la Comunidad Negra de Papagayo Medio y Alto San Joaquín
</t>
  </si>
  <si>
    <t>Realizar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t>
  </si>
  <si>
    <t>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realizados</t>
  </si>
  <si>
    <t>Sumatoria de acompañamientos  técnico y/o administrativo en la realización de Consultas Previas de POA que sean requeridas a la DCN; así como promover la implementación de mecanismos de conservación y protección de usos, costumbres y prácticas tradicionales, en coordinación con la Dirección de la Autoridad Nacional de Consulta Previa, realizados</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</si>
  <si>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disposiciones.Resolución No. 1969 del 28 de diciembre de 2017</t>
  </si>
  <si>
    <t>Implementar las acciones para la Protección y defensa de Derechos Humanos - Promoción del conocimiento y difusión de los derechos de las Comunidades Negras, Afrocolombianas, Raizales y Palenqueras, definidas en los espacios CERREM a cargo de la DCN en el marco de sus competencias.</t>
  </si>
  <si>
    <r>
      <t xml:space="preserve">
</t>
    </r>
    <r>
      <rPr>
        <sz val="8"/>
        <rFont val="Arial Narrow"/>
        <family val="2"/>
      </rPr>
      <t xml:space="preserve">Acciones para la Protección y defensa de Derechos Humanos - Promoción del conocimiento y difusión de los derechos de las Comunidades Negras, Afrocolombianas, Raizales y Palenqueras, definidas en los espacios CERREM a cargo de la DCN en el marco de sus competencias., realizados </t>
    </r>
  </si>
  <si>
    <r>
      <t xml:space="preserve">
</t>
    </r>
    <r>
      <rPr>
        <sz val="8"/>
        <rFont val="Arial Narrow"/>
        <family val="2"/>
      </rPr>
      <t xml:space="preserve">Sumatoria de acciones para la Protección y defensa de Derechos Humanos - Promoción del conocimiento y difusión de los derechos de las Comunidades Negras, Afrocolombianas, Raizales y Palenqueras, definidas en los espacios CERREM a cargo de la DCN en el marco de sus competencias., realizados </t>
    </r>
  </si>
  <si>
    <t>Implementar las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t>
  </si>
  <si>
    <r>
      <t xml:space="preserve">
</t>
    </r>
    <r>
      <rPr>
        <sz val="8"/>
        <rFont val="Arial Narrow"/>
        <family val="2"/>
      </rPr>
      <t xml:space="preserve">Acciones para la Protección y defensa de Derechos Humanos - Promoción del conocimiento y difusión de los derechos de las Comunidades Negras, Afrocolombianas, Raizales y Palenqueras, en los espacios de:  CIPRAT, Planes Específicos, Medidas Cautelares., realizados </t>
    </r>
  </si>
  <si>
    <r>
      <t xml:space="preserve"> 
</t>
    </r>
    <r>
      <rPr>
        <sz val="8"/>
        <rFont val="Arial Narrow"/>
        <family val="2"/>
      </rPr>
      <t xml:space="preserve">Sumatoria acciones para la Protección y Defensa de Derechos Humanos - Promoción del conocimiento y difusión de los derechos de las Comunidades Negras, Afrocolombianas, Raizales y Palenqueras, definidas en CIPRAT, Planes Específicos, Medidas Cautelares, a cargo de la DCN en el marco de sus competencias,realizados </t>
    </r>
  </si>
  <si>
    <t>Acompañar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t>
  </si>
  <si>
    <t>Acompañamientos a la implementación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realizados</t>
  </si>
  <si>
    <t>Sumatoria de acciones que garanticen el goce efectivo de derechos de las comunidades negras, afrocolombianas, raizales y palenqueras desde el enfoque diferencial de víctimas del conflicto armado, como sujetos de reparación colectiva en el marco de la Ley 1448 de 2011 (ley de Víctimas) y el Decreto Ley 4635 de 2011., realizados</t>
  </si>
  <si>
    <t>3.5</t>
  </si>
  <si>
    <t>Implementar acciones para dar cumplimiento a sentencias, autos y órdenes, relacionadas con comunidades Negras, Afrocolombianas, Raizales y Palenqueras, diferentes a la sentencia T-025-04, (Juzgados de restitución de tierras, Justicia Especial para la Paz, entre otras); a cargo de la DCN en el marco de sus competencias.</t>
  </si>
  <si>
    <t>Acciones para dar cumplimiento a sentencias, autos, relacionadas con comunidades Negras, Afrocolombianas, Raizales y Palenqueras, diferentes a la sentencia T-025-04, (Juzgados de restitución de tierras, Justicia Especial para la Paz, entre otras); a cargo de la DCN en el marco de sus competencias, realizados</t>
  </si>
  <si>
    <t>Sumatoria de acciones para dar cumplimiento a sentencias, autos, relacionadas con comunidades Negras, Afrocolombianas, Raizales y Palenqueras, diferentes a la sentencia T-025-04, (Juzgados de restitución de tierras, Justicia Especial para la Paz, entre otras); a cargo de la DCN en el marco de sus competencias realizados</t>
  </si>
  <si>
    <t>3.6</t>
  </si>
  <si>
    <t>Implementación el Plan de Caracterización en  (74) Consejos Comunitarios conforme a lo establecido en la sentencia T -025 de 2004 y sus autos de seguimiento</t>
  </si>
  <si>
    <t>implementaciones de un Plan de Caracterización en (74) Consejos Comunitarios conforme a lo establecido en la sentencia T -025 de 2004 y sus autos de seguimiento</t>
  </si>
  <si>
    <t xml:space="preserve">Sumatoria del número de avance realizado en la implementación de un Plan de Caracterización en (74) Consejos Comunitarios conforme a lo establecido en la sentencia T -025 de 2004 y sus autos de seguimiento </t>
  </si>
  <si>
    <t xml:space="preserve">Programa Misional de Sentencia T 025- 2004 </t>
  </si>
  <si>
    <t>Atención integral a la población desplazada en cumplimiento de la sentencia t-025 de 2004 (no de pensiones)</t>
  </si>
  <si>
    <t>3.7</t>
  </si>
  <si>
    <t>Desarrollo e implementación de un sistema de Información que documente las acciones realizadas por el Ministerio del Interior en cumplimiento de las ordenes a su cargo conforme a la sentencia T 025 de 2004</t>
  </si>
  <si>
    <t>Desarrollo e implementación de un sistema de Información que documente las acciones realizadas por el Ministerio del Interior en cumplimiento de las diferentes ordenes a su cargo conforme a la sentencia T 025 de 2004, realizado</t>
  </si>
  <si>
    <t>Sumatoria de  implementación de un sistema de Información que documente las acciones realizadas por el Ministerio del Interior en cumplimiento de las diferentes ordenes a su cargo conforme a la sentencia T 025 de 2004, realizado</t>
  </si>
  <si>
    <t>3.8</t>
  </si>
  <si>
    <t>GESTIÓN Y DESARROLLO LOGÍSTICO DEL PROGRAMA "Programa Misional de Sentencia T 025- 2004 "</t>
  </si>
  <si>
    <t>Avance en la gestión y desarrollo logistico del Programa</t>
  </si>
  <si>
    <t>Acciones realizadas en el avance en la gestión y desarrollo logistico del Programa / Acciones programadas en el avance en la gestión y desarrollo logistico del Programa*100</t>
  </si>
  <si>
    <t>Seguridad Humana y Justicia Social
8. Reducción de la desigualdad Social
Actores Diferenciales para el Cambio
36. Una sociedad para el cambio de la Vida</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</si>
  <si>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monitoreo.(SEGUIMIENTO Y MONITOREO)</t>
  </si>
  <si>
    <t>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</si>
  <si>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(Avance de  Acciones realizadas / Avance de  Acciones programadas)*100</t>
  </si>
  <si>
    <t>Durante el año 2023. se desarrollaron  1.140 acciones de   seguimiento y monitoreo de las políticas, planes, programas y proyectos que beneficien a comunidades negras, y/o apoyar la identificación, formulación y gestión de proyectos. Se cumplió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</si>
  <si>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asi;
Marzo (753) Con los recursos del 2023 que se aprobaron durante el mes de marzo de 2024 por medio del Banco de Proyectos, se priorizaron 752 cupos para el Fondo Especial de Creditos Educativos Condonables de Comunidades Negras.  
Jornada de Planeación estrategica los dias 2 y 3 de marzo de 2014, como resultado fue la actualización del Programa Misional de Funcionamiento y Programa Misional de Sentencia T025-2004.</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</si>
  <si>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asi;
Mayo.(2) Talleres de capacitación en formulación y estructuración de proyects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</si>
  <si>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asi;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Tecnico Nacional del Fondo la solicitud de  beneficiarios , por un valor total de ($ 2.981.565.567,00), los cuales fueron aprobados. </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</si>
  <si>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</si>
  <si>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</si>
  <si>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12 actividades asociadas a la iniciativa y con las metas programadas, no cuentan con avance para periodo señalado 7,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</si>
  <si>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8 actividades asociadas a la iniciativa y con las metas programadas, no cuentan con avance para periodo señalado 2,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Abril (5016) 4655 auto reconocimientos  11 certificaciones de exoneración de servicio militar C-433 de 2021.. 350 certificaicones de cupos y/o descuentos
Mayo. Se presentan ante el Comite Tecnico Nacional Fondo la aprobación de condonación de (346) solicitudes por un valor de SEIS MIL NOVECIENTOS TREINTA Y SEIS MILLONES DOSCIENTOS TREINTA Y TRES MIL SEISCIENTOS PESOS CON OCHENTA Y UN CENTAVOS MCTE. ($6.936.233.600,81). , las cuales fueron aprobadas.</t>
  </si>
  <si>
    <t xml:space="preserve">En el trimestre de las 8 actividades asociadas a la iniciativa y con las metas programadas, cuentan con avance para periodo señalado,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Julio(388) realiza presentación ante el Comité Técnico Nacional del Fondo la solicitud de Condonación de 388 beneficiarios, por un valor total de SIETE MIL NOVECIENTOS SESENTA Y CUATRO MILLONES QUINIENTOS SETENTA MIL OCHOCIENTOS CUARENTA Y TRES PESOS CON CUARENTA Y SIETE CENTAVOS MCTE ($7.964.570.843,47).
Agosto. (11) BOGOTA: 3: $15,000,000
CALI: 1: $81.418.946
QUIBDO: 1: $ 60,550,000,
EL TOTUMO, GUAJIRA:1: $280,468,587
GUACARI:1: $180,225,000
LURUACO,ATLANTICO:1: $ 9.267.899
Septiembre(180) realiza presentación ante el Comité Técnico Nacional del Fondo la solicitud de Condonación de 180 beneficiarios, por un valor total de TRES MIL DOSCIENTOS UN MILLONES CIENTO TREINTA Y TRES MIL QUINIENTOS SESENTA Y UN PESOS CON CINCUENTA Y UN CENTAVOS MCTE ($ 3.201.133.561,51).
</t>
  </si>
  <si>
    <t xml:space="preserve">Expedir las certificaciones de Autorreconocimiento para:
1. Autorreconocimiento como miembro de la  Comunidades Negras, Afrocolombianos, Raizales y Palenqueras 
2. Exoneración del servicio militar establecido en la sentencia 433 de 2021, que se presenten ante la Dirección. </t>
  </si>
  <si>
    <t>Certificaciones de Autorreconocimiento expedidadas.</t>
  </si>
  <si>
    <t>(Número de certificaciones de autorreconocimiento expedidas/Número de certificaciones de autorreconocimiento requeridas)*100</t>
  </si>
  <si>
    <t xml:space="preserve">Actos Legislativos 01 y 02 de 2017
CONPES 3932 de 2018
Decreto Ley 893 de 2017
Ley 2272 de 2022 (que define la política de Paz Total) y la Ley 2294 de 2023 (Plan Nacional de Desarrollo)
Decreto 1084 de 2015
</t>
  </si>
  <si>
    <t>Garantizar el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t>
  </si>
  <si>
    <t>Acciones desarrolladas para garantizar el cumplimiento de las metas e indicadores establecidas en el PMI del Acuerdo Final De Paz y en especial, las del capítulo étnico, CONPES, Programas de Desarrollo con Enfoque Territorial (PDET) de las Comunidades Negras, Afrocolombianas, Raizales y Palenqueras, a cargo de la DCN en el marco de sus competencias.</t>
  </si>
  <si>
    <t>Número de acciones desarrolladas/número de acciones programadas para el periodo</t>
  </si>
  <si>
    <t xml:space="preserve">Decreto 1122 de 1998 refrente a la catedra Afro
Resolución No. 1969 del 28 de diciembre de 2017
</t>
  </si>
  <si>
    <t>Participar en la aprobación de las condonaciones del fondo especial de créditos educativos condonables de Comunidades Negras -FECECN, administrado por el ICETEX</t>
  </si>
  <si>
    <t xml:space="preserve"> Participación en la aprobación de las condonaciones del fondo especial de créditos educativos condonables de Comunidades Negras -FECECN, administrado por el ICETEX, realizados</t>
  </si>
  <si>
    <t>Sumatoria de  participaciones en la aprobación de las condonaciones del fondo especial de créditos educativos condonables de Comunidades Negras -FECECN, administrado por el ICETEX, realizados</t>
  </si>
  <si>
    <t>Decreto 1627 de 1996- Creacion de FECECN
Resolución No. 1969 del 28 de diciembre de 2017</t>
  </si>
  <si>
    <t>Diseñar, formular, ejecutar, articular, acompañar y/o asesorar; programas, planes y/o proyectos para las comunidades negras, afrocolombianas, raizales y palenqueras; así como brindar asistencia técnica en la formulación de Planes de Etnodesarrollo.</t>
  </si>
  <si>
    <t>Programas, planes y proyectos  a favor de los pueblos y Comunidades Negras, Afrocolombianas, Raizales y Palenqueras, diseñados, formulados y ejecutados como tambien de los planes de ETNODESARROLLO en articulación con otras instituciones competentes, realizados</t>
  </si>
  <si>
    <t>Sumatoria de programas, planes y proyectos  a favor de los pueblos y Comunidades Negras, Afrocolombianas, Raizales y Palenqueras, diseñados, formulados y ejecutados como tambien de los planes de ETNODESARROLLO en articulación con otras instituciones competentes, realizados</t>
  </si>
  <si>
    <t>Apoyar el desarrollo y sostenimiento del Sistema Integrado de Gestión Institucional y la observancia de sus recomendaciones en el ámbito de su competencia.</t>
  </si>
  <si>
    <t>Avance en el desarrollo y sostenimiento del Sistema Integrado de Gestión Institucional y la observancia de sus recomendaciones en el ámbito de su competencia.</t>
  </si>
  <si>
    <t xml:space="preserve">
Número de acciones realizadas para el desarrollo del Sistema Integrado de Gestión Institucional / número de acciones programadas en cumplimiento del Sistema Integrado de Gestión Institucional</t>
  </si>
  <si>
    <t>El Ministerio del Interior y demás entidades competentes del Gobierno Nacional coordinarán con la subcomisión Primera de la Comisión Consultiva de Alto Nivel y la Comisión Primera del Espacio Nacional de Consulta Previa (ENCP) para revisar, evaluar y diagnosticar las políticas públicas existentes en materia de: defensa, frontera , asuntos internacionales, migración y participación, para idenficar si estás incorporan el enfoque étnico diferencial de las comunidades negras, afrocolombianas, raizales y palenqueras. Esto incluye la producción de documentos del resultado del diagnostico (NT2-12)</t>
  </si>
  <si>
    <t>Informes diagnósticos sobre las políticas públicas existentes en materia de defensa, frontera , asuntos internacionales, migración y participación para determinar sí incluyen el enfoque diferencial étnico, elaborados y socializados</t>
  </si>
  <si>
    <t>Sumatoria de Informes diagnósticos sobre las políticas públicas existentes en materia de defensa, frontera , asuntos internacionales, migración y participación para determinar sí incluyen el enfoque diferencial étnico, elaborados y socializados</t>
  </si>
  <si>
    <t>El Ministerio del Interior en coordinación con la Comisión Primera del (ENCP), dará continuidad a la Ruta Metodológica, presupuestalmente indexada para la formulación e implementación del protocolo de consulta previa en cumplimiento de la orden cuarta de la sentencia T-576 de 2014. Este compromiso podrá articularse con centros temas de consulta previa a que haya lugar. (NT2- 18)</t>
  </si>
  <si>
    <t>Protocolo de consulta Previa formulado e implementado en coordinación con la comisión primera del Espacio Nacional de Consulta Previa</t>
  </si>
  <si>
    <t>El Gobierno Nacional diseñará e implementará las estrategias necesarias para la revisión técnica de los Artículos 246 y 286 de la CP relacionada con la organización político administrativo de los Territorios de Comunidades Negras, Afrocolombianas, Raizales y Palenqueras y evaluará y definirá las acciones y herramientas para la participación real de estas comunidades. (NT2-20)</t>
  </si>
  <si>
    <t>Proyectos de actos legislativos de los Artículos 246 y 286 de la Constitución Política formulados y concertados con el ENCP.</t>
  </si>
  <si>
    <t>Gestión y desarrollo logístico del programa misional de funcionamiento "FORTALECIMIENTO A LOS PROCESOS ORGANIZATIVOS Y DE CONCERTACION DE LAS COMUNIDADES NEGRAS, AFROCOLOMBIANAS, RAIZALES Y PALENQUERAS"</t>
  </si>
  <si>
    <t>Porcentaje  Gestión y desarrollo logístico del programa misional de funcionamiento</t>
  </si>
  <si>
    <t>(Acciones realizadas de Gestión y desarrollo logístico del programa misional de funcionamiento
/
Acciones programadas de Gestión y desarrollo logístico del programa misional de funcionamiento)*100</t>
  </si>
  <si>
    <t>Decreto 1066 de 2015 - Por medio del cual se expide el Decreto Único Reglamentario del Sector Administrativo del Interior- PARTE 5 GRUPOS ÉTNICOS
Resolución No. 1969 del 28 de diciembre de 2017</t>
  </si>
  <si>
    <t>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(SOPORTE NORMATIVO)</t>
  </si>
  <si>
    <t>Acciones adelantadas de apoyo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t>
  </si>
  <si>
    <t>(Avance de acciones realizadas / Avance de acciones programadas)*100</t>
  </si>
  <si>
    <t>Durante el año 2023. se desarrollaron  225 acciones de apoyo jurídico y técnico a los consejos comunitarios y/o expresiones organizativas de las comunidades. Se cumplio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</si>
  <si>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Asi;
Enero. 20
10 TUTELAS. CONSULTA PREVIA (DEBIDO PROCESO)  
10 TUTELAS. DERECHO DE PETICION 
Febrero. 4
3 Requerimientos a la Procuraduria
1 Requerimiento a la CGR
Marzo.  92
11 actualizaciones CC y 9 Incripción CC
33 actualizaciones Organizaciones de Base y 39 Incripciones Organizaciones de Base</t>
  </si>
  <si>
    <t xml:space="preserve">En el trimestre se cumple con las metas programadas de las actividades asociadas a la iniciativa, de igual forma se realizaron 117 acciones de apoyo jurídico y técnico a los consejos comunitarios y/o expresiones organizativas de las comunidades Asi;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</si>
  <si>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 xml:space="preserve">En el trimestre se cumple con las metas programadas de las actividades asociadas a la iniciativa, de igual forma se realizaron 141 acciones de apoyo jurídico y técnico a los consejos comunitarios y/o expresiones organizativas de las comunidades Asi;
Julio(46) Requerimientos de Entes de control (Contraloría, Procuraduría y Defensoría del Pueblo y Fiscalia), Congreso de la República y Altas Cortes.
Agosto(95)
CONSEJOS COMUNITARIOS: 24
Inscripciones: 6
Actualizaciones: 18
ORGANIZACIONES DE BASE: 71
Inscripciones: 19
Actualizaciones: 52
FORMAS Y EXPRESIONES: 0
Inscripciones: 0
Actualizaciones: 0
</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</si>
  <si>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asi;
</t>
  </si>
  <si>
    <t>Durante el año 2024 . Se realizaron 65  acciones  de apoyo jurídico y técnico a los consejos comunitarios y/o expresiones organizativas de las comunidades</t>
  </si>
  <si>
    <t xml:space="preserve">En el trimestre de las 10 actividades asociadas a la iniciativa y con las metas programadas, no cuentan con avance para periodo señalado 6, de igual forma se adelantaron 4 acciones para garantizar el cumplimiento de los compromisos del Plan Nacional de desarrollo, en tema de comunidades étnicas asi;
</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</si>
  <si>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asi;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Abril. (13) Se atendieron 13 tutelas.
Mayo. (10) Se dio respuesta a 1 solicitud de entes de control y se atendieron 9 tutelas.
Junio. (41) Se dio respuesta a 26 solicitudes de entes de control y se atendieron 15 tutelas.
</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</si>
  <si>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asi;
Julio. (25) . 11 Inscripciones Organizaciones de base, 8 Actualizaciones organizaciones de base, 0 Inscripciones consejos comunitarios, 2 Actualizaciones consejos comunitarios, 3 Inscripciones de formas o expresiones, 1 Actualizaciones.
Septiembre. (50) 19 Inscritas Organizaciones de base, 26 Inscritas y Actualizaciones organizaciones de base, 0 Inscritas consejos comunitarios, 4 Inscritas y Actualizaciones consejos comunitarios, 1 Inscritas de formas o expresiones, 0 Inscritas y Actualizaciones de formas o expresiones.
Septiembre(43) Se tramitaron  procesos judiciales de tutela, distribuidos así: siete en juzgados civiles, catorce en penales, seis en administrativos, seis en familia, dos en pequeñas causas laborales, cinco en promiscuos municipales y uno en ejecución de penas.
</t>
  </si>
  <si>
    <t xml:space="preserve">Realizar el  proceso de Registro Público Único Nacional y/o actualización de los Consejos Comunitarios,  Formas o Expresiones Organizativas, Organizaciones de Base y las demás que cree la Ley, de las Comunidades Negras, Afrocolombianas, Raizales y Palenqueras. </t>
  </si>
  <si>
    <t>Realizar el  proceso de Registro Público Único Nacional y/o actualización de los Consejos Comunitarios,  Formas o Expresiones Organizativas, Organizaciones de Base y las demás que cree la Ley, de las Comunidades Negras, Afrocolombianas, Raizales y Palenqueras, realizados</t>
  </si>
  <si>
    <t>Número de Registros de actualización de los Consejos Comunitarios,  Formas o Expresiones Organizativas, Organizaciones de Base y las demás que cree la Ley, de las Comunidades Negras, Afrocolombianas, Raizales y Palenqueras  Realizados / Número solicitudes de  Registro de actualización de los Consejos Comunitarios,  Formas o Expresiones Organizativas, Organizaciones de Base y las demás que cree la Ley, de las Comunidades Negras, Afrocolombianas, Raizales y Palenqueras allegados o solicitados*100</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</si>
  <si>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t>
  </si>
  <si>
    <t>Expedir los Certificados de Inscripción y/o Actualización en el Registro Público Único Nacional de los Consejos Comunitarios, Formas o Expresiones Organizativas, Organizaciones de Base y las demás que cree la Ley, de las Comunidades Negras, Afrocolombianas, Raizales y Palenqueras, realizados</t>
  </si>
  <si>
    <t>Número de Certificados de Inscripción y/o Actualización en el Registro Público Único Nacional de los Consejos Comunitarios, Formas o Expresiones Organizativas, Organizaciones de Base y las demás que cree la Ley, de las Comunidades Negras, Afrocolombianas, Raizales y Palenqueras realizados y expedidos. / Número de Certificados de Inscripción y/o Actualización en ell Registro Público Único Nacional de los Consejos Comunitarios, Formas o Expresiones Organizativas, Organizaciones de Base y las demás que cree la Ley, de las Comunidades Negras, Afrocolombianas, Raizales y Palenqueras allegados para expedición.*100</t>
  </si>
  <si>
    <t>Atender oportunamente a los requerimientos de Entes de control (Contraloría, Procuraduría y Defensoría del Pueblo y Fiscalía), Congreso de la República y Altas Cortes, asi como  las peticiones y acciones de tutelas&lt;</t>
  </si>
  <si>
    <t>Porcentaje de atención oportuna a los requerimientos de Entes de control (Contraloría, Procuraduría y Defensoría del Pueblo y Fiscalía), Congreso de la República y Altas Cortes, asi como  las peticiones y acciones de tutelas</t>
  </si>
  <si>
    <t>(Número de respuestas a solicitudes de Entes de Control (Contraloría, Procuraduría y Defensoría del Pueblo y Fiscalía), Congreso de la República y Altas Cortes, asi como las peticiones y acciones de tutela realizadas / Número de solicitudes de Entes de Control (Contraloría, Procuraduría y Defensoría del Pueblo y Fiscalía), Congreso de la República y Altas Cortes,  asi como las peticiones y acciones de tutela requeridas)*100</t>
  </si>
  <si>
    <t>Implementar un Sistema de Información, que incluya una estrategia de fortalecimiento territorial con la participación de juventud, mayores y mujeres.</t>
  </si>
  <si>
    <r>
      <t>Sistema de Información, que incluya una estrategia de fortalecimiento territorial con la participación de juventud, mayores y mujeres.</t>
    </r>
    <r>
      <rPr>
        <b/>
        <sz val="8"/>
        <rFont val="Arial Narrow"/>
        <family val="2"/>
      </rPr>
      <t xml:space="preserve">, </t>
    </r>
    <r>
      <rPr>
        <b/>
        <u/>
        <sz val="8"/>
        <rFont val="Arial Narrow"/>
        <family val="2"/>
      </rPr>
      <t>creado</t>
    </r>
    <r>
      <rPr>
        <b/>
        <sz val="8"/>
        <rFont val="Arial Narrow"/>
        <family val="2"/>
      </rPr>
      <t xml:space="preserve"> </t>
    </r>
    <r>
      <rPr>
        <sz val="8"/>
        <rFont val="Arial Narrow"/>
        <family val="2"/>
      </rPr>
      <t>e implementado</t>
    </r>
  </si>
  <si>
    <r>
      <rPr>
        <b/>
        <u/>
        <sz val="8"/>
        <rFont val="Arial Narrow"/>
        <family val="2"/>
      </rPr>
      <t>Sumatoria de</t>
    </r>
    <r>
      <rPr>
        <sz val="8"/>
        <rFont val="Arial Narrow"/>
        <family val="2"/>
      </rPr>
      <t xml:space="preserve"> Sistemas de Información, que incluya una estrategia de fortalecimiento territorial con la participación de juventud, mayores y mujeres, </t>
    </r>
    <r>
      <rPr>
        <b/>
        <u/>
        <sz val="8"/>
        <rFont val="Arial Narrow"/>
        <family val="2"/>
      </rPr>
      <t>creado e implementado</t>
    </r>
  </si>
  <si>
    <t>Actualización del Sistema de Información (procedimientos y/o herramienta tecnológica) utilizado para el Registro Público Único Nacional de los Consejos Comunitarios, Formas o Expresiones Organizativas y Organizaciones de Base de las Comunidades Negras, Afrocolombianos, Raizales y Palenqueras.</t>
  </si>
  <si>
    <r>
      <t xml:space="preserve">Sistema de Información (procedimientos y/o herramienta tecnológica) utilizado para el Registro Público Único Nacional de los Consejos Comunitarios, Formas o Expresiones Organizativas y Organizaciones de Base de las Comunidades Negras, Afrocolombianos, Raizales y Palenqueras realizado </t>
    </r>
    <r>
      <rPr>
        <b/>
        <u/>
        <sz val="8"/>
        <rFont val="Arial Narrow"/>
        <family val="2"/>
      </rPr>
      <t>y/o actualizado</t>
    </r>
  </si>
  <si>
    <r>
      <rPr>
        <b/>
        <u/>
        <sz val="8"/>
        <rFont val="Arial Narrow"/>
        <family val="2"/>
      </rPr>
      <t>Sumatoria de</t>
    </r>
    <r>
      <rPr>
        <sz val="8"/>
        <rFont val="Arial Narrow"/>
        <family val="2"/>
      </rPr>
      <t xml:space="preserve">  Sistemas de Información (procedimientos y/o herramienta tecnológica) utilizado para el Registro Público Único Nacional de los Consejos Comunitarios, Formas o Expresiones Organizativas y Organizaciones de Base de las Comunidades Negras, Afrocolombianos, Raizales y Palenqueras, realizado </t>
    </r>
    <r>
      <rPr>
        <b/>
        <u/>
        <sz val="8"/>
        <rFont val="Arial Narrow"/>
        <family val="2"/>
      </rPr>
      <t>y/o actualizados</t>
    </r>
  </si>
  <si>
    <t>Decreto 3050. Por el cual se reglamenta el artículo 57 de la Ley 70 de 1993
Resolución No. 1969 del 28 de diciembre de 2017</t>
  </si>
  <si>
    <t>5.6</t>
  </si>
  <si>
    <t>Brindar Asistencia técnica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t>
  </si>
  <si>
    <t xml:space="preserve">Asistencias técnicas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realizados </t>
  </si>
  <si>
    <t xml:space="preserve">Sumatoria de Asistencias técnicas en los procesos de construcción y/o actualización de reglamentos internos,  levantamiento de los censos internos de los Consejos Comunitarios y de las Formas o Expresiones Organizativas, mediante la socialización de la metodología, en el marco de la reglamentación de la Ley 70/93 y el derecho autónomo y propio de las comunidades., realizados </t>
  </si>
  <si>
    <t>Roquelina Sabis Blanco Moscarella</t>
  </si>
  <si>
    <t>Diálogo Social Regional permanente para la construcción de Justicia Social</t>
  </si>
  <si>
    <t>3. DE LA DESIGUALDAD HACIA UNA SOCIEDAD GARANTE DE DERECHOS</t>
  </si>
  <si>
    <t xml:space="preserve">TRANSFORMADOR No 6. Colombia, sociedad para la vida: Actores diferenciales para el cambio; CATALIZADOR No 5. Pueblos y comunidades étnicas; COMPONENTE No 6. Apuestas fundamentales para garantizar un enfoque diferencial étnico para el cambio. </t>
  </si>
  <si>
    <t>Ley 2294 del 19 de mayo de 2023</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</si>
  <si>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t>
  </si>
  <si>
    <t>8. Reducción de la desigualdad social
32. Implementación del acuerdo de paz con las farc
33. Tránsito hacía la Paz Total
34. Mujeres Autonómas
35. Justicia étnica y racial
36.Una Sociedad para el Cuidado de la Vida
37. Jovenes en Paz</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</si>
  <si>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</si>
  <si>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Porcentaje de acciones ejecutadas para  el cumplimiento de los compromisos adquiridos con los pueblos y organizaciones indígenas en la Mesa Permanente de Concertación-MPC, en el marco de la Consulta Previa del Plan Nacional de Desarrollo 2022-2026 "Colombia Potencia Mundial de la Vida".</t>
  </si>
  <si>
    <t>(Número de actividades asociadas a la iniciativa desarrolladas/Número de actividades asociadas a la iniciativa programadas )</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</si>
  <si>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</si>
  <si>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En el primer trimestre de la vigencia 2024, se realizaron ochenta y seis (86) acciones correspondientes y pertinentes para el avance del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</si>
  <si>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En el segundo trimestre de la vigencia 2024, de 37 actividades asociadas a la presente iniciativa, 34 tenian programada meta para este trimestre, de las cuales se ejecutaron avances en 10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29%.
</t>
  </si>
  <si>
    <t xml:space="preserve">En el tercer  trimestre de la vigencia 2024, de 37 actividades asociadas a la presente iniciativa, 36 tenian programada meta para este trimestre, de las cuales se ejecutaron avances en 7 actividades correspondientes y pertinentes para el cumplimiento de los compromisos adquiridos durante el proceso de Consulta Previa del Plan Nacional de Desarrollo-PND 2022-2026, con los pueblos y organizaciones indígenas en el marco de la Mesa Permanente de Concertación-MPC de las programadas, arrojando una ejecución de la iniciativa del 19%.
</t>
  </si>
  <si>
    <t>La DAI no reporto información en el trimestre</t>
  </si>
  <si>
    <t>No se presenta avance de la iniciativa, pues las actividades asociaddas a la misma, no presentaron avance cuantitativo</t>
  </si>
  <si>
    <t>En el segundo trimestre de 2025, de un total de 34 actividades asociadas a la presente iniciativa, 30 tenían metas programadas para este periodo. De estas, se ejecutó una actividad: la implementación del piloto del conteo intercensal con enfoque diferencial en pueblos indígenas.
Una vez se apropien los recursos y se implemente el conteo intercensal, se procederá con la actualización de la población indígena en resguardos y territorios indígenas. Con base en lo anterior, la ejecución de la iniciativa en este trimestre corresponde al 5,25%.</t>
  </si>
  <si>
    <t>En el tercer  trimestre del 2025, de 29 actividades asociadas a la presente iniciativa, 28 tenían programadas metas para este trimestre, de las cuales se ejecutaron 8 actividades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 Arrojando una ejecución de la iniciativa del 19%.</t>
  </si>
  <si>
    <r>
      <t xml:space="preserve">Garantizar el goce efectivo del derecho fundamental a la Consulta Previa, Libre e Informada sobre las reformas que proponga el Gobierno Nacional a las normas, que afecten los derechos territoriales de los pueblos indígenas, con base al acuerdo sectorial con la </t>
    </r>
    <r>
      <rPr>
        <b/>
        <sz val="9"/>
        <color theme="1"/>
        <rFont val="Arial"/>
        <family val="2"/>
      </rPr>
      <t xml:space="preserve">MPC -  IT1-8.
</t>
    </r>
  </si>
  <si>
    <t>Actas, memorandos,oficios,  listados de asistencia, registros fotográficos.</t>
  </si>
  <si>
    <t>Porcentaje de Iniciativas garantizadas para el goce efectivo del derecho fundamental a la Consulta Previa, Libre e Informada sobre las reformas que proponga el Gobierno Nacional a las normas.</t>
  </si>
  <si>
    <t>Número de iniciativas de reforma normativa propuestas por el gobierno nacional que afecten los derechos territoriales de los pueblos indigenas consultadas/Número de iniciativas de reforma normativa propuestas por el gobierno nacional que efecten los derechos territoriales de los pueblos indigenas*100</t>
  </si>
  <si>
    <t>A-03-06-01-013</t>
  </si>
  <si>
    <t>Fortalecimiento a los Procesos Organizativos y de Concertación de las Comunidades Indígenas, Minorías y Rom</t>
  </si>
  <si>
    <t>Concertación con comunidaddes y pueblos Etnicos en el marco del PND 2022 - 2024 y otras instancias</t>
  </si>
  <si>
    <r>
      <t xml:space="preserve">El Ministerio del Interior en coordinación con la Presidencia de la República, concertará, expedirá e implementará el instrumento normativo con el propósito de fortalecer el funcionamiento de las estructuras de la Guardia Indígena y otros mecanismos de protección, seguridad, control social y territorial, y cuidado de la vida de los pueblos
indígenas.
El gobierno nacional, a través del Ministerio del interior en coordinación armónica con la Unidad Nacional de Protección -UNP formulará e implementará un proyecto de inversión especifico con el propósito de fortalecer el funcionamiento de las estructuras de la Guardia Indígena y otros mecanismos de protección, seguridad, control social y territorial, y cuidado de la vida de los pueblos indígenas, el cual incluirá acciones de formación, dotación, auto sostenimiento, comunicación y visibilización, con base al acuerdo sectorial  con la </t>
    </r>
    <r>
      <rPr>
        <b/>
        <sz val="9"/>
        <color theme="1"/>
        <rFont val="Arial"/>
        <family val="2"/>
      </rPr>
      <t>MPC - IT2-24.</t>
    </r>
  </si>
  <si>
    <t>Documentos asociados a la formulación e implementación  del  proyecto de Inversión. Documentos asociados a la formulación e implementación de un instrumento jurídico para el fortalecimiento de las estructuras de la Guardia Indígena</t>
  </si>
  <si>
    <t xml:space="preserve">B. Porcentaje de avance en la formulación e implementación de un instrumento jurídico para el fortalecimiento de las estructuras de la guardia indígena
Hito 1. Diseñar la ruta y metodológica para la formulación del plan manera concertada con la MPC. (2023) 10%
Hito 2. Implementación de la ruta concertada con sus despliegues territoriales. (2024) 10%
Hito 3. Concertar y protocolizar el instrumento jurídico. (2024) 10%
Hito 4. Expedir el instrumento jurídico. (2024) 30%
Hito 5. Implementación de instrumento jurídico para el funcionamiento y fortalecimiento de las estructuras de guardia y otros mecanismos de protección (2025) 20%
</t>
  </si>
  <si>
    <r>
      <rPr>
        <b/>
        <sz val="9"/>
        <color theme="1"/>
        <rFont val="Arial"/>
        <family val="2"/>
      </rPr>
      <t xml:space="preserve">FORMULA DE CALCULO INDICADOR B 
</t>
    </r>
    <r>
      <rPr>
        <sz val="9"/>
        <color theme="1"/>
        <rFont val="Arial"/>
        <family val="2"/>
      </rPr>
      <t>Número de acciones realizadas para el diseño, formulación,  implementación, concertación, protocolización, expedición e implementación  de la ruta metodologica e instrumento jurídico para el fortalecimiento de las estructuras de la guardia indígena/ Número de acciones requeridas para  el diseño, formulación,  implementación, concertación, protocolización, expedición e implementación  de la ruta metodologica e instrumento jurídico para el fortalecimiento de las estructuras de la guardia indígena  x100</t>
    </r>
    <r>
      <rPr>
        <b/>
        <sz val="9"/>
        <color theme="1"/>
        <rFont val="Arial"/>
        <family val="2"/>
      </rPr>
      <t xml:space="preserve">
</t>
    </r>
  </si>
  <si>
    <t>1.2.1</t>
  </si>
  <si>
    <t>Fortalecimiento de los mecanismos de protección de la Guardia Indígena en el territorio nacional.</t>
  </si>
  <si>
    <r>
      <t xml:space="preserve">Garantizar el funcionamiento y fortalecimiento de la Mesa Permanente de Concertación con los Pueblos y Organizaciones Indígenas (MPC) y mesas regionales, como escenarios de concertación e interlocución con el gobierno nacional, con base al acuerdo sectorial con la </t>
    </r>
    <r>
      <rPr>
        <b/>
        <sz val="9"/>
        <color theme="1"/>
        <rFont val="Arial"/>
        <family val="2"/>
      </rPr>
      <t>MPC -  IT2-58.</t>
    </r>
  </si>
  <si>
    <t>Documentos asociados a la suscripción del convenio para el funcionamiento y fortalecimiento de la MPC.</t>
  </si>
  <si>
    <t>A. Porcentaje de procesos de fortalecimiento de la MPC garantizados.</t>
  </si>
  <si>
    <t>A. Número de convenios de fortalecimiento de la MPC ejecutados anualmente/ Número de convenios de fortalecimiento de la MPC concertados anualmente*100</t>
  </si>
  <si>
    <t>1.3.1</t>
  </si>
  <si>
    <t xml:space="preserve">B. Porcentaje de procesos de fortalecimiento de las mesas regionales garantizados.
</t>
  </si>
  <si>
    <t>B. Número de procesos de fortalecimiento de las mesas regionales ejecutados/ Número de procesos de fortalecimiento concertados con las mesas regionales *100</t>
  </si>
  <si>
    <t>A-03-04-01-14</t>
  </si>
  <si>
    <t>Fortalecimiento Institucional de la Mesa Permanente de Concertación con los Pueblos y Organizaciones Indígenas - Decreto 1397 de 1996</t>
  </si>
  <si>
    <r>
      <t>Garantizar el funcionamiento y fortalecimiento de la Comisión de Derechos Humanos de los Pueblos Indígenas, de conformidad con el Decreto 1396 de 1996, con base al acuerdo  sectorial  con la</t>
    </r>
    <r>
      <rPr>
        <b/>
        <sz val="9"/>
        <color theme="1"/>
        <rFont val="Arial"/>
        <family val="2"/>
      </rPr>
      <t xml:space="preserve"> MPC - IT2-59.</t>
    </r>
  </si>
  <si>
    <t>Documentos asociados a la suscripción del convenio para el funcionamiento y fortalecimiento de la Comisión de Derechos Humanos.</t>
  </si>
  <si>
    <t>Porcentaje de avance en la implementación de la estrategia de fortalecimiento de la Comisión de Derechos Humanos de los Pueblos Indígenas</t>
  </si>
  <si>
    <t xml:space="preserve">
Número de convenios para el fortalecimiento de la Comisión de Derechos Humanos de los Pueblos Indigenas ejecutados anualmente /Número de convenios para el fortalecimiento de la Comisión de Derechos Humanos de los Pueblos Indigenas concertados anualmente. </t>
  </si>
  <si>
    <r>
      <t xml:space="preserve">El Gobierno Nacional, en cabeza del Ministerio del Interior, creará un Programa Nacional y/o proyecto de inversión para el fortalecimiento de los planes de vida o sus equivalentes como instrumentos de desarrollo propio de los pueblos indígenas. El Ministerio del Interior garantizará los recursos para la formulación y actualización de los planes de vida y coordinará con las demás entidades competentes la implementación de los Planes de vida. Las herramientas de planeación nacional, regional y local deberán armonizarse con dichos instrumentos y de acuerdo con la Ley de Origen,
Derecho Mayor, Derecho Propio y palabra de vida de los Pueblos, con base en el acuerdo sectorial con la </t>
    </r>
    <r>
      <rPr>
        <b/>
        <sz val="9"/>
        <color theme="1"/>
        <rFont val="Arial"/>
        <family val="2"/>
      </rPr>
      <t>MPC -   IT2-60.</t>
    </r>
  </si>
  <si>
    <t>Documentos asociados a la creación e implementación del Programa Nacional de Fortalecimiento de Planes de Vida o sus equivalentes.</t>
  </si>
  <si>
    <t xml:space="preserve">B.Porcentaje de avance en la creación e implementación del programa nacional de fortalecimiento de los Planes de vida  o sus equivalentes, en coordinación con las entidades responsables
Hito 3: Porcentaje de avance en la Implementación del programa nacional de fortalecimiento de los Planes de vida  o sus equivalentes, en coordinación con las Entidades responsables. (2025) 45% </t>
  </si>
  <si>
    <t>Número de acciones realizadas para la implementación del programa nacional de fortalecimiento de los planes de vida o sus equivalentes/ Número de acciones priorizadas para la implementación del programa nacional de fortalecimiento de los planes de vida o sus equivalentes*100</t>
  </si>
  <si>
    <r>
      <t xml:space="preserve">El Gobierno Nacional, en cabeza del Ministerio del Interior formulará e implementará proyectos de inversión para el fortalecimiento de las 7 organizaciones indígenas que participan en el marco de la MPC, los cuales se ejecutarán a través de sus estructuras organizativas propias, con base en el acuerdo sectorial con la </t>
    </r>
    <r>
      <rPr>
        <b/>
        <sz val="9"/>
        <color theme="1"/>
        <rFont val="Arial"/>
        <family val="2"/>
      </rPr>
      <t>MPC-IT2-64.</t>
    </r>
  </si>
  <si>
    <t>Documentos asociados a la formulación e implementación de proyectos de inversión para el fortalecimiento de las siete organizaciones indígenas que participan en la MPC</t>
  </si>
  <si>
    <t>Porcentaje de avance en el fortalecimiento de las siete organizaciones indígenas que participan en la MPC garantizados.</t>
  </si>
  <si>
    <t>Número de convenios ejecutados de las organizaciones indígenas fortalecidas / Numero de convenios de las organizaciones indígenas concertadas anualmente*100</t>
  </si>
  <si>
    <r>
      <t xml:space="preserve">El Gobierno Nacional en cabeza del Ministerio del Interior formulará y coordinará en el marco de sus competencias con las demás entidades, la implementación de un plan de acción y atención inmediata para el goce efectivo de los derechos de los Pueblos indígenas que viven en las ciudades o en espacios urbanos, incluyendo medidas especiales de acuerdo con lo establecido en el literal c del artículo 5 del Convenio 169 de la OIT (Ley 21 de 1991), previa concertación en la MPC, con base al acuerdo sectorial  con la </t>
    </r>
    <r>
      <rPr>
        <b/>
        <sz val="9"/>
        <color theme="1"/>
        <rFont val="Arial"/>
        <family val="2"/>
      </rPr>
      <t>MPC -  IT2-65.</t>
    </r>
  </si>
  <si>
    <t>Documentos asociados a la implementación del Plan de Acción, Plan de Acción y atención inmediata.</t>
  </si>
  <si>
    <t>Porcentaje de avance en la formulación e implementación del Plan de Acción y atención inmediata para el goce efectivo de los derechos de los pueblos indígenas que viven en las ciudades o espacios urbanos.
Hito 1: Formulación concertada del plan de acción y atención inmediata para el goce efectivo de los derechos de los pueblos indígenas que viven en las ciudades o espacios urbanos. 10%
Hito 2: Validación del Plan concertado en la MPC. 10%
Hito 3: Expedición del  Plan de Acción. 20%
Hito 4: Implementación del Plan de Acción. 60% (2024 - 2026)
Nota: el indicador y las acciones del Plan se validarán, una vez sea protocolizada la CPLI del Protocolo de Cabildos en Contexto de Ciudad, que surte efecto en el 2023.</t>
  </si>
  <si>
    <t>H1+2+3. Número de acciones para la formulación, validación y expedición del plan de acción y atención inmediata realizadas anualmente / Número de acciones para la formulación, validación y expedición del plan de acción y atención inmediata concertadas anualmente*100
Hito 4. Número de acciones realizadas del plan de de acción y atención inmediata implementadas anualmente / Número de acciones concertadas en el plan de acción anualmente*100</t>
  </si>
  <si>
    <r>
      <t>El Gobierno Nacional, en cabeza del Ministerio del Interior garantizará la financiación de escenarios y encuentros de discusión regionales y nacionales de los pueblos originarios.
En los casos que se requiera se garantizará la participación de invitados internacionales en el marco del intercambio cultural de los pueblos originarios, con base al acuerdo sectorial  con la</t>
    </r>
    <r>
      <rPr>
        <b/>
        <sz val="9"/>
        <color theme="1"/>
        <rFont val="Arial"/>
        <family val="2"/>
      </rPr>
      <t xml:space="preserve"> MPC - IT2-67.</t>
    </r>
  </si>
  <si>
    <t xml:space="preserve">Documentos asociados a la financiación de escenarios y encuentros de discusión regionales y nacionales de Pueblos originarios, actas, memorandos, oficios, listados de asistencia, registro fotográfico. </t>
  </si>
  <si>
    <t>Porcentaje de avance en la garantia de financiación de escenarios y encuentros de discusión regionales y nacionales.</t>
  </si>
  <si>
    <t>Numero de escenarios y encuentros de discusión regionales y nacionales financiados anualmente / Numero de escenarios y encuentros de discusión regionales y nacionales concertados con la MPC anualmente *100</t>
  </si>
  <si>
    <t>1.9</t>
  </si>
  <si>
    <r>
      <t>Disponer de recursos para la construcción y el fortalecimiento de espacios propios tradicionales de acuerdo a los principios culturales de cada pueblo,  con base al acuerdo sectorial  con la</t>
    </r>
    <r>
      <rPr>
        <b/>
        <sz val="9"/>
        <color theme="1"/>
        <rFont val="Arial"/>
        <family val="2"/>
      </rPr>
      <t xml:space="preserve"> MPC - IT2-68.</t>
    </r>
  </si>
  <si>
    <t>Actas, memorandos,oficios,  listados de asistencia, registros fotográficos de recursos  para la construcción y el fortalecimiento de espacios propios tradicionales de acuerdo a los principios culturales de cada pueblo.</t>
  </si>
  <si>
    <t>Porcentaje de de espacios propios tradicionales construidos y fortalecidos de acuerdo a los principios culturales de cada pueblo</t>
  </si>
  <si>
    <t>Número de espacios propios construidos y fortalecidos con los requisitos técnicos viabilizados anualmente / Número de espacios propios construidos y fortalecidos con los requisitos técnicos priorizados anualmente*100</t>
  </si>
  <si>
    <t>C-3701-1000-35</t>
  </si>
  <si>
    <t>Fortalecimiento de los sistemas de gobierno propio y en los procesos organizativos de los pueblos y comunidades indígenas a nivel nacional</t>
  </si>
  <si>
    <t>1.10</t>
  </si>
  <si>
    <r>
      <t xml:space="preserve">El Gobierno Nacional en cabeza del Ministerio del Interior, la Dirección Nacional de Derechos de Autor y demás entidades competentes formulará, concertará y expedirá un instrumento normativo de propiedad intelectual indígena, sobre derechos de autor, derechos colectivos, patrimonio y legados ancestrales de los pueblos indígenas, con base al acuerdo sectorial  con la </t>
    </r>
    <r>
      <rPr>
        <b/>
        <sz val="9"/>
        <color theme="1"/>
        <rFont val="Arial"/>
        <family val="2"/>
      </rPr>
      <t>MPC - IT2-69.</t>
    </r>
  </si>
  <si>
    <t>Documentos, actas, oficios, listados de asistencia, registros fotográficos asociados a la formulación, concertación y expedición del instrumentos normativo de propiedad intelectual indígenas sobre derechos de autor,  derechos colectivos, patrimonio y legados ancestrales de los pueblos indígenas.</t>
  </si>
  <si>
    <t xml:space="preserve">Porcentaje de avance en la formulación, concertación, expedición e implementación del Proyecto de Instrumento normativo de propiedad intelectual sobre derecho indígena, sobre derechos de autor, derechos colectivos, patrimonio y legados ancestrales de los pueblos indígenas.
Hito 2. Despliegue territorial, concertación, protocolización y expedición del instrumento normativo (MinInterior). 5% (2024)
35% (2025)
H3 Implementación del Instrumento normativo de propiedad intelectual sobre derecho de autor de los pueblos indígenas”. (MinInterior) 55% (2025-2026) </t>
  </si>
  <si>
    <t>Número de acciones realizadas para el despliegue terriorial, concertación ,  protocolización, expedición e implementación  del instrumento normativo/Número de acciones realizadas para el despliegue terriorial, concertación ,  protocolización, expedición e implementación  del instrumento normativo X 67%</t>
  </si>
  <si>
    <t>1.11</t>
  </si>
  <si>
    <r>
      <t xml:space="preserve">El Gobierno Nacional, en cabeza del Ministerio del Interior, garantizará un proyecto de inversión anualmente para desarrollar procesos de capacitación, asesoría y asistencia técnica a los Pueblos Indígenas interesados en la administración directa de los recursos del Sistema General de Participación, así como para el fortalecimiento de las estructuras organizativas propias de los pueblos para administrar mediante los mecanismos de contratación pública de conformidad con el Decreto 252 de 2020, ley 2160 de 2021 y demás normatividad que reconozca su capacidad contractual, con base al acuerdo sectorial con la </t>
    </r>
    <r>
      <rPr>
        <b/>
        <sz val="9"/>
        <color theme="1"/>
        <rFont val="Arial"/>
        <family val="2"/>
      </rPr>
      <t>MPC -  IT2-70.</t>
    </r>
  </si>
  <si>
    <t xml:space="preserve">Documentos asociados a la formulación y al  proyecto de Inversión. </t>
  </si>
  <si>
    <t>INDICADOR B. Porcentaje de pueblos Indígenas a través de sus estructuras organizativas asesorados, capacitados y asistidos tecnicamente en el manejo del Sistema General de Participación e instrumentos de contratación directa</t>
  </si>
  <si>
    <t>Número de capacitaciónes, asesorías y asistencias técnicas realizadas  a pueblos indígenas mediante sus estructuras organizativas en el manejo del SGP e instrumentos de contratación directa/Número de solicitudes realizadas por los pueblos indígenas mediante sus estructuras organizativas en el manejo del SGP e instrumentos de contratación directa *100</t>
  </si>
  <si>
    <t>1.12</t>
  </si>
  <si>
    <r>
      <t>Fortalecer el gobierno y las estructuras organizativas propias y ancestrales de los cuatro pueblos de la SNSM garantizando la unidad política, cultural y territorial del Gobierno indígena y el ordenamiento ancestral del territorio de la Línea Negra de la SNSM, para lo cual tendrá como interlocutor para los temas de carácter regional en la SNSM al Consejo Territorial de Cabildos conformado por la Confederación Indígena Tayrona; la Organización Wiwa Yugumaiun Bunkuanarwa Tayrona; la Organización Indígena Kankuama y la Organización Gonawindúa Tayrona en el marco de la mesa de seguimiento y coordinación para la protección del territorio tradicional y ancestral de los cuatro pueblos indígenas de la SNSM, con base al acuerdo sectorial con la</t>
    </r>
    <r>
      <rPr>
        <b/>
        <sz val="9"/>
        <color theme="1"/>
        <rFont val="Arial"/>
        <family val="2"/>
      </rPr>
      <t xml:space="preserve"> MPC - IT2-71.</t>
    </r>
  </si>
  <si>
    <t>Documentos, actas, oficios, listados de asistencia, registros fotográficos asociados al fortalecimiento del gobierno y las estructuras organizativas propias y ancestrales de los cuatro pueblos de la SNSM.</t>
  </si>
  <si>
    <t xml:space="preserve">Porcentaje de avance en el fortalecimiento al gobierno y  las estructuras organizativas propias y ancestrales de los cuatro pueblos de la SNSM.
Hito 2: Implementación de las estrategias de fortalecimiento concertadas con el CTC.
</t>
  </si>
  <si>
    <t xml:space="preserve">(Numero de convenios de fortalecimiento del gobierno y estructuras organizativas propias y ancestrales ejecutados anualmente/ Numero de convenios de fortalecimiento del gobierno y estructuras organizativas propias y ancestrales concertados)*100
</t>
  </si>
  <si>
    <t>1.13</t>
  </si>
  <si>
    <r>
      <t>El Gobierno Nacional en cabeza del Ministerio del Interior garantizará la formulación, diagnóstico, protocolización e Implementación y, en los casos en los que se considere necesaria, la actualización de los Planes de Salvaguarda y programa de garantías de los pueblos indígenas en cumplimiento de providencias judiciales, con base al acuerdo sectorial con l</t>
    </r>
    <r>
      <rPr>
        <b/>
        <sz val="9"/>
        <color theme="1"/>
        <rFont val="Arial"/>
        <family val="2"/>
      </rPr>
      <t xml:space="preserve">a MPC -  IT5-124. </t>
    </r>
  </si>
  <si>
    <t>Documentos, actas, oficios, listados de asistencia, registros fotográficos asociados a la formulación,diagnóstico, protocolización e Implementación y, en los casos en los que se considere necesaria, la actualización de los Planes de Salvaguarda y programa de garantías de los pueblos indígenas en cumplimiento de providencias judiciales.</t>
  </si>
  <si>
    <t xml:space="preserve">A: Porcentaje de avance en la formulación, concertación e implementación, y en los casos en los que se considere necesaria la actualización, de los Planes de Salvaguarda de los pueblos indígenas en cumplimiento de providencias judiciales.
Hito 1:  Formulación de los Planes de Salvaguarda de los pueblos indígenas en cumplimiento de providencias judiciales. 40% (20% 2023 + 20% 2024 (14% 1er trim+6% 2do trim)) (40% ((20% 3er trim) + (20% 4to trim) 2026)
Hito 2:  Concertación de los Planes de Salvaguarda de los pueblos indígenas en cumplimiento de providencias judiciales. 30% (10% 2024 (3er trim)) + 10% 2025 + 10% 2026)
</t>
  </si>
  <si>
    <t xml:space="preserve">Fórmula de Cálculo Hito 1:Número de acciones realizadas  para  la formulación de los Planes de Salvaguarda de los pueblos indígenas/Número  Planes de Salvaguarda de los pueblos indígenas en cumplimiento de providencias judiciales*100  
Fórmula de Cálculo Hito 2:Número de acciones realizadas para la concertación de los Planes de Salvaguarda/Número  Planes de Salvaguarda de los pueblos indígenas formulados en cumplimiento de providencias judiciales*100  </t>
  </si>
  <si>
    <t>Atención Integral a la Población Desplazada en Cumplimiento de la Sentencia T-025 de 2004</t>
  </si>
  <si>
    <t>1.13.1</t>
  </si>
  <si>
    <t>A: Porcentaje de avance en la formulación, concertación e implementación, y en los casos en los que se considere necesario la actualización, de los Planes de Salvaguarda de los pueblos indígenas en cumplimiento de providencias judiciales.
Hito 3: Implementación de los Planes Salvaguarda de los pueblos indígenas en cumplimiento de providencias judiciales. 30% (10% 2024 (to trim))+ 10% 2025 + 10% 2026)</t>
  </si>
  <si>
    <t xml:space="preserve">Fórmula de Cálculo Hito 3: Número de acciones realizadas para la implementación de los Planes Salvaguardas Indígenas  de providencias Judiciales / Número de Planes Salvaguarda Indigenas de providencias Judiciales  por implementar para el cuatrenio *100 </t>
  </si>
  <si>
    <t>1.13.2</t>
  </si>
  <si>
    <t>B: Porcentaje de avance en Implementación del programa de garantias de los pueblos indígenas en cumplimiento de providencias judiciales.</t>
  </si>
  <si>
    <t xml:space="preserve">Número de acciones implementadas por componente del programa de garantías de los pueblos indígenas / Número total de acciones de los componentes del programa en cumplimiento de providencias judiciales 100% de garantias de los pueblos indígenas concertadas po
implementar para el cuatrenio *100 </t>
  </si>
  <si>
    <t>1.14</t>
  </si>
  <si>
    <r>
      <t xml:space="preserve">El Gobierno Nacional en cabeza del Ministerio del Interior articulará con las entidades competentes de manera concertada con los Pueblos y organizaciones indígenas, la formulación e implementación de un plan de emergencia para garantizar la pervivencia física, territorial y cultural de los Pueblos en Colombia ante las situaciones de urgencia e inminente riesgo contra la vida, integridad y espiritualidad, con base en el acuerdo sectorial con la </t>
    </r>
    <r>
      <rPr>
        <b/>
        <sz val="9"/>
        <color theme="1"/>
        <rFont val="Arial"/>
        <family val="2"/>
      </rPr>
      <t>MPC - IT2-125.</t>
    </r>
  </si>
  <si>
    <t>Documentos, actas, memorandos,oficios,  listados de asistencia, documentos asociados al Plan de Emergencia.</t>
  </si>
  <si>
    <t xml:space="preserve">Porcentaje de avance en la formulación e implementación del Plan de Emergencia  para garantizar la pervivencia física, territorial y cultural de los pueblos y organizaciones indígenas
Hito 1: Actualización concertada del Plan de Emergencia para garantizar la pervivencia física, territorial y cultural de los pueblos y organizaciones indígenas en el marco de la Comisión de DDHH. 20%
Hito 2:  Realizar la concertación de las acciones del plan con las instituciones responsables. 40%
Hito 3: Implementación del Plan de Emergencia para garantizar la pervivencia física, territorial y cultural de los pueblos y organizaciones indígenas (2024-2026) 40%
</t>
  </si>
  <si>
    <t>Hito 1 y 2. Número de acciones de actualización y concertación del plan de emergencia realizadas anualmente / Número de acciones de actualización concertadas del plan de emergencia con las organizaciones indígenas a través de la Comisión de DDHH para anualmente.
Hito 3. Número de acciones del plan de emergencia implementadas anualmente / Número de acciones concertadas con las organizaciones indígenas a través de la Comisión de DDHH para anualmente*100</t>
  </si>
  <si>
    <t>1.15</t>
  </si>
  <si>
    <r>
      <t>Fortalecer la Comisión de Derechos Humanos de los Pueblos Indígenas, con participación de las siete organizaciones nacionales, para el seguimiento al cumplimiento y la implementación de los dictámenes, recomendaciones, medidas, fallos, judiciales y decisiones de los mecanismos multilaterales que protegen los derechos humanos, colectivos y territoriales de los pueblos indígenas de Colombia. Además de lo que le compete al Ministerio del Interior en materia de financiación, gestionará las garantías de interlocución, técnicas y operativas con las entidades de orden nacional e internacional competentes en el tema, con base en el acuerdo sectorial con la</t>
    </r>
    <r>
      <rPr>
        <b/>
        <sz val="9"/>
        <color theme="1"/>
        <rFont val="Arial"/>
        <family val="2"/>
      </rPr>
      <t xml:space="preserve"> MPC -  IT5-126.</t>
    </r>
  </si>
  <si>
    <t>Actas, memorandos,oficios,  listados de asistencia,registro fotográfico, documentos judiciales asociados.</t>
  </si>
  <si>
    <t>Fortalecimiento de la Comisión de Derechos Humanos de los Pueblos Indígenas, con participación de las siete organizaciones nacionales.</t>
  </si>
  <si>
    <t>No. De proyectos de fortalecimiento de la CDDHHPPII ejecutados/ No. total de proyectos fortalecimiento de la CDDHHPPII concertados*100</t>
  </si>
  <si>
    <t>1.16</t>
  </si>
  <si>
    <r>
      <t xml:space="preserve">El Ministerio del interior en coordinación armónica con la Unidad Nacional de Protección -UNP y demás entidades y organismos del orden nacional y territorial, concertará, expedirá e implementará el instrumento jurídico que reglamenta la adopción de las medidas de protección colectiva e individual para pueblos indígenas, garantizando la incorporación del enfoque de mujer, género, generacional e interseccional, con base  al acuerdo sectorial  con la </t>
    </r>
    <r>
      <rPr>
        <b/>
        <sz val="9"/>
        <color theme="1"/>
        <rFont val="Arial"/>
        <family val="2"/>
      </rPr>
      <t>MPC - IT5-134.</t>
    </r>
  </si>
  <si>
    <t>Actas, memorandos,oficios,  listados de asistencia,documentos asociados a la implementación y expedición del instrumento jurídico, instrumento jurídico.</t>
  </si>
  <si>
    <t>A. Porcentaje de avance de la expedición del instrumento jurídico concertado que reglamenta la adopción de las medidas de protección colectiva e individual para pueblos indígenas, garantizando la incorporación del enfoque de mujer, género, generacional e interseccional.
H1. Concertación del instrumento jurídico entre El Ministerio del interior, UNP y demás entidades y organismos del orden nacional y territorial con las organizaciones y pueblos indígenas. 20%
H2. Protocolización del instrumento jurídico  con las organizaciones y pueblos indígenas. 30%
H3. Expedición del instrumento jurídico concertado. 50%</t>
  </si>
  <si>
    <t>Fórmula de Cálculo Indicador A:  
Número de acciones de concertación, protocolización y expedición del instrumento jurídico realizadas/ Número de acciones  de concertación, protocolización y expedición del instrumento jurídico programadas*100</t>
  </si>
  <si>
    <t>1.16.1</t>
  </si>
  <si>
    <t>B. Porcentaje de implementación  del instrumento que reglamenta la adopción de las medidas de protección colectiva e individual para pueblos indígenas, garantizando la incorporación del enfoque de mujer, género, generacional e interseccional. 
Fórmula: 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</si>
  <si>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Medidas de protección colectiva e individual para pueblos indígenas, garantizando la incorporación del enfoque de mujer, género, generacional e interseccional implementadas / medidas de protección colectiva e individual para pueblos indígenas, garantizando la incorporación del enfoque de mujer, género, generacional e interseccional solicitadas x 100</t>
  </si>
  <si>
    <t>1.17</t>
  </si>
  <si>
    <r>
      <t>Expedir el instrumento normativo para la creación y puesta en funcionamiento de la Comisión Nacional de Jóvenes indígenas (CNJI) de las organizaciones indígenas nacionales como una instancia técnica sobre asuntos relacionados con la juventud indígena, con base al acuerdo sectorial con la</t>
    </r>
    <r>
      <rPr>
        <b/>
        <sz val="9"/>
        <color theme="1"/>
        <rFont val="Arial"/>
        <family val="2"/>
      </rPr>
      <t xml:space="preserve"> MPC -  IM-149.</t>
    </r>
  </si>
  <si>
    <t>Actas, memorandos,oficios,  listados de asistencia,documentos asociados a la creación y puesta en funcionamiento del instrumento normativo, instrumento normativo.</t>
  </si>
  <si>
    <t>Porcentaje de avance en el diseño, concertación y expedición del instrumento normativo reglamentario de la Comisión Nacional de Jóvenes Indígenas, de acuerdo con los siguientes hitos:
Hito 1: Diseño y formulación concertado del instrumento normativo. 10% 
Hito 2: Protocolización. 10% 
Hito 3: Expedición del instrumento normativo. 10% 
Hito 4: Implementación de las acciones requeridas por el instrumento normativo. 70%
2024: 10%(H1)+ 10% (H2)= 20%
2024: 10%(H3) +20% (H4)=30%
2025: 30% (H4)= 30%</t>
  </si>
  <si>
    <t xml:space="preserve">
Número de las acciones ejecutadas / Número de acciones concertadas para  el diseño, protocolización, expedición e implementación del Decreto definidas para ejecución en el periodo de 2024 a 2026)*100.</t>
  </si>
  <si>
    <t>1.18</t>
  </si>
  <si>
    <r>
      <t xml:space="preserve">El Gobierno Nacional, en cabeza del Ministerio del Interior garantizará espacios para el intercambio de experiencias que permitan el fortalecimiento cultural, liderazgo, participación Comunitaria, Política y Organizativo de la Juventud indígena a nivel local, regional, nacional e internacional, con base al acuerdo sectorial  con la </t>
    </r>
    <r>
      <rPr>
        <b/>
        <sz val="9"/>
        <color theme="1"/>
        <rFont val="Arial"/>
        <family val="2"/>
      </rPr>
      <t>MPC - IM-160.</t>
    </r>
  </si>
  <si>
    <t>Actas, memorandos,oficios,  listados de asistencia, registro fotográfico de los espacios para el intercambio de experiencias.</t>
  </si>
  <si>
    <t>Porcentaje de espacios locales, regionales, nacionales e internacionales para el intercambio de experiencias el fortalecimiento cultural, liderazgo, participación Comunitaria, Política y Organizativo de la Juventud indígena garantizados.</t>
  </si>
  <si>
    <t>Número de espacios de intercambio locales, regionales, nacionales e internacionales de experiencias garantizados / Número de espacios de experiencias de intercambio locales, regionales, nacionales e internacionales solicitados*100</t>
  </si>
  <si>
    <t>1.19</t>
  </si>
  <si>
    <r>
      <t xml:space="preserve">El Ministerio del Interior de manera articulada con el Ministerio de Agricultura y Desarrollo Rural en el marco de sus competencias y en coordinación con las entidades competentes construirán e implementarán de manera concertada con los pueblos indígenas en sus instancias representativas, los lineamientos y herramientas para la prevención y solución de conflictos territoriales y socioambientales, interétnicos, interétnicos e interculturales. Teniendo en cuenta sus usos y costumbres, ley de origen, derecho mayor, ley natural y todas las normas establecidas en el Bloque de constitucionalidad, con base al  acuerdo intersectorial con la </t>
    </r>
    <r>
      <rPr>
        <b/>
        <sz val="9"/>
        <color theme="1"/>
        <rFont val="Arial"/>
        <family val="2"/>
      </rPr>
      <t>MPC - IT1-7.</t>
    </r>
  </si>
  <si>
    <t>Actas, memorandos,oficios,  listados de asistencia, registro fotográfico de los espacios de trabajo interinstitucional y documentos asociados a los lineamientos y herramientas para la prevención y solución de conflictos.</t>
  </si>
  <si>
    <t xml:space="preserve">Porcentaje de avance en la construcción e implementación concertada de los lineamientos y herramientas para la atención, prevención y solución de conflictos territoriales, socioambientales interétnicas, intra étnicos e interculturales.
Hito 1. Elaboración interinstitucional de los insumos para la construcción de los lineamientos y herramientas para la atención, prevención y solución de conflictos territoriales, socioambientales interétnicas, intraétnicos e interculturales. 5%
Hito 2: Elaboración conjunta de los lineamientos y herramientas para la atención, prevención y solución de conflictos territoriales, socioambientales interétnicas, intraétnicos e interculturales. 15% 
Hito 3: Concertación y protocolización de los lineamientos y herramientas para la atención, prevención y solución de conflictos territoriales, socioambientales interétnicas, intra étnicos e interculturales en la MPC conjunta con la CNTI. 15%
Hito 4: Formalización de los lineamientos y herramientas para la atención, prevención y solución de conflictos territoriales, socioambientales interétnicas, intra étnicos e interculturales. 15%
Hito 5: Implementación de los lineamientos y herramientas para la atención, prevención y solución de conflictos territoriales, socioambientales interétnicas, intra étnicos e interculturales. (50%) 2025 Hito 5: 25%
</t>
  </si>
  <si>
    <t>Número de acciones realizadas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 / Número de acciones concertadas  para la elaboración interinstitucional de insumos, concertación, protocolización, formalización e implementación de lineamientos y herramientas para la atención, prevención y solución de conflictos territoriales, socioambientales interétnicas, intraétnicos e interculturales</t>
  </si>
  <si>
    <t>1.20</t>
  </si>
  <si>
    <r>
      <t xml:space="preserve">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1. Garantizar la implementación de la integralidad del Decreto 1500 de 2018 sobre la protección del territorio ancestral de la Línea Negra de los cuatro Pueblos de la Sierra Nevada de Santa Marta, por medio de las siguientes líneas priorizadas: A. Adoptará oficialmente y socializará la cartografía establecida en el Decreto 1500 del 2018; B. Garantizará el funcionamiento y fortalecimiento de la Mesa de Seguimiento y Coordinación para la protección del territorio tradicional y ancestral de los cuatro pueblos indígenas de la SNSM; C. Concertará e implementará con el CTC un programa para la salvaguarda, protección y conservación del territorio tradicional y ancestral demarcado en la Línea Negra; D. Construirá e implementará un programa de ordenamiento y gobernanza alrededor del ciclo del agua para la protección del uso y valor ancestral del océano y sus sitios sagrados para lo cual los pueblos participarán en los mecanismos de gestión y financiación.
2. El Gobierno Nacional garantizará las condiciones y financiamiento en coordinación con el CTC para la creación e implementación del sistema propio de información del territorio ancestral de la Línea Negra que administre autónomamente el CTC con el fin de fortalecer la protección y consolidación territorial propia desde la Ley de Origen. El sistema contará con financiación de manera permanente, así como la garantía para equipos técnicos y operativos que el CTC administre de manera autónoma.
3. El Gobierno Nacional concertará e implementará las rutas para el saneamiento de mejoras al interior de los resguardos y la regularización de las afectaciones técnico jurídicas de los predios a nombre de los pueblos de la Sierra destinados para la formalización de la propiedad colectiva.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t>
    </r>
    <r>
      <rPr>
        <b/>
        <sz val="6"/>
        <color theme="1"/>
        <rFont val="Arial"/>
        <family val="2"/>
      </rPr>
      <t>MPC - IT1-11.</t>
    </r>
  </si>
  <si>
    <t>Actas, memorandos,oficios,  listados de asistencia, registro fotográfico de los espacios de trabajo interinstitucional y documentos asociados  para garantizar la incorporación de la visión del ordenamiento ancestral en los instrumentos de planeación y ordenamiento.</t>
  </si>
  <si>
    <t>A. Porcentaje de avance en la implementación del decreto 1500 de 2018. 
Hito 1: Adopción y socialización de la cartografía establecida en el decreto 1500 de 2018. 30%
Hito 2. Concertación y aprobación del reglamento y plan de acción de la mesa de seguimiento y coordinación para la protección del territorio tradicional y ancestral de los cuatros pueblos de la SNSM. 10% 
Hito 3. Formulación y concertación del proyecto de funcionamiento y fortalecimiento de la mesa de seguimiento y coordinación para la protección del territorio tradicional y ancestral de los cuatros pueblos de la SNSM. 20%
Hito 4. Implementación del plan de acción de la mesa de seguimiento y coordinación para la protección del territorio tradicional y ancestral de los cuatros pueblos de la SNSM. (2023-2026 40%) 2024 20% 2025 10%</t>
  </si>
  <si>
    <t>Numero de acciónes realizadas para la adopción, socialización, concertación, aprobación,  formulación e implementación del plan de acción para la protección al territorio y ancestral de los 4 pueblos de la SNSM/
Numero de acciónes programadas para la adopción, socialización, concertación, aprobación, formulación e implementación del plan de acción para la protección al territorio y ancestral de los 4 pueblos de la SNSM.</t>
  </si>
  <si>
    <t>1.21</t>
  </si>
  <si>
    <r>
      <t xml:space="preserve">El Gobierno Nacional en coordinación con el CTC garantizará la consolidación, recuperación y protección integral del territorio ancestral de la Línea Negra garantizando los derechos ancestrales, territoriales, colectivos y las salvaguardas para su pervivencia física y cultural, orientados desde los principios de la Ley de Origen y la visión de ordenamiento ancestral de los cuatro Pueblos en el marco de la aplicación integral del decreto 1500 del 2018, la Resolución No. 000002 de 1973, y la Resolución Nº 837 del 28 de agosto de 1995, a través de las siguientes líneas de acción priorizadas:
4. El Ministerio del Interior establecerá y articulará un proceso de coordinación de alto nivel en donde esté DNP, MinAmbiente, MinVivienda, IGAC, CAR, PNNC, MinCultura, y entes territoriales ubicados en el territorio ancestral de la Línea Negra y el CTC para garantizar la incorporación de la visión del ordenamiento ancestral en los instrumentos de planeación y ordenamiento, con base  al acuerdo intersectorial  con la </t>
    </r>
    <r>
      <rPr>
        <b/>
        <sz val="8"/>
        <color theme="1"/>
        <rFont val="Arial"/>
        <family val="2"/>
      </rPr>
      <t>MPC - IT1-11.</t>
    </r>
  </si>
  <si>
    <t>D. Porcentaje de avance en la incorporación de la visión del ordenamiento ancestral en los instrumentos de planeación y ordenamiento del territorio ancestral de la línea negra. 
Hito 1. Concertación de la ruta para la incorporación de la visión del ordenamiento ancestral en los instrumentos de planeación y ordenamiento. (2023) 40%
Hito 2. Implementación de la ruta para la incorporación de la visión del ordenamiento ancestral en los instrumentos de planeación y ordenamiento. (2024-2026) 60%
Meta 2025 20%</t>
  </si>
  <si>
    <t>Número de acciones realizadas para el avance de la implementación e incorporación de la visión del ordenamiento ancestral en los instrumentos de planeación y ordenamiento del territorio ancestral de la línea negra/ Número de acciones concertadas para el avance de la implementación e incorporación de la visión del ordenamiento ancestral en los instrumentos de planeación y ordenamiento del territorio ancestral de la línea negra x100
Fórmula de cálculo Hito 2: 
# de acciones implementadas/ # de acciones acordadas en la ruta anualmente.</t>
  </si>
  <si>
    <t>1.22</t>
  </si>
  <si>
    <r>
      <t xml:space="preserve">El Ministerio del Interior, atenderá la solicitud de articulación que realice El MInisterio de Justicia y del Derecho , quién es la entidad responsable del  Acuerdo Intersectorial </t>
    </r>
    <r>
      <rPr>
        <b/>
        <sz val="9"/>
        <color theme="1"/>
        <rFont val="Arial"/>
        <family val="2"/>
      </rPr>
      <t xml:space="preserve"> IT2-18</t>
    </r>
    <r>
      <rPr>
        <sz val="9"/>
        <color theme="1"/>
        <rFont val="Arial"/>
        <family val="2"/>
      </rPr>
      <t xml:space="preserve"> "El Ministerio de Justicia y del Derecho y el Ministerio del Interior radicarán e impulsarán con mensaje de urgencia ante el Congreso de la República el proyecto de Ley de Coordinación entre el Sistema Judicial Nacional y la Jurisdicción Especial Indígena, de acuerdo con el Artículo 246 de la Constitución Política".</t>
    </r>
  </si>
  <si>
    <t>Documentos, actas, oficios, listados de asistencia virtuales o presenciales, registros o evidencias fotográficas asociadas a las acciones realizadas por la DAI en atención a la solicitud de articulación con el Ministerio de Justicia y del Derecho, responsable directo del Acuerdo Intersectorial.</t>
  </si>
  <si>
    <t>Porcentaje de  accciones en articulación con el Ministerio de Justica y del Derecho  para radicar e impulsar con mensaje de urgencia ante el Congreso de la República el proyecto de Ley de Coordinación entre el Sistema Judicial Nacional y la Jurisdicción Especial Indígena, de acuerdo con el Artículo 246 de la Constitución Política</t>
  </si>
  <si>
    <t>Número de acciones realizadas por el Ministerio del Interior en atención a la solicitud de articulación con el Ministerio de Justicia y del Derecho para realizar acciones relacionadas al Acuerdo Intersectorial  IT2-18 / Número de accciones solicitas por el Ministerio de Justicia y del Derecho  para realizar acciones relacionadas al Acuerdo Intersectorial  IT2-18 X100</t>
  </si>
  <si>
    <t>1.23</t>
  </si>
  <si>
    <r>
      <t xml:space="preserve">El Gobierno Nacional en cabeza del Ministerio del Interior,con apoyo del Ministerio de Educación y la ESAP garantizará el fortalecimiento en procesos de formación real y efectivo de las Escuelas de Formación Política y/o de Gobierno Propio de los pueblos y organizaciones indígenas, con base al acuerdo intersectorial con la </t>
    </r>
    <r>
      <rPr>
        <b/>
        <sz val="9"/>
        <color theme="1"/>
        <rFont val="Arial"/>
        <family val="2"/>
      </rPr>
      <t>MPC - IT2-63.</t>
    </r>
  </si>
  <si>
    <t>Actas, memorandos,oficios,  listados de asistencia, registro fotográfico de los espacios de trabajo interinstitucional y documentos asociados para garantizar el fortalecimiento en procesos de formación real y efectivo de las Escuelas de Formación Política y/o de Gobierno Propio de los pueblos y organizaciones indígenas.</t>
  </si>
  <si>
    <t xml:space="preserve">Porcentaje de avance en el fortalecimiento de procesos de formación real y efectiva de las Escuelas de Formación Política y/o de Gobierno Propio de los pueblos y organizaciones indígenas.
Hito 1: Priorización concertada los procesos de formación real y efectiva de las Escuelas de Formación Política y/o de Gobierno Propio de los pueblos y organizaciones indígenas para fortalecer. 20% (1er trim)
Hito 2: Porcentaje de procesos de formación real y efectiva de las Escuelas de Formación Política y/o de Gobierno Propio de los pueblos y organizaciones indígenas fortalecidas. 80%
Nota: Se cumple del 2024 al 2026
</t>
  </si>
  <si>
    <t>Fórmula de Cálculo 
Hito 1:Número de acciones ejecutadas para los procesos de formación real y efectiva de las Escuelas de Formación Política/Número de acciones priorizadas concertadas  de los procesos de formación real y efectiva de las Escuelas de Formación Política*100
Fórmula de Cálculo Hito 2:Número de Escuelas de Formación Política y/o de Gobierno Propio de los pueblos y organizaciones indígenas fortalecidas/ Número Total de Escuelas de Formación Política y/o de Gobierno Propio de los pueblos y organizaciones indígenas concertadas.</t>
  </si>
  <si>
    <t>1.24</t>
  </si>
  <si>
    <r>
      <t>El Ministerio del Interior, atenderá la solicitud de articulación que realice el DANE, quién es la entidad responsable del  Acuerdo Intersectorial</t>
    </r>
    <r>
      <rPr>
        <b/>
        <sz val="9"/>
        <color theme="1"/>
        <rFont val="Arial"/>
        <family val="2"/>
      </rPr>
      <t xml:space="preserve">  IT2-84</t>
    </r>
    <r>
      <rPr>
        <sz val="9"/>
        <color theme="1"/>
        <rFont val="Arial"/>
        <family val="2"/>
      </rPr>
      <t xml:space="preserve"> "DANE de acuerdo con su misionalidad gubernamental, en coordinación con el Ministerio del  Interior y las organizaciones de la MPC, diseñarán e implementarán un plan especial de fortalecimiento técnico, tecnológico, operativo y de talento humano de los sistemas de información propios de las organizaciones indígenas para favorecer el cumplimiento de la Ley 89 de 1890 en su artículo 7 en lo que respecta a censos indígenas. El Plan especial se discutirá en el Comité Técnico de adecuación del Sistema Estadístico Nacional - SEN. Así mismo, se expedirá un acto administrativo que permita la generación de capacidad instalada mediante la vinculación de personal propio en los procesos de recolección de información en territorios indígenas. Una vez las autoridades indígenas cumplan con los procesos técnicos y de calidad requeridos por el DANE, serán incorporados al Sistema Estadístico Nacional - SEN"
El Gobierno Nacional, en cabeza del DANE,  garantizará los recursos para la implementación en los Pueblos indígenas del piloto del conteo intercensal con enfoque diferencial. Una vez se apropien los recursos para el conteo intercensal y este se implemente, se realizará la actualización de la población indígena en resguardos y territorios indígenas.</t>
    </r>
  </si>
  <si>
    <t>Documentos, actas, oficios, listados de asistencia virtuales o presenciales, registros o evidencias fotográficas asociadas a las acciones realizadas por la DAI en atención a la solicitud de articulación con el DANE responsable directo del Acuerdo Intersectorial.</t>
  </si>
  <si>
    <t>Porcentaje de  acciones en articulación con el DANE  para diseñar e implementar un plan especial de fortalecimiento técnico, tecnológico, operativo y de talento humano de los sistemas de información propios de las organizaciones indígenas para favorecer el cumplimiento de la Ley 89 de 1890 en su artículo 7 en lo que respecta a censos indígenas.</t>
  </si>
  <si>
    <t>Número de acciones realizadas por el Ministerio del Interior en atención a la solicitud de articulación del DANE para adelantar acciones relacionadas al Acuerdo Intersectorial  IT2-84 / Número de accciones solicitas por el DANE  para avanzar con las acciones relacionadas al Acuerdo Intersectorial x100</t>
  </si>
  <si>
    <t>1.25</t>
  </si>
  <si>
    <r>
      <t xml:space="preserve">El Ministerio del Interior, atenderá la solicitud de articulación que realice el Ministerio de Justicia y del Derecho, quién es la entidad responsable del  Acuerdo Intersectorial </t>
    </r>
    <r>
      <rPr>
        <b/>
        <sz val="9"/>
        <color theme="1"/>
        <rFont val="Arial"/>
        <family val="2"/>
      </rPr>
      <t xml:space="preserve"> IT2-86</t>
    </r>
    <r>
      <rPr>
        <sz val="9"/>
        <color theme="1"/>
        <rFont val="Arial"/>
        <family val="2"/>
      </rPr>
      <t>" El Gobierno Nacional, en cabeza del  Ministerio de Justicia y del Derecho y en coordinación con el Ministerio del Interior, garantizará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r>
  </si>
  <si>
    <t>Porcentaje de  acciones en articulación con el Ministerio de Justica y del Derecho  para garantizar la Consulta Previa, Libre e Informada del proyecto de Ley de Coordinación entre el Sistema Judicial Nacional y la Jurisdicción Especial Indígena,  acorde al acta de la sesión N°4 del 2022 de la MPC, la cuál iniciará a partir del mes de abril de 2023. Las garantías presupuestales serán dispuestas por el Ministerio del Interior  y el Ministerio de Justicia en el marco de sus recursos de adición del año 2023. En esta Consulta harán parte las Organizaciones Indígenas  que participan en el marco de la MPC".</t>
  </si>
  <si>
    <t>Número de acciones realizadas por el Ministerio del Interior en atención a la solicitud de articulación con el Ministerio de Justicia y del Derecho para avanzar con acciones relacionadas al Acuerdo Intersectorial  IT2-86 / Número de accciones solicitas por el Ministerio de Justicia y del Derecho  para avanzar con las acciones relacionadas al Acuerdo Intersectorial x100</t>
  </si>
  <si>
    <t>1.26</t>
  </si>
  <si>
    <r>
      <t>El Gobierno Nacional expedirá el decreto establecido en el parágrafo 2 del artículo 1 de la Ley 2135 de 2021 (Ley de Fronteras). El Ministerio del Interior garantizará los recursos  para que las organizaciones indígenas que participan en la MPC, a través de un equipo técnico, formulen un proyecto de Decreto el cual será presentado, una vez sea aprobado por la MPC, al Ministerio del Interior para su expedición,  con base al acuerdo intersectorial con la</t>
    </r>
    <r>
      <rPr>
        <b/>
        <sz val="9"/>
        <color theme="1"/>
        <rFont val="Arial"/>
        <family val="2"/>
      </rPr>
      <t xml:space="preserve"> MPC - IT5-145.</t>
    </r>
  </si>
  <si>
    <t>Documento, actas, oficios ,  listados de asistencia virtuales o presenciales, resgistros fotográficos  asociados a la  garantía de recursos para que las organizaciones indígenas que participan en la MPC, a través de un equipo técnico, formulen un proyecto de Decreto el cual será presentado, una vez sea aprobado por la MPC.</t>
  </si>
  <si>
    <t>Porcentaje de avance en la expedición del decreto paragrafo 2 del articulo 1 de la Ley 2135 de 2021 (Ley de Fronteras).</t>
  </si>
  <si>
    <t>Numero de acciones realizadas para el avance en la expedición del decreto paragrafo 2 del articulo 1 de la Ley 2135 de 2021 (Ley de Fronteras).</t>
  </si>
  <si>
    <t>1.27</t>
  </si>
  <si>
    <r>
      <t>El Gobierno Nacional, en cabeza del Ministerio del Interior fortalecerá los procesos organizativos de los jóvenes indígenas a nivel regional y nacional a través de planes de acción, en concertación con la  Delegación Nacional de Juventudes Indígenas-DENAJI, con base en el acuerdo intersectorial con la</t>
    </r>
    <r>
      <rPr>
        <b/>
        <sz val="9"/>
        <color theme="1"/>
        <rFont val="Arial"/>
        <family val="2"/>
      </rPr>
      <t xml:space="preserve"> MPC -  IM-157.</t>
    </r>
  </si>
  <si>
    <t>Actas, memorandos,oficios,  listados de asistencia, registro fotográfico de las acciones realizadas para   fortalecer a  los procesos organizativos de los jóvenes indígenas a nivel regional y nacional a través de planes de acción.</t>
  </si>
  <si>
    <t>Porcentaje de planes de acción para el fortalecimiento de los procesos organizativos de los jóvenes indígenas a nivel regional y nacional concertados y ejecutados.</t>
  </si>
  <si>
    <t>Número de planes de acción para el fortalecimiento de los procesos organizativos de los jóvenes indígenas a nivel regional y nacional ejecutados / Número planes de acción para el fortalecimiento de los procesos organizativos de los jóvenes indígenas a nivel regional y nacional concertados con la DENAJI *100</t>
  </si>
  <si>
    <t>1.28</t>
  </si>
  <si>
    <r>
      <t xml:space="preserve">Garantizar la implementación de la hoja de ruta para la caracterización de vulneraciones de derechos de las juventudes indígenas en concertación con la Delegación Nacional de Juventudes Indígenas- DENAJI, con base en el acuerdo intersectorial con la </t>
    </r>
    <r>
      <rPr>
        <b/>
        <sz val="9"/>
        <color theme="1"/>
        <rFont val="Arial"/>
        <family val="2"/>
      </rPr>
      <t>MPC - IM-159.</t>
    </r>
  </si>
  <si>
    <t>Actas, memorandos,oficios,  listados de asistencia, registro fotográfico de las acciones realizadas de los espacios de trabajo interinstitucional   para la caracterización de vulneraciones de derechos de las juventudes indígenas.</t>
  </si>
  <si>
    <t>Porcentaje de avance en la elaboración de una caracterización de vulneraciones de derechos en los jóvenes de los pueblos indígenas.
Hito 1: Concertación y protocolización de la hoja de ruta con la DENAJI para la caracterización de las vulneraciones de derechos de las juventudes indígenas.
Hito 2: Implementación de la hoja de ruta concertada con la DENAJI
2023: 25% HITO 1
2024: 25% HITO 2
2025: 25% HITO 2</t>
  </si>
  <si>
    <t xml:space="preserve">
Fórmula de cálculo del hito 1: Número de acciones realizadas para la protocolización de la hoja de ruta/Número de acciones concertadas para la protocolización de la hoja de ruta*100
Fórmula de cálculo del hito 2: (Número de acciones de la hoja de ruta ejecutadas / Número de acciones de la hoja de ruta concertadas con la DENAJI) * 100.</t>
  </si>
  <si>
    <t>1.29</t>
  </si>
  <si>
    <r>
      <t xml:space="preserve">El Ministerio del Interior, atenderá la solicitud de articulación que realice la Consejería Presidencial para los Derechos Humanos y el Derecho Internacional Humanitario , quién es la entidad responsable del  Acuerdo Intersectorial  </t>
    </r>
    <r>
      <rPr>
        <b/>
        <sz val="9"/>
        <color theme="1"/>
        <rFont val="Arial"/>
        <family val="2"/>
      </rPr>
      <t>IT2-172</t>
    </r>
    <r>
      <rPr>
        <sz val="9"/>
        <color theme="1"/>
        <rFont val="Arial"/>
        <family val="2"/>
      </rPr>
      <t xml:space="preserve"> "El Gobierno Nacional, con el liderazgo y coordinación de la Consejería Presidencial para los Derechos Humanos y el Derecho Internacional Humanitario, garantizará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r>
  </si>
  <si>
    <t>Documentos, actas, oficios, listados de asistencia virtuales o presenciales, registros o evidencias fotográficas asociadas a las acciones realizadas por la DAI en atención a la solicitud de articulación con la Consejería Presidencial para los Derechos Humanos y el Derecho Internacional Humanitario responsable directo del Acuerdo Intersectorial.</t>
  </si>
  <si>
    <t xml:space="preserve">Porcentaje de  acciones en articulación con la Consejería Presidencial para los Derechos Humanos y el Derecho Internacional Humanitario para garantizar la implementación de iniciativas comunitarias de los pueblos indígenas para la prevención del reclutamiento, uso, utilización y violencia sexual de niños, niñas y adolescentes indígenas, en el marco de la CIPRUNNA y las entidades que la conforman, las cuales asignarán los recursos técnicos y financieros de acuerdo con su competencia y capacidad, de manera concertada con la CNMI y la CDDHH. </t>
  </si>
  <si>
    <t>Número de acciones realizadas por el Ministerio del Interior en atención a la solicitud de articulación con  la Consejería Presidencial para los Derechos Humanos y el Derecho Internacional Humanitario  para realizar acciones relacionadas al Acuerdo Intersectorial  IT2-172 / Número de accciones solicitadas por la Consejería Presidencial para los Derechos Humanos y el Derecho Internacional Humanitario  para realizar acciones relacionadas al Acuerdo Intersectorial x100</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</si>
  <si>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</si>
  <si>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Porcentaje de acciones ejecutadas para  el cumplimiento de los compromisos adquiridos con los pueblos y organizaciones indígenas en la Mesa Regional Amazónica-MRA,  en el marco de la Consulta Previa del Plan Nacional de Desarrollo 2022-2026 "Colombia Potencia Mundial de la Vida".</t>
  </si>
  <si>
    <t>En la vigencia 2023,se avanza en la construcción del protocolo para registro en las tres modalidades de pueblos indígenas en asilamiento voluntario y áreas no municipalizadas en el marco de los decretos 1232 y 632 de 2018.</t>
  </si>
  <si>
    <t xml:space="preserve">En el primer trimestre de la vigencia 2024, se realizan treinta y nueve (39) acciones correspondientes y pertinentes relacionadas con el cumplimiento de los compromisos adquiridos durante el proceso de Consulta Previa del Plan Nacional de Desarrollo-PND 2022-2026 "Colombia, Potencia Mundial de la Vida", con los pueblos y organizaciones indígenas en el marco de la Mesa Regional Amazónica -MRA. </t>
  </si>
  <si>
    <t>En el segundo trimestre de la vigencia 2024, de 15 actividades asociadas a la presente iniciativa, 7 tenían programada meta para este trimestre, de las cuales se ejecutaron avances en 6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86%.</t>
  </si>
  <si>
    <t>En el tercer trimestre de la vigencia 2024, de 15 actividades asociadas a la presente iniciativa, 11  tenían programada meta para este trimestre, de las cuales se ejecutaron avances en 4 actividades correspondientes y pertinentes para el cumplimiento de los compromisos adquiridos durante el proceso de Consulta Previa del Plan Nacional de Desarrollo-PND 2022-2026, con los pueblos y organizaciones indígenas en el marco de la Mesa Regional Amazónica-MRA de las programadas, arrojando una ejecución de la iniciativa del 36%.</t>
  </si>
  <si>
    <t>En el tercer  trimestre del 2025, de 11 actividades asociadas a la presente iniciativa, 7 tenían programadas metas para este trimestre, de las cuales se ejecutaron 2 acciones 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 Arrojando una ejecución de la iniciativa del 27%.</t>
  </si>
  <si>
    <r>
      <t>El Gobierno Nacional desarrollará de manera concertada con las autoridades indígenas de la Amazonia Colombiana y las entidades vinculadas en el decreto 1232 de 2018, y en concertación con la MRA, un plan integral con las acciones necesarias para la implementación del decreto, incluyendo medidas para eliminar todas las presiones sobre el territorio Yuri-Passé y de otros pueblos de los cuales se tienen indicios de su existencia. Para esto, se realizarán las mesas técnicas necesarias en el marco de la MRA, para la formulación e implementación del plan integral y demás acciones necesarias para la implementación del decreto e impulsará su aprobación en la Comisión Nacional, así como la socialización con las autoridades indígenas locales, con base al acuerdo sectorial con la</t>
    </r>
    <r>
      <rPr>
        <b/>
        <sz val="9"/>
        <color theme="1"/>
        <rFont val="Arial"/>
        <family val="2"/>
      </rPr>
      <t xml:space="preserve"> MRA- IT1-179.</t>
    </r>
  </si>
  <si>
    <r>
      <t xml:space="preserve">Actas, memorandos,oficios,  listados de asistencia, registro fotográfico y/o documentos asociados a  las acciones realizadas para llevar a cabo el  plan integral con las acciones necesarias para la implementación del decreto, </t>
    </r>
    <r>
      <rPr>
        <sz val="9"/>
        <rFont val="Arial"/>
        <family val="2"/>
      </rPr>
      <t>documentos asociados a la suscripción de un convenio con la MRA.</t>
    </r>
  </si>
  <si>
    <t>Porcentaje de avance del plan integral para la implementación del Decreto 1232 de 2018 en el marco de la concertación con el MRA.
Hito 1. Comisión Nacional de Prevención y Protección reglamentada y financiada. (2023: 10%)
Hito 2. Protocolo de estudio oficial y registro para identificación de presencia de PIA aprobado, expedido y en implementación. (2023: 20%)
Hito 3. Un plan estratégico para el sistema nacional de prevención y protección de los derechos de los Pueblos Indígenas en Aislamiento o Estado Natural en implementación. (2024: 15%)
Hito 4. Un plan de prevención y un plan de contingencia formulados (2024) e implementado (2025-2026) para los pueblos indígenas en aislamiento Yuri Passé, y  los demás casos que sean registrados en la tercera modalidad de registro, con la asistencia técnica y financiera de las entidades vinculadas en el decreto. (2024: 10%, 2025: 10%, 2026:10%)
Hito 5. Apertura de estudio oficial para indicios de Pueblos Indigenas Aislamiento. (2025: 10%)
Hito 6. Registro en tercera modalidad de  presencia confirmada y territorialidad identificada para el caso Yuri - Passé. (2025: 15%)</t>
  </si>
  <si>
    <t>Número de acciones ejecutadas  para el avance del Plan Integral del Decreto 1232 de 2018/Número de acciones concertadas para el avance del Plan Integral  del Decreto 1232 de 2018*100</t>
  </si>
  <si>
    <r>
      <t xml:space="preserve">Fortalecer la escuela de formación política de la OPIAC para los liderazgos juveniles indígenas que cuente con el apoyo financiero para la capacitación, desarrollo organizacional y programas específicos para la juventud de las comunidades indígenas de la región amazónica, con base al acuerdo intersectorial con la </t>
    </r>
    <r>
      <rPr>
        <b/>
        <sz val="9"/>
        <color theme="1"/>
        <rFont val="Arial"/>
        <family val="2"/>
      </rPr>
      <t>MRA-IT2-206.</t>
    </r>
  </si>
  <si>
    <r>
      <t>Actas, memorandos,oficios,  listados de asistencia, registro fotográfico y/o documentos asociados a  las acciones realizadas para fortalecer la escuela de formación política de la OPIAC para los liderazgos juveniles indígena.</t>
    </r>
    <r>
      <rPr>
        <sz val="9"/>
        <rFont val="Arial"/>
        <family val="2"/>
      </rPr>
      <t>Documentos asociados a la suscripción de un convenio con la MRA.</t>
    </r>
  </si>
  <si>
    <t xml:space="preserve">Jóvenes formados en la escuela política de OPIAC en programas específicos para la juventud de las comunidades indígenas de la Región Amazónica. </t>
  </si>
  <si>
    <t>Número de jovenes formados en la escuela política de la OPIAC en programas específicos para la juventud de las comunidades indígenas de la Región Amazónica/ Número de jovenes inscritos en el programa de formación de la  escuela política de la OPIAC en programas específicos para la juventud de las comunidades indígenas de la Región Amazónica *100</t>
  </si>
  <si>
    <r>
      <t xml:space="preserve">El Gobierno Nacional realizará las adecuaciones normativas e institucionales para garantizar la progresividad en la implementación del decreto ley 632 de 2018, y el fortalecimiento de las condiciones para la sostenibilidad financiera en el adecuado ejercicio de las competencias que ejercen las autoridades indígenas en esos territorios,  con base al acuerdo  sectorial con la </t>
    </r>
    <r>
      <rPr>
        <b/>
        <sz val="9"/>
        <color theme="1"/>
        <rFont val="Arial"/>
        <family val="2"/>
      </rPr>
      <t>MRA- IT5-223.</t>
    </r>
  </si>
  <si>
    <r>
      <t>Actas, memorandos,oficios,  listados de asistencia, registro fotográfico y/o documentos asociados a  las acciones realizadas para  realizar las adecuaciones normativas e institucionales para garantizar la p</t>
    </r>
    <r>
      <rPr>
        <sz val="9"/>
        <rFont val="Arial"/>
        <family val="2"/>
      </rPr>
      <t>rogresividad en la implementación del decreto ley 632 de 2018. Documentos asociados a la suscripción de un convenio con la MRA</t>
    </r>
    <r>
      <rPr>
        <sz val="9"/>
        <color theme="1"/>
        <rFont val="Arial"/>
        <family val="2"/>
      </rPr>
      <t>.</t>
    </r>
  </si>
  <si>
    <r>
      <t>Porcentaje de implementación del Decreto 632 de 2018,  conforme a los registros presentados durante el cuatrenio (2023 -2026)
Hito 1: Creación de la instancia de alto nivel de impulso a la implem</t>
    </r>
    <r>
      <rPr>
        <sz val="9"/>
        <rFont val="Arial"/>
        <family val="2"/>
      </rPr>
      <t>entación del Decreto Ley 632 de 2018. (10% 2024)
Hito 2. Catorce (14) Consejos Territoriales Indìgenas en funcionamiento</t>
    </r>
    <r>
      <rPr>
        <sz val="9"/>
        <color theme="1"/>
        <rFont val="Arial"/>
        <family val="2"/>
      </rPr>
      <t>. 50%. (25% 2024; 25% 2025)</t>
    </r>
  </si>
  <si>
    <t>Número de acciones  ejecutadas  para la implementación del decreto 632 de 2018 conforme a los registros presentados durante el cuatrienio 2023-2026/Número de acciones concertadas para la implementación del decreto 632 de 2018*100</t>
  </si>
  <si>
    <r>
      <t xml:space="preserve">El Gobierno Nacional, en cabeza del Ministerio del Interior, fortalecerá las organizaciones y demás estructuras organizativas propias de los pueblos indígenas de la Amazonía colombiana, en concertación con la MRA, con base al acuerdo  sectorial con la </t>
    </r>
    <r>
      <rPr>
        <b/>
        <sz val="9"/>
        <color theme="1"/>
        <rFont val="Arial"/>
        <family val="2"/>
      </rPr>
      <t>MRA- IT5-224.</t>
    </r>
  </si>
  <si>
    <r>
      <t>Actas, memorandos,oficios,  listados de asistencia, registro fotográfico y/o documentos asociados a  las acciones realizadas para  el  fortalecimiento de  las organizaciones y demás estructuras organizativas propias de los pueblos indígenas de la Amazonía Colombiana.</t>
    </r>
    <r>
      <rPr>
        <sz val="9"/>
        <rFont val="Arial"/>
        <family val="2"/>
      </rPr>
      <t xml:space="preserve"> Documentos asociados a la suscripción de un convenio con la MRA.</t>
    </r>
  </si>
  <si>
    <t>Proyectos de fortalecimiento de las organizaciones y demás estructuras organizativas propias de los pueblos indígenas de la Amazonía colombiana implementados en concertación con la MRA.</t>
  </si>
  <si>
    <t>Sumatoria del número de proyectos de fortalecimiento de las organizaciones y demás estructuras organizativas propias de los pueblos indígenas de la Amazonía Colombiana implmentados</t>
  </si>
  <si>
    <r>
      <t xml:space="preserve">El Gobierno Nacional a través de la Dirección de Asuntos Indígenas Rom y Minoría financiará un proyecto para el fortalecimiento del conocimiento ancestral de los sabedores y sabedoras de los pueblos indígenas de la Amazonía,con base al acuerdo  sectorial con la </t>
    </r>
    <r>
      <rPr>
        <b/>
        <sz val="9"/>
        <color theme="1"/>
        <rFont val="Arial"/>
        <family val="2"/>
      </rPr>
      <t>MRA- IT5-225.</t>
    </r>
  </si>
  <si>
    <r>
      <t>Actas, memorandos,oficios,  listados de asistencia, registro fotográfico y/o documentos asociados a  las acciones realizadas para la financiación de un proyecto para el fortalecimiento del conocimiento ancestral de los sabedores y sabedoras de los Pueblos Indígenas de la Amazonía Colombiana</t>
    </r>
    <r>
      <rPr>
        <sz val="9"/>
        <rFont val="Arial"/>
        <family val="2"/>
      </rPr>
      <t>.Documentos asociados a la suscripción de un convenio con la MRA.</t>
    </r>
  </si>
  <si>
    <t>Porcentaje de avance del proyecto para el fortalecimiento del conocimiento ancestral de los sabedores y sabedoras de los pueblos indígenas de la Amazonía.</t>
  </si>
  <si>
    <t>Número de acciones desarrolladas para el avance del proyecto para el fortalecimiento del conocimiento ancestral de los sabedores y sabedoras de los Pueblos Indígenas de la Amazonía Colombiana/Número de acciones concertadas para el avance del proyecto para el fortalecimiento del conocimiento ancestral de los sabedores y sabedoras de los Pueblos Indígenas de la Amazonía Colombiana</t>
  </si>
  <si>
    <r>
      <t xml:space="preserve">El Gobierno Nacional en cabeza del Ministerio del Interior garantizará el fortalecimiento de la Mesa Regional Amazónica,  con base al acuerdo  sectorial con la </t>
    </r>
    <r>
      <rPr>
        <b/>
        <sz val="9"/>
        <color theme="1"/>
        <rFont val="Arial"/>
        <family val="2"/>
      </rPr>
      <t>MRA- IT5-227.</t>
    </r>
  </si>
  <si>
    <t>Documentos asociados a la suscripción del convenio para el funcionamiento y fortalecimiento de la Mesa Regional Amazónica-MRA.</t>
  </si>
  <si>
    <t>Proyectos de fortalecimiento de la Mesa Regional Amazónica ejecutados.</t>
  </si>
  <si>
    <t>Sumatoria de número de proyectos de fortalecimiento de Mesa Regional Amazónica ejecutados.</t>
  </si>
  <si>
    <r>
      <t xml:space="preserve">El Ministerio del Interior, atenderá la solicitud de articulación que realice la Unidad de Atención y Reparación Integral  para las victimas del Conflicto Armado-UARIV , quién es la entidad responsable del  Acuerdo Intersectorial  </t>
    </r>
    <r>
      <rPr>
        <b/>
        <sz val="9"/>
        <color theme="1"/>
        <rFont val="Arial"/>
        <family val="2"/>
      </rPr>
      <t>IT1-175</t>
    </r>
    <r>
      <rPr>
        <sz val="9"/>
        <color theme="1"/>
        <rFont val="Arial"/>
        <family val="2"/>
      </rPr>
      <t xml:space="preserve"> "El Gobierno Nacional en concertación con el Pueblo Nukak, diseñará e Implementará  un plan de acción integral y atención que garantice el proceso de reparación colectiva y retorno del Pueblo Indígena NUKAK como caso emblemático, con el acompañamiento y seguimiento de  MRA, y en coordinación con la OPIAC"</t>
    </r>
  </si>
  <si>
    <r>
      <t xml:space="preserve">Documentos, actas, oficios, listados de asistencia virtuales o presenciales, registros o evidencias fotográficas asociadas a las acciones realizadas por la DAI en atención a la solicitud de articulación con  la   Unidad de Atención y Reparación Integral  para las Victimas del Conflicto Armado-UARIV  responsable directo del Acuerdo Intersectorial. </t>
    </r>
    <r>
      <rPr>
        <sz val="9"/>
        <rFont val="Arial"/>
        <family val="2"/>
      </rPr>
      <t>Documentos asociados a la suscripción de un convenio con la MRA.</t>
    </r>
  </si>
  <si>
    <t xml:space="preserve">Porcentaje de avance en la formulación, concertación e implementación del Plan de Salvaguarda del Pueblo Indígena Nukak en cumplimiento de providencias judiciales.
Hito 1:  Formulación del Plan de Salvaguarda del pueblo indígena Nukak en cumplimiento de providencias judiciales. 15% (2024)
Hito 2:  Concertación del Plan de Salvaguarda del pueblo indígena Nukak  en cumplimiento de providencias judiciales. 15% (2024)
Hito 3: Implementación del Plan de Salvaguarda del eje de gobierno propio del pueblo indígena Nukak  en cumplimiento de providencias judiciales. 70% (2025 45% y 2026 25%)
</t>
  </si>
  <si>
    <t>No. De acciones del Plan de Salvaguarda del pueblo indígena Nukak  en cumplimiento de providencias judiciales implementados/ No. Total de las acciones priorizadas del Plan de Salvaguarda del pueblo indígena Nukak  en cumplimiento de providencias judiciales concertadas por implementar*100</t>
  </si>
  <si>
    <r>
      <t xml:space="preserve">Implementar Planes de Salvaguarda para las comunidades, pueblos y  grupos indígenas víctimas del conflicto armado de la Amazonía Colombiana, con base al acuerdo intersectorial con la </t>
    </r>
    <r>
      <rPr>
        <b/>
        <sz val="9"/>
        <rFont val="Arial"/>
        <family val="2"/>
      </rPr>
      <t>MRA- IT1-178.</t>
    </r>
    <r>
      <rPr>
        <sz val="9"/>
        <rFont val="Arial"/>
        <family val="2"/>
      </rPr>
      <t xml:space="preserve"> La entidad responsable del Acuerdo es la Unidad para la Atención y Reparación Integral a las Victimas del Conflicto Armado en Colombia-UARIV.</t>
    </r>
  </si>
  <si>
    <r>
      <t>Actas, memorandos,oficios,  listados de asistencia, registro fotográfico y/o documentos asociados a  las acciones realizadas para  Implementar procesos de reparación colectiva, retorno y reubicaciones, restitución y Planes de Salvaguarda para las comunidades, pueblos y  grupos indígenas víctimas del conflicto armado de la Amazonía Colombiana.</t>
    </r>
    <r>
      <rPr>
        <sz val="9"/>
        <rFont val="Arial"/>
        <family val="2"/>
      </rPr>
      <t xml:space="preserve"> Documentos asociados a la suscripción de convenios con  los Pueblos Indígenas de la Amazonía Colombiana.</t>
    </r>
  </si>
  <si>
    <t>Planes de Salvaguarda para las comunidades, pueblos y  grupos indígenas víctimas del conflicto armado de la Amazonía colombiana implementados</t>
  </si>
  <si>
    <t>Sumatoria del número de  Planes de Salvaguarda  construídos  e implementados para victimas del conflicto armado en la  Amazonía Colombiana.</t>
  </si>
  <si>
    <r>
      <t>El Ministerio del Interior articulará la formulación e implementación de un plan integral intersectorial para la atención de las familias vulnerables con niñez indígena amazónica en situación de mendicidad y/o capacidad especial para la garantia de su derecho a la salud, alimentación, educación y formación cultural para su protección integral de acuerdo a las prácticas culturales y/o interculturales de los pueblos indígenas de la región amazónica, con base al acuerdo intersectorial con la</t>
    </r>
    <r>
      <rPr>
        <b/>
        <sz val="9"/>
        <color theme="1"/>
        <rFont val="Arial"/>
        <family val="2"/>
      </rPr>
      <t xml:space="preserve"> MRA- IT2-196.</t>
    </r>
  </si>
  <si>
    <r>
      <t>Actas, memorandos,oficios,  listados de asistencia, registro fotográfico y/o documentos asociados a  las acciones realizadas para la formulación e implementación de un plan integral intersectorial para la atención de las familias vulnerables con niñez indígena amazónica en situación de mendicidad y/o capacidad especial</t>
    </r>
    <r>
      <rPr>
        <sz val="9"/>
        <color rgb="FFFF0000"/>
        <rFont val="Arial"/>
        <family val="2"/>
      </rPr>
      <t>.</t>
    </r>
  </si>
  <si>
    <t>Porcentaje de avance en la formulación e implementación del plan integral intersectorial de atención para las familias vulnerables con niñez indígena amazónica en situación de mendicidad y/o capacidad especial en los pueblos priorizados en concertación con la MRA .</t>
  </si>
  <si>
    <t>Número de acciones ejecutadas para la  formulación e implementación del plan integral intersectorial de atención para las familias vulnerables con niñez indígena amazónica./Número de acciones concertadas para la  formulación e implementación del plan integral intersectorial de atención para las familias vulnerables con niñez indígena amazónica*100</t>
  </si>
  <si>
    <r>
      <t xml:space="preserve">El Ministerio del Interior, en el marco de sus funciones establecerá un programa de fortalecimiento cultural propio para la formación de los NNA en los aspectos relacionados de gobierno propio, gobernanza del territorio y liderazgo de acuerdo a los usos y costumbres en los pueblos indígenas de la región amazónica, articulando al ICBF y al Ministerio de Cultura, con base al acuerdo  intersectorial con la </t>
    </r>
    <r>
      <rPr>
        <b/>
        <sz val="9"/>
        <color theme="1"/>
        <rFont val="Arial"/>
        <family val="2"/>
      </rPr>
      <t xml:space="preserve">MRA- IT5-229 </t>
    </r>
    <r>
      <rPr>
        <sz val="9"/>
        <color theme="1"/>
        <rFont val="Arial"/>
        <family val="2"/>
      </rPr>
      <t>y de acuerdo a la misionalidad de la DAI.</t>
    </r>
  </si>
  <si>
    <r>
      <t>Actas, memorandos,oficios,  listados de asistencia, registro fotográfico de los espacios de trabajo interinstitucional para  establecerá un programa de fortalecimiento cultural propio para la formación de los NNA en los aspectos relacionados de gobierno propio, gobernanza del territorio y liderazgo de acuerdo a los usos y costumbres en los pueblos indígenas de la Región Amazónica.</t>
    </r>
    <r>
      <rPr>
        <sz val="9"/>
        <color rgb="FFFF0000"/>
        <rFont val="Arial"/>
        <family val="2"/>
      </rPr>
      <t xml:space="preserve"> </t>
    </r>
  </si>
  <si>
    <t>Porcentaje de avance en la creación del programa de fortalecimiento cultural para la formación de Niños, niñas y adolescentes  en gobierno propio, gobernanza del territorio y liderazgo en articulación con ICBF y MinCultura</t>
  </si>
  <si>
    <t>Número de acciones ejecutadas para establecer el programa de fortalecimiento cultural propio para la formación de NNA en los aspectos relacionados de gobierno propio, gobernanza del territorio y liderazgo de acuerdo a los usos y costumbres/ Número de accciones concertadas para establecer el programa de fortalecimiento cultural propio para la formación de NNA en los aspectos relacionados de gobierno propio, gobernanza del territorio y liderazgo de acuerdo a los usos y costumbres *100</t>
  </si>
  <si>
    <r>
      <t xml:space="preserve">El Ministerio del Interior, atenderá la solicitud de articulación que realice el Departamento Administrativo de la Función Pública ,  quién es la entidad responsable del  Acuerdo Intersectorial  </t>
    </r>
    <r>
      <rPr>
        <b/>
        <sz val="9"/>
        <color theme="1"/>
        <rFont val="Arial"/>
        <family val="2"/>
      </rPr>
      <t>IT4-217</t>
    </r>
    <r>
      <rPr>
        <sz val="9"/>
        <color theme="1"/>
        <rFont val="Arial"/>
        <family val="2"/>
      </rPr>
      <t xml:space="preserve"> " El Departamento Administrativo de la Función Pública identificará, caracterizará y acompañará técnicamente la implementación del modelo integrado de planeación y gestión actualizado para los pueblos indígenas amazónicos. Por su parte el Ministerio del Interior garantizará los espacios de concertación de las mesas de diálogo de la MRA para dicha caracterización.</t>
    </r>
  </si>
  <si>
    <t>Documentos, actas, oficios, listados de asistencias virtuales o presenciales, registros o evidencias fotográficas asociadas a las acciones realizadas por la DAI en atención a la solicitud de articulación con  el Departamento Administrativo de la FUnción Pública,responsable directo del Acuerdo Intersectorial.</t>
  </si>
  <si>
    <t>Porcentaje de  accciones en articulación con el  Departamento Administrativo de la Función Pública para garantizar los espacios de concertación de las mesas de diálogo de la MRA para  la caracterización.</t>
  </si>
  <si>
    <t>Número de acciones realizadas por el Ministerio del Interior en atención a la solicitud de articulación con  el Departamento de la Función Pública , para realizar acciones relacionadas al Acuerdo Intersectorial  IT4-217 / Número de accciones solicitas por el Departamento de la Función Pública  para realizar acciones relacionadas al Acuerdo Intersectorial  IT4-217 X100</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</si>
  <si>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</si>
  <si>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Porcentaje de acciones ejecutadas para  el cumplimiento de los compromisos adquiridos con el Pueblo Rom en  la Comisión Nacional de Diálogo-CND, en el marco del Plan   Nacional de Desarrollo 2022-2026 "Colombia Potencia Mundial de la Vida".</t>
  </si>
  <si>
    <t xml:space="preserve">En la vigencia 2023, no se logran los resultados proyectados para esta iniciativa, debido a  temas de agenda de los representantes de la Comisión Nacional de Diálogo-CND, y  temas electorales.  Se debe esperar la posesión de cada mandatario territorial para llevar a cabo actividades de sensibilización de los servidores públicos. Se realizan once (11) eventos territoriales de fortalecimiento, relacionados con el proceso de Consulta Previa en las nueve (9) kumpañy y las dos (2) Organizaciones Gitanas, en los cuales se consultó a la población base los lineamientos para la modificación del decreto No. 2957 de 2010.Se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 Se realizan seis (6) eventos de fortalecimiento de los procesos organizativos de las once (11) kumpañy y las dos (2) organizaciones gitanas. </t>
  </si>
  <si>
    <t>En el primer trimestre de la vigencia 2024, se realizan ocho(8) acciones relacionadas con el cumplimiento de los acuerdos en el marco de la Consulta Previa del Plan Nacional de Desarrollo-PND 2022-2026 con la Comisión Nacional de Diálogo-CND.</t>
  </si>
  <si>
    <t>En el segundo trimestre de la vigencia 2024, de 11 actividades asociadas a la presente iniciativa, 8 tenían programada meta para este trimestre, de las cuales se ejecutaron avances en 4 actividades correspondientes y pertinentes para el cumplimiento de los compromisos adquiridos durante el proceso de Consulta Previa del Plan Nacional de Desarrollo-PND 2022-2026, con la Comisión Nacional de Diálogo-CND de las programadas, arrojando una ejecución de la iniciativa del 50%.</t>
  </si>
  <si>
    <t>En el tercer trimestre de la vigencia 2024, de 11 actividades asociadas a la presente iniciativa, 6 tenían programada meta para este trimestre, de las cuales se ejecutó avances en 1 actividad correspondiente y pertinente para el cumplimiento de los compromisos adquiridos durante el proceso de Consulta Previa del Plan Nacional de Desarrollo-PND 2022-2026, con la Comisión Nacional de Diálogo-CND de las programadas, arrojando una ejecución de la iniciativa del 17%.</t>
  </si>
  <si>
    <t>En el segundo  trimestre del 2025, de 18 actividades asociadas a la presente iniciativa, 4 tenian programada metas para este trimestre, de las cuales se ejecutaron 2 actividades correspondientes a la espacios de trabajo adelantados con el pueblo RROM en el marco de las sesiones ordinarias de la CND y  espacios gestionados en articulación del Pueblo Rrom con el  Ministerio de Cultura para fortalecer el proceso socio -organizativo y político del pueblo Rom identificando los agentes y colectivos de comunicaciones del sector. Arrojando una ejecución de la iniciativa del 26,85%.</t>
  </si>
  <si>
    <t>En el tercer  trimestre del 2025, de 18 actividades asociadas a la presente iniciativa, 7 tenían programadas metas para este trimestre, de las cuales se ejecutaron 5 actividades correspondientes a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 Arrojando una ejecución de la iniciativa del 85%</t>
  </si>
  <si>
    <r>
      <t xml:space="preserve">Se garantizará la actualización, perfeccionamiento y socialización del reglamento interno de la Comisión Nacional de Diálogo del pueblo Rrom (decreto 2957 de 2010), adoptándolo mediante un acta de asamblea de la CND. , con base al acuerdo  sectorial con la </t>
    </r>
    <r>
      <rPr>
        <b/>
        <sz val="9"/>
        <color theme="1"/>
        <rFont val="Arial"/>
        <family val="2"/>
      </rPr>
      <t>CND - RT2-6.</t>
    </r>
  </si>
  <si>
    <t>Actas, memorandos,oficios,  listados de asistencia, registro fotográfico y/o documentos asociados a  las acciones realizadas para  la actualización, perfeccionamiento y socialización del reglamento interno de la Comisión Nacional de Diálogo del pueblo Rrom (decreto 2957 de 2010).</t>
  </si>
  <si>
    <t>Porcentaje de avance de la actualización, perfeccionamiento y socialización del reglamento interno de la Comisión Nacional de Diálogo del pueblo Rrom.</t>
  </si>
  <si>
    <t>Reglamento interno de la Comisión Nacional de Diálogo del pueblo Rrom actualizado, perfeccionado y socializado, mediante acta de asamblea de la CND.</t>
  </si>
  <si>
    <t>C-3701-1000-36</t>
  </si>
  <si>
    <t>Implementación de acciones por parte del ministerio del interior para fortalecer la estructura organizativa de las kumpañy Rroma nivel nacional</t>
  </si>
  <si>
    <r>
      <t xml:space="preserve"> La DAI, brindará las garantías, para que el pueblo ROM genere el documento de planificación del "plan de vida” y su respectiva actualización, socialización, y posterior contrucción del plan de acción para la  implementación con las entidades competentes a nivel nacional y territorial., con base al acuerdo  sectorial con la </t>
    </r>
    <r>
      <rPr>
        <b/>
        <sz val="9"/>
        <color theme="1"/>
        <rFont val="Arial"/>
        <family val="2"/>
      </rPr>
      <t>CND - RT2-10.</t>
    </r>
  </si>
  <si>
    <t>Actas, memorandos,oficios,  listados de asistencia, registro fotográfico y/o documentos asociados a  las acciones realizadas para  brindar las garantías, para que el pueblo ROM genere el documento de planificación del "plan de vida” y su respectiva actualización, socialización, y posterior contrucción del plan de acción para la  implementación con las entidades competentes a nivel nacional y territorial.</t>
  </si>
  <si>
    <t>Porcentaje de avance en la Construcción del documento de planificación del "plan de vida” y su respectiva actualización, socialización e implementación.</t>
  </si>
  <si>
    <t>Número de acciones ejecutadas  para el avance de la construcción del documento de planificación del Plan de Vida/Número de acciones concertadas  para el avance de la construcción del documento de planificación del Plan de Vida*100</t>
  </si>
  <si>
    <r>
      <t xml:space="preserve">La DAI, financiará una propuesta que remitirá el pueblo RROM, para fortalecimiento interno y capacitación de los delegados de la CND del pueblo ROM, con base al acuerdo  sectorial con la </t>
    </r>
    <r>
      <rPr>
        <b/>
        <sz val="9"/>
        <color theme="1"/>
        <rFont val="Arial"/>
        <family val="2"/>
      </rPr>
      <t>CND - RT5-57.</t>
    </r>
  </si>
  <si>
    <t>Documentos asociados a la financiación  para el  fortalecimiento interno y capacitación de los delegados de la CND del pueblo ROM.</t>
  </si>
  <si>
    <t>Propuesta de fortalecimiento interno y capacitación de los delegados de la CND implementada.</t>
  </si>
  <si>
    <t>Sumatoria de número de propuestas financiadas de fortalecimiento interno y capacitación de los delegados de la CND implementada.</t>
  </si>
  <si>
    <r>
      <t xml:space="preserve">En la implementación de la sistematización del registro poblacional que esta desarrollando la DAI,  diseñará un modulo especifico para el pueblo ROM que sera concertado con el mismo en el marco de la CND, con base al acuerdo  sectorial con la </t>
    </r>
    <r>
      <rPr>
        <b/>
        <sz val="9"/>
        <color theme="1"/>
        <rFont val="Arial"/>
        <family val="2"/>
      </rPr>
      <t>CND - RT5-58.</t>
    </r>
  </si>
  <si>
    <t>Documentos, actas, oficios, listados de asistencia, registros fotográficos asociados a la implementación de la sistematización del registro poblacional.</t>
  </si>
  <si>
    <t>Porcentaje de avance en el Módulo de registro poblacional específico para el pueblo ROM diseñado e implemetado.</t>
  </si>
  <si>
    <t>Número de acciones realizadas para el avance del registro poblacional específico para el Pueblo Rom diseñado e implementado/Número de acciones programadas  para el avance del registro poblacional específico para el Pueblo Rom diseñado e implementado.</t>
  </si>
  <si>
    <r>
      <t>La CND realizará 5 sesiones ordinarias para evaluación, control y seguimiento con los diferentes entidades que hacen parte de la CND, no se sesionara de manera extraordinaria. Asimismo, se realizará la respectiva articulación con las entidades competentes para que hagan parte de las sesiones ordinarias que se convoquen, con base al acuerdo  sectorial con la</t>
    </r>
    <r>
      <rPr>
        <b/>
        <sz val="9"/>
        <color theme="1"/>
        <rFont val="Arial"/>
        <family val="2"/>
      </rPr>
      <t xml:space="preserve"> CND - RT5-60.</t>
    </r>
  </si>
  <si>
    <t>Actas, memorandos,oficios,  listados de asistencia, registro fotográfico y/o documentos asociados a  las acciones realizadas para  realizará 5 sesiones ordinarias para evaluación, control y seguimiento con los diferentes entidades que hacen parte de la CND.</t>
  </si>
  <si>
    <t>Sesiones ordinarias de la CND para evaluación, control y seguimiento realizadas.</t>
  </si>
  <si>
    <t>Sumatoria de sesiones ordinarias de la CND para evaluación, control y seguimiento realizadas.</t>
  </si>
  <si>
    <r>
      <t>La DAI coordinará, construirá con el pueblo ROM, las modificaciones del Decreto 2957 de 2010, marco normativo de la protección integral de los derechos colectivos e individuales del pueblo RROM, en el marco de las sesiones ordinarias de la CND. Asimismo, la DAI, en el marco de las reuniones ordinarias de la CND, definirá la hoja de ruta para la socialización con el pueblo RROM de las modificaciones al Decreto 2957 de 2010. , con base en el acuerdo  sectorial con la</t>
    </r>
    <r>
      <rPr>
        <b/>
        <sz val="9"/>
        <color theme="1"/>
        <rFont val="Arial"/>
        <family val="2"/>
      </rPr>
      <t xml:space="preserve"> CND - RT5-65.</t>
    </r>
  </si>
  <si>
    <t>Actas, memorandos,oficios,  listados de asistencia, registro fotográfico y/o documentos asociados a  las acciones realizadas para  coordinar, construir con el pueblo RROM, las modificaciones del Decreto 2957 de 2010, en el  marco normativo de la protección integral de los derechos colectivos e individuales del pueblo RROM y la definición de la hoja de ruta.</t>
  </si>
  <si>
    <t>Documento de modificación del Decreto 2957 de 2010 marco normativo de la protección integral de los derechos colectivos e individuales del pueblo RROM , construido y socializado con el Pueblo Rrom.</t>
  </si>
  <si>
    <t>Porcentaje de avance en la elaboracion y socialización del Documento de modificación del Decreto 2957 de 2010.</t>
  </si>
  <si>
    <r>
      <t>La DAI, en el marco de las sesiones ordinarias de la CND articulará un espacio de trabajo con la institucionalidad y el pueblo ROM, con el fin de trabajar el tema de auto censo y las problemáticas que surjan de este, en el marco de sus competencias., con base al acuerdo  sectorial con la</t>
    </r>
    <r>
      <rPr>
        <b/>
        <sz val="9"/>
        <color theme="1"/>
        <rFont val="Arial"/>
        <family val="2"/>
      </rPr>
      <t xml:space="preserve"> CND - RT5-66.</t>
    </r>
  </si>
  <si>
    <t>Actas, memorandos,oficios,  listados de asistencia, registro fotográfico de los espacios de trabajo interinstitucional para   trabajar el tema de auto censo y las problemáticas que surjan de este.</t>
  </si>
  <si>
    <t>Espacios de trabajo adelantados con el pueblo RROM en el marco de las sesiones ordinarias de la CND.</t>
  </si>
  <si>
    <t>Sumatoria de espacios de trabajo adelantado con el pueblo RROM en el marco de las sesiones ordinarias de la CND para adelantar el tema de auto censo y las problemáticas que surjan.</t>
  </si>
  <si>
    <r>
      <t xml:space="preserve">Fortalecer el proceso socio-organizativo y político del pueblo Rrom, en cabeza de MinInterior para que  en articulación con MinCultura,  y en conjunto con las organizaciones y autoridades del pueblo Rrom, se identifiquen los agentes y colectivos de comunicaciones del sector. , con base al acuerdo  intersectorial con la </t>
    </r>
    <r>
      <rPr>
        <b/>
        <sz val="9"/>
        <color theme="1"/>
        <rFont val="Arial"/>
        <family val="2"/>
      </rPr>
      <t>CND - RT2-7.</t>
    </r>
  </si>
  <si>
    <t>Actas, memorandos,oficios,  listados de asistencia, registro fotográfico y/o documentos asociados a  las acciones realizadas para fortalecer el proceso socio-organizativo y político del pueblo Rrom.</t>
  </si>
  <si>
    <t>Porcentaje de espacios gestionados en articulación del Pueblo Rrom con el  Ministerio de Cultura para fortalecer el proceso socio -organizativo y político del pueblo Rom identificando los agentes y colectivos de comunicaciones del sector.</t>
  </si>
  <si>
    <t>Número  de espacios gestionados en articulación con Mincultura para fortalecer el proceso socio -organizativo y político del pueblo Rom identificando los agentes y colectivos de comunicaciones del sector / Número de espacios concertados  para fortalecer el proceso socio -organizativo y político del pueblo Rom identificando los agentes y colectivos de comunicaciones del sector* 100</t>
  </si>
  <si>
    <t>3.9</t>
  </si>
  <si>
    <r>
      <t>El Ministerio del Interior, emitirá lineamientos para que todas las entidades del gobierno nacional, que implementan programas sociales, hagan uso de los listados censales para que sea insumo en la focalización de estos programas con el pueblo rrom, en articulación con el DNP para la integración del listado social en el registro social hogares., con base al acuerdo  sectorial con la</t>
    </r>
    <r>
      <rPr>
        <b/>
        <sz val="9"/>
        <color theme="1"/>
        <rFont val="Arial"/>
        <family val="2"/>
      </rPr>
      <t xml:space="preserve"> CND - RT2-32.</t>
    </r>
  </si>
  <si>
    <t>Actas, memorandos,oficios,  listados de asistencia, registro fotográfico y/o documentos asociados a  las acciones realizadas para  emitirá lineamientos para que todas las entidades del gobierno nacional, que implementan programas sociales, hagan uso de los listados censales para que sea insumo en la focalización de estos programas con el pueblo Rrom.</t>
  </si>
  <si>
    <t>Acto administrativo expedido para el uso de los listados censales en la focalización de programas sociales con el pueblo rrom en articulación con el DNP para la integración en el registro social de hogares.</t>
  </si>
  <si>
    <t xml:space="preserve"> Documento del Acto administrativo expedido para el uso de los listados censales en la focalización de programas sociales para la integración en el registro social de hogares.</t>
  </si>
  <si>
    <t>3.10</t>
  </si>
  <si>
    <t>Adelantar mesas de trabajo para proponer la modificación de los literales del numeral 4 del artículo 2 de la Ley 1150 de 2007, que contempla las modalidades de selección en la contratación estatal, específicamente para la contratación bajo la modalidad de contratación directa, con miras a que se viabilice la celebración de contratos o convenios con entidades estatales y los representantes legales de la Kumpañy y las dos organizaciones cuyo objeto esté relacionado con el fortalecimiento de sus formas de gobierno, identidad étnica y cultural, el ejercicio de la autonomía y/o garantía de los derechos del grupo étnico Rom o Gitano.
Consecuentemente se propone mesas de trabajo para la revisión del artículo 7 de la Ley 80 de 1993, para que efectos de la Ley que contempla el Estatuto General de la Contratación Publica Administrativa, se incorpore como entidades a contratar a los Kumpania (Kumpañy plural),  y las dos organizaciones definidos por el Decreto 2957 de 2010, como el conjunto de grupos familiares configurados patrilinealmente (patrigrupos), que a partir de alianzas de diverso orden optan por compartir espacios para vivir cerca o para itinerar de manera conjunta dentro del grupo étnico Rom o gitanos, los cuales deben contar con representación legal inscrito y registrado ante el Ministerio del Interior., con base en acuerdo intersectorial con la CND.</t>
  </si>
  <si>
    <t>Actas, memorandos,oficios,  listados de asistencia, registro fotográfico de los espacios de trabajo interinstitucional para  adelantar mesas de trabajo para proponer la modificación de los literales del numeral 4 del artículo 2 de la Ley 1150 de 2007.</t>
  </si>
  <si>
    <t xml:space="preserve">Porcentaje de avance en la construcción, concertación y protocolización de un proyecto de ley modificatorio del artículo 7 de la Ley 80 de 1993 y de los literales del numeral 4 del artículo 2 de la Ley 1150 de 2007. </t>
  </si>
  <si>
    <t xml:space="preserve">Número de proyectos de ley modificatorio del artículo 7 de la Ley 80 de 1993 y de los literales del numeral 4 del artículo 2 de la Ley 1150 de 2007 tramitados/Número de proyectos de ley modificatorio del artículo 7 de la Ley 80 de 1993 y de los literales del numeral 4 del artículo 2 de la Ley 1150 de 2007 concertados y protocolizados. </t>
  </si>
  <si>
    <t>3.11</t>
  </si>
  <si>
    <t>Ejecutar los recursos destinados al funcionamiento de la Secretaría Técnica de la instancia del Sistema General de  Regalías del Pueblo Gitano, de conformidad con lo dispuesto en la Ley 2056 de 2020 y cuya administración corresponde a la DAI. La asignación y ejecución de dichos recursos de funcionamiento se realizarán previa concertación en sesión de la instancia del Sistema de Regalías del Pueblo Gitano.</t>
  </si>
  <si>
    <t>Actas, memorandos, oficios, listados de asistencia, registros fotográficos y demás documentos que soporten las acciones adelantadas ante la instancia del Sistema General de Regalías del Pueblo Gitano para la concertación y definición de la destinación de los recursos de funcionamiento.</t>
  </si>
  <si>
    <t>Número de espacios de gestión realizados ante la instancia del Sistema General de Regalías del Pueblo Gitano para la concertación y definición de la destinación de los recursos de funcionamiento.</t>
  </si>
  <si>
    <t>Número de espacios gestionados ante la instancia del Sistema General de Regalias del Pueblo Gitana para que se concerte y se determine en qué se van a invertir los recursos de funcionamiento de la misma/Número de espacios concertados ante la instancia de Sistema General de Regalias del Pueblo Gitana para que se concerte y se determine en qué se van a invertir los recursos de funcionamiento de la misma.</t>
  </si>
  <si>
    <t>3.12</t>
  </si>
  <si>
    <t xml:space="preserve">La DAI, en el marco de las sesiones ordinarias de la CND, articulará un espacio de trabajo para actualizar los autocensos aportados por las Kumpañy y Organizaciones Gitanas a nivel nacional para su posterior registro. </t>
  </si>
  <si>
    <t xml:space="preserve">Documentos, actas, oficios, listados de asistencia, registros fotográficos asociados a los espacios de trabajo para actualizar los autocensos Kumpañy y Organizaciones Gitanas a nivel Nacional para su posterior registro. </t>
  </si>
  <si>
    <t xml:space="preserve">Porcentaje de espacios de trabajo realizados para actualizar los autocensos aportados por las Kumpañy y Organizaciones Gitanas a nivel nacional para su posterior registro. </t>
  </si>
  <si>
    <t>Número de espacios de trabajo realizados para actualizar los autocensos aportados por las Kumpañy y Organizaciones Gitanas a nivel nacional para su posterior registro/ Número de espacios de trabajo programados para actualizar los autocensos aportados por las Kumpañy y Organizaciones Gitanas a nivel nacional para su posterior registro. *100</t>
  </si>
  <si>
    <t>3.13</t>
  </si>
  <si>
    <t>Mejorar las capacidades técnicas de la institucionalidad para la implementación de acciones en favor del pueblo Rrom.</t>
  </si>
  <si>
    <t>3.14</t>
  </si>
  <si>
    <t>Realizar la asistencia técnica a las Kumpañy y Organizaciones Rrom, para el fortalecimiento del gobierno propio y de su pervivencia como pueblo étnico.</t>
  </si>
  <si>
    <t xml:space="preserve">Número de propuestas de capacitación aprobadas. </t>
  </si>
  <si>
    <t xml:space="preserve">Ley 2294 del 19 de mayo de 2023
</t>
  </si>
  <si>
    <t>El Ministerio del Interior, de acuerdo a su misionalidad, liderará la formulación, adopción, ejecución y seguimiento de las políticas públicas del Ministerio, en particular las relativas a diálogo social, igualdad y derechos humanos, los asuntos étnicos, Rom y de minorías, y el derecho a la consulta previa de las comunidades.</t>
  </si>
  <si>
    <t>Porcentaje de acciones ejecutadas para  la formulación, adopción, ejecución y seguimiento de las políticas públicas del Ministerio, en particular las relativas a diálogo social, igualdad y derechos humanos, los asuntos étnicos, Rom y de minorías, y el derecho a la consulta previa de las comunidades.</t>
  </si>
  <si>
    <t>En el tercer trimestre de la vigencia 2024, de 3 actividades asociadas a la presente iniciativa, 1 tenía programada meta para este trimestre, no se ejecutaron avances en las  actividad correspondiente y pertinente para dar cumplimiento al Artículo No. 357 de la Ley 2294 de 2023 del Plan Nacional de Desarrollo-PND 2022-2026 "Colombia Potencia Mundial de la Vida",arrojando una ejecución de la iniciativa del 0%.</t>
  </si>
  <si>
    <r>
      <t xml:space="preserve">El Gobierno Nacional, en cabeza del Ministerio del Interior, formulará la Política Pública para Pueblos indígenas que viven en las ciudades o en espacios urbanos, y garantizará su implementación, a través de un Plan de acción realizando la coordinación y articulación interinstitucional entre las entidades competentes, previa concertación con la MPC, , con base al acuerdo sectorial  con la </t>
    </r>
    <r>
      <rPr>
        <b/>
        <sz val="9"/>
        <color theme="1"/>
        <rFont val="Arial"/>
        <family val="2"/>
      </rPr>
      <t>MPC -  IT2-66.</t>
    </r>
  </si>
  <si>
    <t>Documentos asociados a la formulación de la Política Pública para Pueblos Indígenas que viven en ciudades o espacios urbanos.</t>
  </si>
  <si>
    <t>Porcentaje de avance en la formulación, concertación e implementación de la Política Pública para Pueblos Indígenas que viven en las ciudades o en espacios urbanos.
Hito 1: Formulación de la Política Pública para Pueblos indígenas que viven en las ciudades o en espacios urbanos = 10% 2024 
Hito 2: Concertación y protocolización de la Política Pública para Pueblos indígenas que viven en las ciudades o en espacios urbanos en la MPC = 15% 2024 
Hito 3: Expedición de la Política Pública para Pueblos indígenas que viven en las ciudades o en espacios urbanos= 5% 2024 
Hito 4. Implementación 70% (2025 - 2026)</t>
  </si>
  <si>
    <t>Número de acciones realizadas para la formulación, concertación,  expedición e implementación de la Política Pública para Pueblos Indígenas/Número de acciones concertadas para para la formulación, concertación, expedición e implementación de la Política Pública para Pueblos Indígenas x 65</t>
  </si>
  <si>
    <r>
      <t>Formular e implementar una Política Pública Integral para la Mujer, Familia y Generación Indígena. La Política Pública se articulará con políticas, planes y programas sectoriales con metas, presupuestos y mecanismos de seguimiento, involucrando a todos los sectores del gobierno colombiano, con base al acuerdo sectorial con la</t>
    </r>
    <r>
      <rPr>
        <b/>
        <sz val="9"/>
        <color theme="1"/>
        <rFont val="Arial"/>
        <family val="2"/>
      </rPr>
      <t xml:space="preserve"> MPC -  IM-146. </t>
    </r>
  </si>
  <si>
    <t>Actas, memorandos,oficios,  listados de asistencia, documentos asociados a la formulación e implementación de la Política Pública, Política Pública.</t>
  </si>
  <si>
    <t>Porcentaje de avance en la formulación e implementación de las acciones de la Política Pública Integral para la Mujer, Familia y Generación Indígena de acuerdo con los siguientes hitos:
Hito 1: Diseñar y concertar una ruta metodológica con la CNMI y la MPC para la formulación  de la Política Pública Integral para la Mujer, Familia y Generación Indígena. 10%
Hito 2: Concertación y protocolización en MPC conjunta con la CNMI de la Política Pública Integral para la Mujer, Familia y Generación Indígena, conforme a lo establecido en la ruta metodológica. 20%
Hito 3: Expedición de la política pública con los instrumentos necesarios = 20% (2025)
Hito 4: Implementación de las acciones de la Política Pública Integral para la Mujer, Familia y Generación Indígena concertadas con la CNMI para el periodo 2024 a 2026 =15%(2025) y 35%(2026) = 50%</t>
  </si>
  <si>
    <t xml:space="preserve">Número de acciones ejecutadas para diseñar, concertar, protocolizar, expedir e implementación de las acciones de la Política Pública/ Número de accciones concertadas para diseñar, concertar, protocolizar, expedir e implementación de las acciones de la Política Pública *100 </t>
  </si>
  <si>
    <t>Ley 2294 del 19 de mayo de 2023
Política Pública de Diálogo Social.
Decreto 2186 de 2021.</t>
  </si>
  <si>
    <r>
      <t xml:space="preserve">El Ministerio del Interior, atenderá la solicitud de articulación que realice el MInisterio de Cultura , quién es la entidad responsable del  Acuerdo Intersectorial  </t>
    </r>
    <r>
      <rPr>
        <b/>
        <sz val="9"/>
        <color theme="1"/>
        <rFont val="Arial"/>
        <family val="2"/>
      </rPr>
      <t xml:space="preserve">IT1-5 </t>
    </r>
    <r>
      <rPr>
        <sz val="9"/>
        <color theme="1"/>
        <rFont val="Arial"/>
        <family val="2"/>
      </rPr>
      <t>" Formular, concertar, expedir e implementar una política pública que impulse el reconocimiento, protección y recuperación de los espacios, lugares o sitios sagrados de alto valor cultural para los pueblos indígenas como un sistema de vida. Para ello, se concertarán e implementarán los mecanismos de protección integral de los territorios, a partir de las visiones de ordenamiento ancestral territorial, la Ley de Origen, Deber y Derecho Mayor, ley natural, cosmovisión, espiritualidad y cultura de los pueblos indígenas, para la conservación de la vida, el agua, la bioculturalidad y la paz total con la naturaleza. Teniendo en cuenta el trabajo articulado, interinstitucional e intersectorial requerido para implementar el presente acuerdo".</t>
    </r>
  </si>
  <si>
    <t>Documentos, actas, oficios, listados de asistencia virtuales o presenciales, registros o evidencias fotográficas asociadas a las acciones realizadas por la DAI en atención a la solicitud de articulación con el Ministerio de Cultura, responsable directo del Acuerdo Intersectorial.</t>
  </si>
  <si>
    <r>
      <t xml:space="preserve">Porcentaje de  acciones en articulación con el Ministerio de Cultura para la  formulación de la política pública de sitios sagrados sus instrumentos reglamentarios con la participación plena y efectiva de los pueblos y organizaciones indígenas, a través de las instancias correspondientes.
</t>
    </r>
    <r>
      <rPr>
        <b/>
        <sz val="9"/>
        <color theme="1"/>
        <rFont val="Arial"/>
        <family val="2"/>
      </rPr>
      <t>Hito a cargo de Mincultura.</t>
    </r>
    <r>
      <rPr>
        <sz val="9"/>
        <color theme="1"/>
        <rFont val="Arial"/>
        <family val="2"/>
      </rPr>
      <t xml:space="preserve">
​Hito 1. Preconsulta de la Política Pública de Sitios sagrados.
Fase 1. Diseñar, concertar y protocolizar la ruta metodológica para la preconsulta y la consulta previa de la política de sitios sagrados.
Fase 2. Revisión conjunta de la normatividad en materia de la política de sitios sagrados y sus instrumentos reglamentarios con participación plena y efectiva de los pueblos y organizaciones indígenas a través de las instancias correspondientes.
Fase 3. Radicación de la propuesta de la política de sitios sagrados y sus instrumentos reglamentarios.</t>
    </r>
  </si>
  <si>
    <r>
      <t xml:space="preserve">Número de acciones realizadas por el Ministerio del Interior en atención a la solicitud de </t>
    </r>
    <r>
      <rPr>
        <b/>
        <sz val="9"/>
        <color theme="1"/>
        <rFont val="Arial"/>
        <family val="2"/>
      </rPr>
      <t>articulación</t>
    </r>
    <r>
      <rPr>
        <sz val="9"/>
        <color theme="1"/>
        <rFont val="Arial"/>
        <family val="2"/>
      </rPr>
      <t xml:space="preserve"> con el Ministerio de Cultura para efectuar acciones relacionadas al Acuerdo Intersectorial  IT1-5 / Número de accciones solicitas por el Ministerio de Cultura para realizar acciones </t>
    </r>
    <r>
      <rPr>
        <b/>
        <sz val="9"/>
        <color theme="1"/>
        <rFont val="Arial"/>
        <family val="2"/>
      </rPr>
      <t>de articulación</t>
    </r>
    <r>
      <rPr>
        <sz val="9"/>
        <color theme="1"/>
        <rFont val="Arial"/>
        <family val="2"/>
      </rPr>
      <t xml:space="preserve"> relacionadas al Acuerdo Intersectorial  IT1-5 X100</t>
    </r>
  </si>
  <si>
    <r>
      <t xml:space="preserve">El Ministerio del interior en coordinación armónica con la Cancillería Colombiana, formulará, concertará </t>
    </r>
    <r>
      <rPr>
        <sz val="9"/>
        <rFont val="Arial"/>
        <family val="2"/>
      </rPr>
      <t>e implementará en articulación con las entidades del orden nacional competentes, una política pública integral de acceso y garantía de derechos humanos para los pueblos indígenas plurinacionales y transfronterizos con su participación, con base al acuerdo intersectorial con la</t>
    </r>
    <r>
      <rPr>
        <b/>
        <sz val="9"/>
        <rFont val="Arial"/>
        <family val="2"/>
      </rPr>
      <t xml:space="preserve"> MPC - IT5-128</t>
    </r>
    <r>
      <rPr>
        <sz val="9"/>
        <color theme="1"/>
        <rFont val="Arial"/>
        <family val="2"/>
      </rPr>
      <t xml:space="preserve">  y en los aspectos  relacionados a la misionalidad y competencias  de la DAI.</t>
    </r>
  </si>
  <si>
    <t>Documento, actas, oficios ,  listados de asistencia virtuales o presenciales, resgistros fotográficos  asociados a la  Política Pública integral de acceso y garantía de derechos humanos para los pueblos indígenas plurinacionales y transfronterizos.</t>
  </si>
  <si>
    <t>A. Porcentaje de avance en la formulación e implementación la Política Publica de acceso a la garantía de derechos humanos para pueblos indígenas transfronterizos​.
Hito 1. Diseñar la ruta  metodológica para la formulación de la política  de manera concertada con la MPC= 10%​
Hito 2. Implementación de la ruta concertada  = 10%​
Hito 3. Concertar  y protocolizar la política publica = 10%​
Hito 4. Expedir mediante acto administrativo y adopción del plan = 30%
Hito 5. Implementación de la política publica =40%​
hito 5: 2025 y 2026​</t>
  </si>
  <si>
    <t>Número de acciones realizadas para la formulación, concertación protocolización, expedición e implementación de la Politica Pública de acceso a la garantía de derechos humanos para pueblos indígenas transfronterizos​/Número de acciones concertadas   para la formulación, concertación protocolización, expedición e implementación de la Politica Pública de acceso a la garantía de derechos humanos para pueblos indígenas transfronterizos.</t>
  </si>
  <si>
    <r>
      <t xml:space="preserve">El Gobierno Nacional diseñará, coordinará e implementará, en concertación con los pueblos indígenas, la Política Pública para Pueblos en contacto inicial con el propósito de garantizar los  derechos fundamentales y superar las condiciones  de  vulnerabilidad,  con base al acuerdo sectorial con la </t>
    </r>
    <r>
      <rPr>
        <b/>
        <sz val="9"/>
        <color theme="1"/>
        <rFont val="Arial"/>
        <family val="2"/>
      </rPr>
      <t>MRA- IT1-180.</t>
    </r>
  </si>
  <si>
    <t>Porcentaje de avance en la implementación de la Política Pública para pueblos indígenas en contacto inicial.
Hito 1. Formulación de la Política Pública. 25% 2023
Hito 2. Proceso de Consulta Previa. 25% 2024
Hito 3. Expedicion, coordinación e implementación de la política pública 25% 2025</t>
  </si>
  <si>
    <t>Número de acciones ejecutadas  para la formulación, consulta previa y expedición  de la política pública para pueblos indígenas en contacto inicial/Número de acciones concertadas para la formulación, consulta previa y expedición de la política pública para pueblos indígenas en contacto inicial x 85%</t>
  </si>
  <si>
    <r>
      <t xml:space="preserve">En el marco de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 con base al acuerdo  Intersectorial con la </t>
    </r>
    <r>
      <rPr>
        <b/>
        <sz val="9"/>
        <rFont val="Arial"/>
        <family val="2"/>
      </rPr>
      <t>MRA- IT1-181.</t>
    </r>
  </si>
  <si>
    <t>Actas, memorandos,oficios,  listados de asistencia, registro fotográfico y/o documentos asociados a  las acciones realizadas para   la construcción de la "Política Pública integral de acceso y garantía de derechos humanos para los pueblos indígenas plurinacionales y transfronterizos"  concertada en la MPC, se garantizará una ruta de construcción diferencial para los pueblos indígenas amazónicos de frontera.</t>
  </si>
  <si>
    <t>Porcentaje de avance en la construcción e implementación de la Política Pública para los Pueblos Indígenas Amazónicos de frontera en el marco de las relaciones binacionales, multilaterales y la política exterior definida por el Gobierno, construida conjuntamente y de manera concertada con la MRA.</t>
  </si>
  <si>
    <t>Número de acciones realizadas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MRA/Número de acciones concertadas  para la construcción e implementación de la Política Pública  para los Pueblos Indígenas Amazónicos de frontera en el marco de las relaciones binacionales, multilaterales y la política exterior definida por el Gobierno, construida conjuntamente y de manera concertada con la MRA x 180</t>
  </si>
  <si>
    <r>
      <t xml:space="preserve">El Gobierno Nacional, en cabeza del Ministerio del Interior - Dirección de DDHH y Dirección de Asuntos indígenas, concertará con la MRA los lineamientos de política pública en materia de Derechos Humanos para los Pueblos Indígenas de la Amazonía Colombiana, con base en el Acuerdo Intersectorial con la </t>
    </r>
    <r>
      <rPr>
        <b/>
        <sz val="9"/>
        <color theme="1"/>
        <rFont val="Arial"/>
        <family val="2"/>
      </rPr>
      <t>MRA IT5-226.</t>
    </r>
  </si>
  <si>
    <t>Actas, memorandos,oficios,  listados de asistencia, documentos asociados a la formulación e implementación de los lineamientos de  la Política Pública.</t>
  </si>
  <si>
    <t>Porcentaje de avance en la concertación de los lineamientos de de política pública en materia de Derechos Humanos para los Pueblos Indígenas de la Amazonía Colombiana.</t>
  </si>
  <si>
    <t>Número de acciones realizadas para la concertación de los lineamientos de de política pública en materia de Derechos Humanos para los Pueblos Indígenas de la Amazonía Colombiana/ Número de acciones concertadas  para la concertación de los lineamientos de de política pública en materia de Derechos Humanos para los Pueblos Indígenas de la Amazonía Colombiana X 100</t>
  </si>
  <si>
    <t xml:space="preserve">Ley 2294 del 19 de mayo de 2023
Resolución No.1325 de 2.000 </t>
  </si>
  <si>
    <t>El Ministerio del Interior, con base en su misionalidad coordinará la incorporación de los enfoques de género y diversidad en el diseño, implementación y seguimiento de las políticas, programas y proyectos que son competencia del sector Interior.</t>
  </si>
  <si>
    <t>Porcentaje de acciones ejecutadas para la coordinación e incorporación  de los enfoques de género y diversidad en el diseño, implementación y seguimiento de las políticas, programas y proyectos que son competencia del sector Interior.</t>
  </si>
  <si>
    <t>En el tercer  trimestre del 2025, de 7 actividades asociadas a la presente iniciativa, 7 tenían programadas metas para este trimestre, de las cuales se ejecutó 1 actividad correspondientes a que el Ministerio del Interior, con base en su misionalidad coordinará la incorporación de los enfoques de género y diversidad en el diseño, implementación y seguimiento de las políticas, programas y proyectos que son competencia del sector Interior. Arrojando una ejecución de la iniciativa del 19%.</t>
  </si>
  <si>
    <r>
      <t xml:space="preserve">Garantizar el cumplimiento efectivo del decreto 1097 de 2020 y 1158 de 2020 mediante la formulación e Implementación de un proyecto de inversión específico para el fortalecimiento de la Comisión Nacional de Mujeres Indígenas, con participación de los pueblos y organizaciones indígenas, con base al acuerdo sectorial con la </t>
    </r>
    <r>
      <rPr>
        <b/>
        <sz val="9"/>
        <color theme="1"/>
        <rFont val="Arial"/>
        <family val="2"/>
      </rPr>
      <t>MPC - IM-154.</t>
    </r>
  </si>
  <si>
    <t>Documentos, actas, listados de asistencia, registro fotográfico asociados a la formulación, cargue del proyecto de inversión  y al avance en la implementación del fortalecimiento de la Comisión Nacional  de Mujeres Indígenas.</t>
  </si>
  <si>
    <t>B. Porcentaje de avance en la implementación del fortalecimiento de la CNMI ejecutado.</t>
  </si>
  <si>
    <t>Número de Convenios ejecutados anualmente por la CNMI / Número de convenios concertados con la CNMI anualmente.</t>
  </si>
  <si>
    <t>5.1.2</t>
  </si>
  <si>
    <t>C-3701-1000-44</t>
  </si>
  <si>
    <t>Fortalecimiento de la participación de las Mujeres Indígenas en espacios de diálogo a nivel nacional.</t>
  </si>
  <si>
    <r>
      <t xml:space="preserve">Crear y fortalecer centros de pensamiento y escuelas de formación propia presenciales para el liderazgo, participación política y organizativa de la mujer, familia y generación indígena en el marco del gobierno y los sistemas propios de los pueblos originarios, con base  al acuerdo sectorial  con la </t>
    </r>
    <r>
      <rPr>
        <b/>
        <sz val="9"/>
        <color theme="1"/>
        <rFont val="Arial"/>
        <family val="2"/>
      </rPr>
      <t>MPC - IM-164.</t>
    </r>
  </si>
  <si>
    <t>Actas, memorandos,oficios, documentos relacionados a la creación y fortalecimiento de centros de pensamiento.</t>
  </si>
  <si>
    <t>Porcentaje de centros de pensamientos  y escuelas de formación propia para el liderazgo, participación política y organizativa de la mujer, familia y generación indígena creadas y fortalecidas.</t>
  </si>
  <si>
    <t>Número de centros de pensamientos y escuelas para el liderazgo, participación política y organizativa de la mujer, familia y generación indígena creadas y fortalecidas / Número de centros de pensamientos y escuelas  para el liderazgo, participación política y organizativa de la mujer, familia y generación indígena concertados con la MPC en coordinación con la CNMI*100</t>
  </si>
  <si>
    <r>
      <t xml:space="preserve">El Gobierno Nacional garantizará, bajo la coordinación del Ministerio del Interior y en conjunto con la UARIV, el DAPRE, y el DPS, la implementación efectiva y urgente del auto 092-2008 con su programa de Protección integral de mujeres indígenas desplazadas o en riesgo de estarlo y de su Plan de acción integral, en concertación con la CNMI, los pueblos y organizaciones indígenas; identificando y articulando el presupuesto que las entidades del gobierno nacional destinarán y garantizarán de manera específica, con base al acuerdo intersectorial con la </t>
    </r>
    <r>
      <rPr>
        <b/>
        <sz val="9"/>
        <color theme="1"/>
        <rFont val="Arial"/>
        <family val="2"/>
      </rPr>
      <t>MPC -  IM-153.</t>
    </r>
  </si>
  <si>
    <t>Actas, memorandos,oficios,  listados de asistencia, registro fotográfico de los espacios de trabajo interinstitucional para la implementación efectiva y urgente del auto 092-2008 con su programa de Protección integral de mujeres indígenas desplazadas o en riesgo de estarlo y de su Plan de acción integral.</t>
  </si>
  <si>
    <t>Porcentaje de avance en la concertación, expedición,  socialización  e implementación de un plan de acción del Auto 092-2008 integral concertado y protocolizado.
Hito 1: Concertación y  protocolización del plan de acción con asignación presupuestal específica. 20% 2023
Hito 2: Expedición del instrumento que adopte el plan 10% 2024
Hito 3: Socialización del plan 20%2024
Hito 4: Implementación del plan de acción 15% 2024
Hito 4: 25% 2025</t>
  </si>
  <si>
    <t>Número de acciones ejecutadas para  la protocolización, expedición, socialización e implementación  del plan de acción/Número de acciones concertadas para la protocolización, expedición, socialización e implementación  del plan de acción*100
(Fórmula de cálculo del hito 4: (Número de acciones del Plan de Acción implementadas anualmente / Número total de acciones del Plan de Acción priorizadas  anualmente para el período 2024 a 2026) * ( porcentaje anual de implementación definido)</t>
  </si>
  <si>
    <r>
      <t xml:space="preserve">El Ministerio del Interior articulará con las entidades competentes del gobierno nacional y las mujeres del
Consejo Territorial de Cabildos de la Sierra Nevada de Gonawindúa, los siguientes componentes de trabajo:
1. Componente de Paz Territorial: Apoyar el fortalecimiento de los procesos, iniciativas y agendas propias comunitarias e interculturales de construcción de paz territorial desde y para las mujeres y familias indígenas (OACP)
2. Componente: Cuidado, conservación y preservación integral de la madre tierra. Diseñar e implementar una estrategia de fortalecimiento de los espacios de transmisión intergeneracional de saberes y protección de la lengua, concertada con las mujeres y la niñez indígena de la Sierra Nevada de Santa Marta. MinCultura
3. Componente de salud y armonía psicoespiritual Incluir dentro del plan de acción sobre el cuidado del
bienestar mental y las desarmonías espirituales para la atención y prevención del suicidio, consumo de SPA, todo tipo de violencias, explotación sexual, estado de mendicidad en jóvenes indígenas que lidera el Ministerio de Salud, acciones con las mujeres de los cuatro (4) pueblos de la Sierra Nevada de Santa Marta.
4. Componente de Violencias contra las mujeres indígenas Fortalecer los comités comunitarios o procesos colectivos para la prevención, atención, acompañamiento integral y acceso a la justicia de las mujeres, niñez y familias víctima de todo tipo de violencias contra las mujeres indígenas, en el marco del mecanismo articulador del Decreto 2117 de 2010. Mecanismo articulador: Min Salud - CPEM
5. Componente fortalecimiento y participación política de las mujeres Fortalecimiento de los procesos organizativos de las mujeres indígenas de la sierra nevada de Gonawindua. Mininterior, con base al acuerdo intersectorial con la </t>
    </r>
    <r>
      <rPr>
        <b/>
        <sz val="9"/>
        <color theme="1"/>
        <rFont val="Arial"/>
        <family val="2"/>
      </rPr>
      <t>MPC -  IM-168.</t>
    </r>
  </si>
  <si>
    <t>Actas, memorandos,oficios,  listados de asistencia, registro fotográfico y/o documentos asociados a  las acciones realizadas para  fortalecimiento de los procesos organizativos de las mujeres indígenas de la Sierra Nevada de Gonawindua.</t>
  </si>
  <si>
    <r>
      <rPr>
        <b/>
        <sz val="9"/>
        <rFont val="Arial"/>
        <family val="2"/>
      </rPr>
      <t>Componenete 5 a cargo de Mininterior.</t>
    </r>
    <r>
      <rPr>
        <sz val="9"/>
        <color theme="1"/>
        <rFont val="Arial"/>
        <family val="2"/>
      </rPr>
      <t xml:space="preserve">
Porcentaje de avance en el diseño, concertación e implementación de la estrategia que incluye el componente 5.
Hito 1 Diseño de la estrategia 15%-2023
Hito 2 Concertación de la estrategia 25%- 2023
Hito 3 Implementación de la estrategia 60%-2024, 2025, 2026</t>
    </r>
  </si>
  <si>
    <t xml:space="preserve">Numero de acciones implementadas  del componente de fortalecimiento y participación política de las mujeres/ Número de acciones concertadas del componente  de fortalecimiento y participación política de las mujeres *100
</t>
  </si>
  <si>
    <r>
      <t xml:space="preserve">El Gobierno Nacional, en cabeza del Ministerio del Interior apoyará el proceso de formación y capacitación de las mujeres de la Amazonía del programa "Dialogando y viviendo los derechos en la comunidad" que permite articular procesos de sensibilización, comunicación, formación de liderazgos y transmisión de conocimientos sobre los derechos de las mujeres indígenas, con base al acuerdo sectorial con la </t>
    </r>
    <r>
      <rPr>
        <b/>
        <sz val="9"/>
        <color theme="1"/>
        <rFont val="Arial"/>
        <family val="2"/>
      </rPr>
      <t>MRA- IT2-192.</t>
    </r>
  </si>
  <si>
    <r>
      <t>Actas, memorandos,oficios,  listados de asistencia, registro fotográfico y/o documentos asociados a  las acciones realizadas para  apoyar el proceso de formación y capacitación de las mujeres de la Amazonía del programa "Dialogando y viviendo los derechos en la comunidad".</t>
    </r>
    <r>
      <rPr>
        <sz val="9"/>
        <rFont val="Arial"/>
        <family val="2"/>
      </rPr>
      <t>Documentos asociados a la suscripción de un convenio con la MRA.</t>
    </r>
  </si>
  <si>
    <t>Mujeres indígenas formadas por departamento que participan en el proceso de formación "Dialogando y Viviendo los Derechos en la Comunidad"</t>
  </si>
  <si>
    <t>Número de mujeres indígenas formadas por departamento que participan en el proceso de formación "Dialogando y Viviendo los Derechos en la Comunidad".</t>
  </si>
  <si>
    <t xml:space="preserve">5.6 </t>
  </si>
  <si>
    <t>La Dirección de Asuntos Indígenas-DAI, en el marco del  Plan de Acción Nacional,  de la Resolución No.1325 de 2.000 en Colombia, acompañara los espacios que convoque el Grupo de Género y Diversidad del Ministerio del Interior,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Así mismo acompañar espacios para la protección de las mujeres y niñas indígenas, en relación  a la promoción de los derechos humanos y la garantía de su integridad física, su salud y su seguridad económica,incluidos los actos de violencia sexual y violencia basada en el género.</t>
  </si>
  <si>
    <t xml:space="preserve">Actas, memorandos,oficios,  listados de asistencia, registro fotográfico y/o documentos asociados a  las acciones realizadas para acompañar los espacios que convoque el Grupo de Género y Diversidad, con el fin de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t>
  </si>
  <si>
    <t>Número de espacios acompañados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t>
  </si>
  <si>
    <t>Número de espacios acompañados por parte de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Número de espacios convocados a la DAI para garantizar la participación en la construcción y consolidación de la paz, en especial, el progreso alcanzado en lo que respecta a la incorporación de la mujer indígena y sus intereses en los procesos de toma de decisiones, relacionados con la prevención, la gestión y la solución de conflictos, espacios para la protección de las mujeres y niñas indígenas, en relación  a la promoción de los derechos humanos y la garantía de su integridad física, su salud y su seguridad económica,incluidos los actos de violencia sexual y violencia basada en el género X 100</t>
  </si>
  <si>
    <t>Acuerdos Etnico del Plan Marco de Implementación -A.E 27, B.E 17, B.E 18, B.E 20, F.E.8, F.E.5, C.E.9, C.E.10</t>
  </si>
  <si>
    <t>Decreto ley 893 de 2017
PAFI-  Ley 1448 de 2011, Decreto 893 de 2017</t>
  </si>
  <si>
    <t>El Ministerio del Interior desarrollará en el marco de su misionalidad las acciones que le correspondan en el Plan Marco de Implementación-PMI y en el Acuerdo Final de Paz-AFP, enmarcadas en el Plan de Gobierno de la denominada  "Paz Total".</t>
  </si>
  <si>
    <t>Porcentaje de acciones ejecutadas para  el cumplimiento del Plan Marco de Implementación-PMI y del Acuerdo Final de Paz-AFP, enmarcadas en el Plan de Gobierno de la denominada  "Paz Total".</t>
  </si>
  <si>
    <t>En el primer trimestre de la vigencia 2024, se desarrollaron nueve (9) acciones en el marco de su misionalidad las acciones que le correspondan en el Plan Marco de Implementación-PMI y en el Acuerdo Final de Paz -AFP, enmarcadas en el Plan de Gobierno de la denominada “Paz Total”.</t>
  </si>
  <si>
    <t xml:space="preserve">En el segundo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
</t>
  </si>
  <si>
    <t>En el tercer  trimestre de la vigencia 2024, de 2 actividades asociadas a la presente iniciativa, 2 tenían programada meta para este trimestre, de las cuales se ejecutaron avances en  las 2 actividades correspondientes y pertinentes en el marco de su misionalidad las acciones que le correspondan en el Plan Marco de Implementación-PMI y en el Acuerdo Final de Paz -AFP, enmarcadas en el Plan de Gobierno de la denominada “Paz Total”, arrojando una ejecución de la iniciativa del 100%.</t>
  </si>
  <si>
    <t>En el tercer  trimestre del 2025, de 7 actividades asociadas a la presente iniciativa, 7 tenían programadas metas para este trimestre, de las cuales se ejecutaron 3 actividades correspondientes a que El Ministerio del Interior desarrollará en el marco de su misionalidad las acciones que le correspondan en el Plan Marco de Implementación-PMI y en el Acuerdo Final de Paz-AFP, enmarcadas en el Plan de Gobierno de la denominada  "Paz Total". Arrojando una ejecución de la iniciativa del 14%.</t>
  </si>
  <si>
    <r>
      <t>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t>
    </r>
    <r>
      <rPr>
        <b/>
        <sz val="9"/>
        <color theme="1"/>
        <rFont val="Arial"/>
        <family val="2"/>
      </rPr>
      <t xml:space="preserve"> MPC -  IT2-76</t>
    </r>
    <r>
      <rPr>
        <sz val="9"/>
        <color theme="1"/>
        <rFont val="Arial"/>
        <family val="2"/>
      </rPr>
      <t xml:space="preserve"> y en los aspectos  relacionados a la misionalidad y competencias  de la DAI.</t>
    </r>
  </si>
  <si>
    <t xml:space="preserve">Documentos asociados a la incorporación  e implementación del enfoque indígena en los procesos para la paz, documentos asociados a la formulación e implementación de los Planes de Acción Inmediata PAI.                                                                         Insumos, productos parciales y avances verificables asociados al ciclo de formulación, implementación y seguimiento de los PAI, incluyendo actividades preparatorias, metodológicas, técnicas, participativas, administrativas y de articulación interinstitucional, asociados a  las acciones realizadas para  formular  e Implementar los Planes de Acción Inmediata -PAI- en el marco de la implementación del Capítulo Étnico del Acuerdo de Paz.                                            </t>
  </si>
  <si>
    <r>
      <t xml:space="preserve">A. Porcentaje de Planes Nacionales de Reforma Rural Integral o Planes Sectoriales del AFP con enfoque indígena definidos en actualización e implementación.
</t>
    </r>
    <r>
      <rPr>
        <b/>
        <sz val="9"/>
        <color theme="1"/>
        <rFont val="Arial"/>
        <family val="2"/>
      </rPr>
      <t>Hito 1</t>
    </r>
    <r>
      <rPr>
        <sz val="9"/>
        <color theme="1"/>
        <rFont val="Arial"/>
        <family val="2"/>
      </rPr>
      <t xml:space="preserve">: Identificación del enfoque indígena en los Planes Nacionales de Reforma Rural Integral o Planes Sectoriales del AFP con la MPC. 
</t>
    </r>
    <r>
      <rPr>
        <b/>
        <sz val="9"/>
        <color theme="1"/>
        <rFont val="Arial"/>
        <family val="2"/>
      </rPr>
      <t>Hito 2</t>
    </r>
    <r>
      <rPr>
        <sz val="9"/>
        <color theme="1"/>
        <rFont val="Arial"/>
        <family val="2"/>
      </rPr>
      <t xml:space="preserve">: Concertación, actualización y ajustes intersectorial e incorporación del enfoque indígena en los Planes Nacionales de Reforma Rural Integral o Planes Sectoriales del AFP entre las entidades del Gobierno Nacional: Vicepresidencia. 30% (2024 15%, 2025 15%)
</t>
    </r>
    <r>
      <rPr>
        <b/>
        <sz val="9"/>
        <color theme="1"/>
        <rFont val="Arial"/>
        <family val="2"/>
      </rPr>
      <t>Hito 3</t>
    </r>
    <r>
      <rPr>
        <sz val="9"/>
        <color theme="1"/>
        <rFont val="Arial"/>
        <family val="2"/>
      </rPr>
      <t xml:space="preserve">: Concertación con el equipo de la MPC y las entidades del gobierno nacional.  20% (2024 10%, 2025 10%)
</t>
    </r>
    <r>
      <rPr>
        <b/>
        <sz val="9"/>
        <color theme="1"/>
        <rFont val="Arial"/>
        <family val="2"/>
      </rPr>
      <t>Hito 4</t>
    </r>
    <r>
      <rPr>
        <sz val="9"/>
        <color theme="1"/>
        <rFont val="Arial"/>
        <family val="2"/>
      </rPr>
      <t>: Implementación de acciones para la incorporación del enfoque indígena en los Planes Nacionales de Reforma Rural Integral o Planes Sectoriales proyectadas para 2024-2026. 30% (2024 10%, 2025 10% 2026 10%)</t>
    </r>
  </si>
  <si>
    <t>Fórmula de cálculo indicador A: Número de acciones realizadas de acuerdo a la misionalidad de la DAI para la identificación del enfoque; concertación y actualización de los PNRRI / Número de acciones programadas y/o concertadas de acuerdo a la misionalidad de la DAI para la identificación del enfoque; concertación y actualización de los PNRRI
Hito 4:  Número Planes Nacionales de Reforma Rural Integral con enfoque indígena incorporado/ Número total de Planes Nacionales de Reforma Rural Integral con enfoque indígena</t>
  </si>
  <si>
    <t>6.1.1</t>
  </si>
  <si>
    <r>
      <t>El Gobierno Nacional, a través del Ministerio del Interior y conforme las funciones y responsabilidades de su competencia, garantizará la incorporación e implementación del enfoque indígena en los procesos para la paz, y en la implementación y actualización de cada uno de los 16 Planes Nacionales de Reforma Rural Integral o Planes sectoriales del AFP(Acuerdo Final de Paz); además, formulará e implementará los Planes de Acción Inmediata(PAI) para Pueblos Indígenas en Riesgo de Extinción física y cultural y no priorizados al Decreto 893 de 2017, con base al acuerdo intersectorial con la</t>
    </r>
    <r>
      <rPr>
        <b/>
        <sz val="9"/>
        <color theme="1"/>
        <rFont val="Arial"/>
        <family val="2"/>
      </rPr>
      <t xml:space="preserve"> MPC -  IT2-76</t>
    </r>
    <r>
      <rPr>
        <sz val="9"/>
        <color theme="1"/>
        <rFont val="Arial"/>
        <family val="2"/>
      </rPr>
      <t xml:space="preserve"> y en los aspectos  relacionados a la misionalidad y competencias  de la DAI.
</t>
    </r>
  </si>
  <si>
    <t xml:space="preserve">Documentos asociados a la incorporación  e implementación del enfoque indígena en los procesos para la paz, docuemntos asociados a la formulación e implementación de los Planes de Acción Inmediata PAI.       Insumos, productos parciales y avances verificables asociados al ciclo de formulación, implementación y seguimiento de los PAI, incluyendo actividades preparatorias, metodológicas, técnicas, participativas, administrativas y de articulación interinstitucional, asociados a  las acciones realizadas para  formular  e Implementar los Planes de Acción Inmediata -PAI- en el marco de la implementación del Capítulo Étnico del Acuerdo de Paz.        </t>
  </si>
  <si>
    <t xml:space="preserve">B. Porcentaje de planes de acción inmediata para Pueblos Indígenas en riesgo de extinción física y cultural y no priorizados en el Decreto 893 de 2017 formulados e implementados
Hito 1: Identificar el inventario de Pueblos Indígenas en Riesgo de Extinción física y cultural y no priorizados en el Decreto 893 de 2017.10% 2023
Hito 2:  Diseño de la ruta para la formulación de los Planes de Acción inmediata con los Pueblos Indígenas en Riesgo de Extinción física y cultural y no priorizados en el Decreto 893 de 2017 que lo soliciten. 10% 2023
Hito 3: Formulación de los Planes priorizados.30% (2024-2026) (10% 2024, 10% 2025, 10% 2026).
Hito 4: Concertación y protocolización de los planes.  30% (2024-2026) (10% 2024, 10% 2025, 10% 2026)
Hito 5: Implementación de las acciones de los planes de acción inmediata para Pueblos Indígenas.2024-2026. 20% (6% 2024, 7% 2025, 7% 2026)
</t>
  </si>
  <si>
    <t>Fórmula de cálculo indicador B: Número acciones realizadas para identificar el inventario, diseñar la ruta para la formulación, formular,  concertar y protocolizar los planes de acción inmediata para Pueblos Indígenas en competencia del Ministerio del Interior/ Número de acciones programadas para identificar el inventario, diseñar la ruta para la formulación, formular,  concertar y protocolizar los planes de acción inmediata para Pueblos Indígenas concertadas en el marco de la competencia del Ministerio del Interior.
H5: Número acciones de los planes de acción inmediata para Pueblos Indígenas implementadas en competencia del Ministerio del Interior/ Número de acciones de los planes de acción inmediata para Pueblos Indígenas concertadas en el marco de la competencia del Ministerio del Interior</t>
  </si>
  <si>
    <r>
      <t>El Gobierno Nacional, en concertación con los pueblos indígenas de los departamentos de la Amazonía colombiana priorizando las áreas no municipalizadas, formulará e Implementará los Planes de Acción Inmediata -PAI- (equivalente a PDET) en el marco de la implementación del Capítulo Étnico del Acuerdo de Paz, en coordinación y articulación con las entidades competentes, a través de la financiación de las iniciativas concertadas con los pueblos indígenas amazónicos acorde con sus estructuras organizativas y espacios de diálogo y concertación, con base al acuerdo sectorial con la</t>
    </r>
    <r>
      <rPr>
        <b/>
        <sz val="9"/>
        <color theme="1"/>
        <rFont val="Arial"/>
        <family val="2"/>
      </rPr>
      <t xml:space="preserve"> MRA- IT1-182.</t>
    </r>
  </si>
  <si>
    <t xml:space="preserve">           Insumos, productos parciales y avances verificables asociados al ciclo de formulación, implementación y seguimiento de los PAI, incluyendo actividades preparatorias, metodológicas, técnicas, participativas, administrativas y de articulación interinstitucional, asociados a  las acciones realizadas para  formular  e Implementar los Planes de Acción Inmediata -PAI- en el marco de la implementación del Capítulo Étnico del Acuerdo de Paz.              </t>
  </si>
  <si>
    <t>Porcentaje de avance en la implementación de los planes de Acción Inmediata - PAI para las AATIS y/o Territorios Indígenas Puestos en funcionamiento de las ANM.</t>
  </si>
  <si>
    <t>Número de acciones ejecutadas para la  la  implementación de los planes de Acción Inmediata - PAI para las AATIS y/o Territorios Indígenas Puestos en funcionamiento de las ANM/Número de acciones concertadas para la  implementación de los planes de Acción Inmediata - PAI para las AATIS y/o Territorios Indígenas Puestos en funcionamiento de las ANM *100</t>
  </si>
  <si>
    <t>Realizar acciones de los “Programas de Desarrollo con Enfoque Territorial (PDET)* para los pueblos y comunidades étnicas priorizados, relacionadas con las iniciativas de los departamentos priorizados, en el marco de la implementación del Acuerdo en la Política de Paz con Legalidad.</t>
  </si>
  <si>
    <t xml:space="preserve">Documentos, actas, memorandos,oficios,  listados de asistencia, registro fotográfico y/o documentos  asociados  a acciones de los “Programas de Desarrollo con Enfoque Territorial (PDET)” para los pueblos y comunidades étnicas, relacionadas con las iniciativas de los departamentos priorizados en el marco de la implementación del Acuerdo en la Política de Paz con Legalidad.
</t>
  </si>
  <si>
    <t xml:space="preserve">Acciones de los “Programas de Desarrollo con Enfoque Territorial (PDET)” para los pueblos y comunidades étnicas, relacionadas con las iniciativas de los departamentos priorizados en el marco de la implementación del Acuerdo en la Política de Paz con Legalidad.
</t>
  </si>
  <si>
    <t xml:space="preserve">Número de acciones realizadas  “Programas de Desarrollo con Enfoque Territorial (PDET)” para los pueblos y comunidades étnicas, relacionadas con las iniciativas de los departamentos priorizados en el marco de la implementación del Acuerdo en la Política de Paz con Legalidad/Número de acciones programadas “Programas de Desarrollo con Enfoque Territorial (PDET)” para los pueblos y comunidades étnicas, relacionadas con las iniciativas de los departamentos priorizados en el marco de la implementación del Acuerdo en la Política de Paz con Legalidad
</t>
  </si>
  <si>
    <t>Realizar las 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</si>
  <si>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 xml:space="preserve">     Insumos, productos parciales y avances verificables asociados al ciclo de formulación, implementación y seguimiento de los PAI, incluyendo actividades preparatorias, metodológicas, técnicas, participativas, administrativas y de articulación interinstitucional, asociados a  las acciones realizadas para  formular  e Implementar los Planes de Acción Inmediata -PAI- en el marco de la implementación del Capítulo Étnico del Acuerdo de Paz.     </t>
  </si>
  <si>
    <t>Acciones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t>
  </si>
  <si>
    <t>Número de acciones realizadas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2017"./Número de acciones programadas pertinentes e inmediatas en pro de la conservación de los pueblos indígenas, con base en la ficha del Plan Marco de Implemntación -PMI A.27 " Porcentaje de planes de acción inmediata concertados, diseñados, formulados, ejecutados y con seguimiento de acuerdo a los planes de vida, planes de salvaguarda de las comunidades y pueblos indígenas que se encuentran en riesgo de extición fisica y cultural que no están priorizados por el decreto No. 893 de 2017" x100</t>
  </si>
  <si>
    <t>Realizar las acciones pertinentes para garantizar la participación de las mujeres indígenas y Rom, con base en la ficha del Plan Marco de Implementación-PMI B.E.18 "Medidas afirmativas para garantizar la participación de las mujeres indígenas y Rom en el territorio nacional".</t>
  </si>
  <si>
    <t>Documentos asociados a las acciones pertinentes para garantizar la participación de las mujeres indígenas y Rom,  relacionadas con la ficha del Plan Marco de Implementación-PMI B.E.18 "Medidas afirmativas para garantizar la participación de las mujeres indígenas y Rom en el territorio nacional".</t>
  </si>
  <si>
    <t>Acciones pertinentes para garantizar la participación de las mujeres indígenas y Rom, con base en la ficha del Plan Marco de Implementación-PMI B.E.18 "Medidas afirmativas para garantizar la participación de las mujeres indígenas y Rom en el territorio nacional".</t>
  </si>
  <si>
    <t>Número de acciones realizadas para garantizar la participación de las mujeres indígenas y Rom, con base en la ficha del Plan Marco de Implementación-PMI B.E.18 "Medidas afirmativas para garantizar la participación de las mujeres indígenas y Rom en el territorio nacional"./Número de acciones programadas para garantizar la participación de las mujeres indígenas y Rom, con base en la ficha del Plan Marco de Implementación-PMI B.E.18 "Medidas afirmativas para garantizar la participación de las mujeres indígenas y Rom en el territorio nacional" x100</t>
  </si>
  <si>
    <t>Realizar las acciones pertinentes para medir el avance en la ejecución de proyectos por cada una de las comunidades étnicas; con base en la ficha del Plan Marco de Implementación-PMI F:E.5 "Proyectos ejecutados por pueblos étnicos para la implementación del acuerdo final".</t>
  </si>
  <si>
    <t>Documentos asociados a  las acciones pertinentes que mida el avance en la ejecución de proyectos por cada una de las comunidades étnicas; relacionadas con la ficha del Plan Marco de Implementación-PMI F:E.5 "Proyectos ejecutados por pueblos étnicos para la implementación del acuerdo final".</t>
  </si>
  <si>
    <t>Acciones pertinentes para medir el avance en la ejecución de proyectos por cada una de las comunidades étnicas; con base en la ficha del Plan Marco de Implementación-PMI F:E.5 "Proyectos ejecutados por pueblos étnicos para la implementación del acuerdo final".</t>
  </si>
  <si>
    <t>Número de acciones realizadas  para medir el avance en la ejecución de proyectos por cada una de las comunidades étnicas; con base en la ficha del Plan Marco de Implementación-PMI F:E.5 "Proyectos ejecutados por pueblos étnicos para la implementación del acuerdo final"./Número de acciones programadas  para medir el avance en la ejecución de proyectos por cada una de las comunidades étnicas; con base en la ficha del Plan Marco de Implementación-PMI F:E.5 "Proyectos ejecutados por pueblos étnicos para la implementación del acuerdo final" x100</t>
  </si>
  <si>
    <t>Ley 2294 del 19 de mayo de 2023- Artículo No. 357</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</si>
  <si>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</si>
  <si>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Porcentaje de acciones realizadas para el cumplimiento de la administración y ejecución de los recursos asignados al Fondo del Buen Vivir, en el marco del  Plan   Nacional de Desarrollo 2022-2026 "Colombia Potencia Mundial de la Vida".</t>
  </si>
  <si>
    <t>(Número de actividades asociadas a la iniciativa desarrolladas/Número de actividades asociadas a la iniciativa programadas)</t>
  </si>
  <si>
    <t>En la vigencia 2023, se realizá el proyecto de Decreto Reglamentario del Fondo del Buen Vivir, con base en el artículo No. 357 de la Ley No. 2294 de 2023 del  Plan Nacional de Desarrollo 2022-2026, con el fin de facilitar la implementación y garantía de acciones asociadas al Fondo.</t>
  </si>
  <si>
    <t>En el primer trimestre de la vigencia 2024, se realizan tres (3) acciones correspondientes y pertinentes relacionadas con la administración y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t>
  </si>
  <si>
    <t>En el segundo trimestre de la vigencia 2024, de 3 actividades asociadas a la presente iniciativa, 0 tenían programada meta para este trimestre, por consiguiente no se ejecutaron avances en las  actividades correspondientes y pertinentes para dar cumplimiento al Artículo No. 357 de la Ley 2294 de 2023 del Plan Nacional de Desarrollo-PND 2022-2026 "Colombia Potencia Mundial de la Vida",arrojando una ejecución de la iniciativa del 0%.</t>
  </si>
  <si>
    <t>En el tercer  trimestre del 2025, de 1 actividad asociada a la presente iniciativa, 1 tenía programada meta para este trimestre, de las cual se ejecutó 1 actividad correspondientes a que 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Arrojando una ejecución de la iniciativa del 100%.</t>
  </si>
  <si>
    <t xml:space="preserve">Realizar la financiación de iniciativas en seis (6) líneas de acción: 
1. Acceso a los derechos territoriales de los Pueblos Indígenas.
2.Emprendimiento, desarrollo económico propio y soberanía alimentaria de los Pueblos Indígenas.
3.Fortalecimiento de la institucionalidad de los Pueblos Indígenas de Colombia
4.Infraestructura y servicios públicos.
5.Empoderamiento de las mujeres, familia y generaciones de los pueblos indígenas.
6. Fortalecimiento de mecanismos de protección propia de los pueblos indígenas. </t>
  </si>
  <si>
    <t xml:space="preserve">Documentos, actas, oficios, listados de asistencia, registros fotográficos de  la 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</si>
  <si>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t xml:space="preserve">Financiación de iniciativas en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t>
  </si>
  <si>
    <r>
      <t>Número de iniciativas financiadas en el marco de la actividacualquiera de las seis líneas de acción 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t>
    </r>
    <r>
      <rPr>
        <sz val="9"/>
        <rFont val="Arial"/>
        <family val="2"/>
      </rPr>
      <t xml:space="preserve">/Número de iniciativas presentadas y aprobadas en cualquiera de las seis líneas de acción en el marco de la actividad </t>
    </r>
    <r>
      <rPr>
        <sz val="9"/>
        <color theme="1"/>
        <rFont val="Arial"/>
        <family val="2"/>
      </rPr>
      <t>acceso a los derechos territoriales de los Pueblos Indígenas, emprendimiento, desarrollo económico propio y soberanía alimentaria de los Pueblos Indígenas, fortalecimiento de la institucionalidad de los Pueblos Indígenas de Colombia, infraestructura y servicios públicos, empoderamiento de las mujeres, familia y generaciones de los pueblos indígenas, fortalecimiento de mecanismos de protección propia de los pueblos indígenas X100</t>
    </r>
  </si>
  <si>
    <t>Política Pública de Diálogo Social.
Decreto 2186 de 2021.</t>
  </si>
  <si>
    <r>
      <t xml:space="preserve">El Ministerio del Interior garantizará y promoverá  espacios de diálogo y concertación entre las autoridades de los Pueblos Indígenas y las Instituciones, en el orden nacional, regional y local, </t>
    </r>
    <r>
      <rPr>
        <sz val="9"/>
        <color rgb="FFFF0000"/>
        <rFont val="Arial"/>
        <family val="2"/>
      </rPr>
      <t xml:space="preserve"> </t>
    </r>
    <r>
      <rPr>
        <sz val="9"/>
        <rFont val="Arial"/>
        <family val="2"/>
      </rPr>
      <t>y a su vez fomentando el funcionamiento de mecanismos e instancias de participación, que incentivan el desarrollo de diversos instrumentos para promover procesos participativos.</t>
    </r>
  </si>
  <si>
    <t>Porcentaje de espacios de diálogo y concertación del orden nacional regional y local, entre las autoridades de los Pueblos Indígenas y las Instituciones, garantizados.</t>
  </si>
  <si>
    <t>Espacios de diálogo y concertación del orden nacional regional y local , entre las autoridades de los Pueblos Indígenas y las Instituciones garantizados/ Espacios de diálogo y concertación del orden nacional regional y local , entre las autoridades de los Pueblos Indígenas y las Instituciones convocados x100.</t>
  </si>
  <si>
    <t>En el primer trimestre de la vigencia 2024, se llevaron a cabo siete (7) espacios del Orden Nacional, Mesa Permanente de Concertación-MPC y con la Mesa Regional Amazónica-MRA y trece (13) espacios de diálogo  local, entre las autoridades de los pueblos indígenas y las entidades del gobierno nacional. Para un total de veinte (20) Espacios de Diálogo atendidos.</t>
  </si>
  <si>
    <t>En el segundo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</si>
  <si>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espacios del Orden Nacional, Mesa Permanente de Concertación-MPC y con la Mesa Regional Amazónica-MRA y  espacios de diálogo  local, entre las autoridades de los pueblos indígenas y las entidades del gobierno nacional, arrojando una ejecución de la iniciativa del 100%.</t>
  </si>
  <si>
    <t xml:space="preserve">Convocar y garantizar espacios de diálogo y concertación del orden nacional,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</si>
  <si>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nacional, entre las autoridades de los pueblos indígenas y las entidades del gobierno nacional. </t>
  </si>
  <si>
    <t>Porcentaje de espacios de diálogo y concertación del orden nacional, entre las autoridades de los Pueblos Indígenas y las Instituciones convocados y garantizados.</t>
  </si>
  <si>
    <r>
      <t xml:space="preserve">
</t>
    </r>
    <r>
      <rPr>
        <b/>
        <sz val="9"/>
        <color theme="1" tint="0.34998626667073579"/>
        <rFont val="Arial"/>
        <family val="2"/>
      </rPr>
      <t>Número de espacios de diálogo de orden nacional convocados y garantizados  desarrollados/Número de espacios  convocados y garantizados  programados*100</t>
    </r>
  </si>
  <si>
    <t xml:space="preserve">Convocar y garantizar espacios de diálogo y concertación de orden regional y local, entre las autoridades de los pueblos indígenas y las entidades del gobierno nacional.
</t>
  </si>
  <si>
    <t xml:space="preserve">Actas, memorandos,oficios,  listados de asistencia, registro fotográfico y/o documentos asociados a  las acciones realizadas para convocar y garantizar espacios de diálogo y concertación del orden regional y local , entre las autoridades de los pueblos indígenas y las entidades del gobierno nacional. </t>
  </si>
  <si>
    <t>Porcentaje de espacios de diálogo y concertación del orden regional y local ,entre las autoridades de los Pueblos Indígenas y las Instituciones, garantizados.</t>
  </si>
  <si>
    <r>
      <t xml:space="preserve">
</t>
    </r>
    <r>
      <rPr>
        <b/>
        <sz val="9"/>
        <color theme="1" tint="0.34998626667073579"/>
        <rFont val="Arial"/>
        <family val="2"/>
      </rPr>
      <t>Número de espacios de diálogo de orden regional y local convocados y garantizados  desarrollados/Número de espacios  convocados y garantizados  programados*100</t>
    </r>
  </si>
  <si>
    <r>
      <t>Generar espacios de diálogo y concertación de acuerdo a usos y costumbres de los Pueblos indígenas , previa solicitud de intervención,</t>
    </r>
    <r>
      <rPr>
        <sz val="9"/>
        <rFont val="Arial"/>
        <family val="2"/>
      </rPr>
      <t xml:space="preserve"> y a su vez fomentando el funcionamiento de mecanismos e instancias de participación, que incentivan el desarrollo de diversos instrumentos para promover procesos participativos.</t>
    </r>
  </si>
  <si>
    <t>Espacios de diálogo y concertación atendidos de acuerdo a usos y costumbres de los Pueblos indígenas , previa solicitud de intervención.</t>
  </si>
  <si>
    <t>Espacios de diálogo y concertación atendidos apoyados/ Número de espacios informados*100</t>
  </si>
  <si>
    <t>En la vigencia 2023, la DAIRM asisité  a doscientos sesenta y dos (262) espacios de Diálogo previa solicitud de intervención de acuerdo con los usos y costumbres de los Pueblos Indígenas, en ventitres (23) municipios de Colombia.</t>
  </si>
  <si>
    <t>En el primer trimestre de la vigencia 2024, se llevaron a cabo treinta (30)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t>
  </si>
  <si>
    <t>En el segundo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</si>
  <si>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En el tercer trimestre de la vigencia 2024, de 1 actividad asociada a la presente iniciativa, 1 tenía programada meta para este trimestre, de las cual se ejecutó avance en la actividad correspondientes y pertinentes a espacios de diálogo y concertación de acuerdo a usos y costumbres de los Pueblos indígenas, previa solicitud de intervención, y a su vez fomentando el funcionamiento de mecanismos e instancias de participación, que incentivan el desarrollo de diversos instrumentos para promover procesos participativos. Arrojando una ejecución de la iniciativa del 100 %.</t>
  </si>
  <si>
    <t xml:space="preserve">Atender Espacios de diálogo y concertación  de acuerdo a usos y costumbres de los pueblos indígenas previa solicitud de intervención. 
</t>
  </si>
  <si>
    <t xml:space="preserve">Actas, memorandos,oficios,  listados de asistencia, registro fotográfico y/o documentos asociados a  las acciones realizadas para  llevar a cabo y atender  los espacios de diálogo y concertación de acuerdo a usos y costumbres de los pueblos indígenas previa solicitud de intervención. </t>
  </si>
  <si>
    <t xml:space="preserve">Espacios de dialogo y concertación atendidos para la atención a la resolución de conflictos  de acuerdo a los usos y costumbres de los pueblos indígenas del país, previa solicitud de intervención. </t>
  </si>
  <si>
    <t>Número de espacios de diálogo  y concertación atendidos para la atención a la resolución de conflictos  de acuerdo a los usos y costumbres de los pueblos indígenas del país, previa solicitud de intervención  /Espacios de diálogo  y concertación solicitados para  intervención en  la resolución de conflictos  de acuerdo a los usos y costumbres de los pueblos indígenas del país  * 100</t>
  </si>
  <si>
    <t>Decreto No. 1811 de 2017</t>
  </si>
  <si>
    <t>8. Reducción de la desigualdad social
33. Tránsito hacia la paz total
35. Justicia étnica y racial
36.Una Sociedad para el Cuidado de la Vida</t>
  </si>
  <si>
    <t xml:space="preserve">Garantizar el cumplimiento, desarrollo y seguimiento de los acuerdos adquiridos por el Gobierno Nacional con el Consejo Regional Indígena del Cauca (CRIC) en el marco del Decreto No. 1811 de 2017.
</t>
  </si>
  <si>
    <t>Porcentaje de acciones ejecutadas para  el cumplimiento de los acuerdos adquiridos por el Gobierno Nacional con el Consejo Regional Indígena del Cauca (CRIC) en el marco del Decreto No. 1811 de 2017.</t>
  </si>
  <si>
    <t>Acciones desarrolladas para el cumplimiento de acuerdos  en el marco del Decreto 1811 de 2017/ Acuerdos suscritos en el marco de la Comisión Mixta x 100</t>
  </si>
  <si>
    <t xml:space="preserve">En la vigencia 2023, se realizan acciones para el cumplimiento de cuatro (4) acuerdos suscritos con los Pueblos Indígenas del Cauca,  en el marco del decreto No. 1811 de 2017: </t>
  </si>
  <si>
    <t>En el primer trimestre de la vigencia 2024, se garantiza el cumplimiento, desarrollo y seguimiento de los acuerdos adquiridos por el Gobierno Nacional con el Consejo Regional Indígena del Cauca (CRIC) en el marco del Decreto No. 1811 de 2017, mediante el inicio del proceso contractual de un convenio, cuyo objeto  “Aunar esfuerzos entre el Ministerio del Interior a través de la Dirección de Asuntos Indígenas, Rom y Minorías y el Consejo Regional Indígena del Cauca-CRIC, para el fortalecimiento de la comisión mixta como estrategia de gobierno propio, y garantizar el desarrollo integral de la política pública indígena para los pueblos indígenas del Cauca- Cric”, creada mediante decreto 1811 de 2017”, por valor de $ 2.000.000.000, radicado en la subdirección de gestión contractual con alcance el 21/03/2024  y que cuenta con el Certificado de Disponibilidad Presupuestal.</t>
  </si>
  <si>
    <t>En el segundo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</si>
  <si>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En el tercer  trimestre de la vigencia 2024, de 2 actividades asociadas a la presente iniciativa, 2 tenían programada meta para este trimestre, de las cuales se ejecutaron avances en 2 actividades correspondientes y pertinentes a garantizar el cumplimiento, desarrollo y seguimiento de los acuerdos adquiridos por el Gobierno Nacional con el Consejo Regional Indígena del Cauca (CRIC) en el marco del Decreto No. 1811 de 2017, arrojando una ejecución de la iniciativa del 100%.</t>
  </si>
  <si>
    <t>En el segundo  trimestre del 2025, las 7 actividades asociadas a la presente iniciativa tenian programada metas para este trimestre, de las cuales se ejecutaron 4 actividades correspondientes al fortalecimiento de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Así mismo, correspondientes a convocatoria a las sesiones de la Comisión Mixta. Arrojando una ejecución de la iniciativa del 57,14%.</t>
  </si>
  <si>
    <t>En el tercer  trimestre del 2025, de 7 actividades asociadas a la presente iniciativa, 7 tenían programadas metas para este trimestre, de las cual se ejecutó 1 actividad correspondientes a garantizar el cumplimiento, desarrollo y seguimiento de los acuerdos adquiridos por el Gobierno Nacional con el Consejo Regional Indígena del Cauca (CRIC) en el marco del Decreto No. 1811 de 2017. Arrojando una ejecución de la iniciativa del 14%.</t>
  </si>
  <si>
    <t xml:space="preserve">Convocar las sesiones de la Comisión Mixta para el Desarrollo Integral de la Política Pública Indígena para el CRIC en el marco del decreto No. 1811 de 2017.
</t>
  </si>
  <si>
    <t>Actas, memorandos,oficios,  listados de asistencia, registro fotográfico y/o documentos asociados a  las acciones realizadas para convocar las sesiones de la Comisión Mixta para el Desarrollo Integral de la Política Pública Indígena para el CRIC en el marco del decreto No. 1811 de 2017.</t>
  </si>
  <si>
    <t>Porcentaje de convocatoria a las sesiones de la Comisión Mixta.</t>
  </si>
  <si>
    <t>Número de convocatorias realizadas  de las sesiones de la Comisión Mixta para el Desarrollo Integral de la Política Pública Indígena para el CRIC en el marco del decreto No. 1811 de 2017/ Número de convocatorias solicitadas y /o concertadas de las sesiones de la Comisión Mixta para el Desarrollo Integral de la Política Pública Indígena para el CRIC en el marco del decreto No. 1811 de 2017*100</t>
  </si>
  <si>
    <t>C-3701-1000-32</t>
  </si>
  <si>
    <t>Fortalecimiento de los procesos de gobierno propio de las comunidades indígenas en el departamento del cauca</t>
  </si>
  <si>
    <t xml:space="preserve">Fortalecer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</si>
  <si>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Actas, memorandos,oficios,  listados de asistencia, registro fotográfico y/o documentos asociados a  las acciones realizadas para fortalecer los procesos de gobierno propio de las comunidades indígenas en el departamento del Cauca.</t>
  </si>
  <si>
    <t xml:space="preserve">Porcentaje de avance en el fortalecimiento de los procesos de gobierno propio de las comunidades indígenas en el departamento del Cauca por medio de mecanismos para garantizar la seguridad y convivencia y  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</si>
  <si>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 mecanismos para garantizar la seguridad y convivencia y  el fortalecimiento a sus estructuras propias de gobierno y generacionales para garantizar la pervivencia de sus comunidades.  *100</t>
  </si>
  <si>
    <t>Fortalecer mecanismos para garantizar la seguridad y convivencia.</t>
  </si>
  <si>
    <t>Porcentaje de avance en el fortalecimiento de los procesos de gobierno propio de las comunidades indígenas en el departamento del Cauca por medio de mecanismos para garantizar la seguridad y convivencia</t>
  </si>
  <si>
    <t>Número de acciones realizadas para el fortalecimiento de los procesos de mecanismos para garantizar la seguridad y convivencia del Departamento del Cauca/Número de acciones concertadas para el fortalecimiento de los procesos de mecanismos para garantizar la seguridad y convivencia del Departamento del Cauca.*100</t>
  </si>
  <si>
    <t>Fortalecimiento a sus estructuras propias de gobierno y generacionales para garantizar la pervivencia de sus comunidades (Documento de planeación preliminar)</t>
  </si>
  <si>
    <t xml:space="preserve">Porcentaje de avance en el fortalecimiento de los procesos de gobierno propio de las comunidades indígenas en el departamento del Cauca por medio del  fortalecimiento a sus estructuras propias de gobierno y generacionales para garantizar la pervivencia de sus comunidades. </t>
  </si>
  <si>
    <t>Número de acciones realizadas para el fortalecimiento de los procesos de gobierno propio de las comunidades indígenas del Departamento del Cauca por medio del fortalecimiento a sus estructuras propias de gobierno y generacionales para garantizar la pervivencia de sus comunidades. /Número de acciones concertadas para el fortalecimiento de los procesos de gobierno propio de las comunidades indígenas del Departamento del Cauca por medio del fortalecimiento a sus estructuras propias de gobierno y generacionales para garantizar la pervivencia de sus comunidades.  *100</t>
  </si>
  <si>
    <t>Formular o actualizar Instrumentos de planeación propios  o sus equivalentes a partir de la información consolidada en los ejercicios de evaluación de los 127 resguardos (Documento de planeación validado)</t>
  </si>
  <si>
    <t>Porcentaje de instrumentos propios formulados</t>
  </si>
  <si>
    <t>Numero de documentos propios formulados/número de documentos propios programados.*100</t>
  </si>
  <si>
    <t>Optimización y operatividad de una herramienta tecnológica para seguimientos y evaluación de los Instrumentos de planeación propios o sus equivalentes Construcciones de planes de acción y formulación de proyectos (Implementación del sistema)</t>
  </si>
  <si>
    <t>Persentacion de la operatividad de la herramienta tecnológica de seguimiento y evaluación de los instrumentos de planificacion</t>
  </si>
  <si>
    <t>Porcentaje de avance en el funcionamiento de la herramienta tecnológica</t>
  </si>
  <si>
    <t>Número de modulos de la herramienta en funcionamiento/ Nuemero de modulos propuestaos para el funcionamiento total de la herrmaienta. *100</t>
  </si>
  <si>
    <t>10.7</t>
  </si>
  <si>
    <t>Fortalecer los Comités de seguimiento y equipos políticos del nivel local, zonal y regional a través de herramientas tecnológicas y banco de proyectos implementando dinámicas de monitoreo (Pruebas y aseguramiento de calidad)</t>
  </si>
  <si>
    <t>Actas, memorandos,oficios,  listados de asistencia, registro fotográfico y/o documentos asociados a  las acciones realizadas para fortalecer los comités de seguimiento y equipos políticos del nivel local, zonal y regional en el departamento del Cauca.</t>
  </si>
  <si>
    <t>Numero de talleres desarrollados para el fortalecimiento de los comités de seguimiento</t>
  </si>
  <si>
    <t>Sentencia T-302 de 2017</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</si>
  <si>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</si>
  <si>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Porcentaje de acciones ejecutadas para  el cumplimiento del plan de acción concertado en el marco de la Sentencia T-302 de 2017.</t>
  </si>
  <si>
    <t xml:space="preserve">En la vigencia 2023, no se alcanzarón resultados asociados a esta iniciativa debido a que de acuerdo a la misionalidad de la Dirección de Asuntos Indígenas, Rom y Minorías-DAIRM, no se debe implementar el Plan de Acción enmarcado en la sentencia, el rol de la DAIRM, es el acompañamiento a los espacios de diálogo relacionados con la Sentencia. </t>
  </si>
  <si>
    <t xml:space="preserve">
En el primer trimestre de la vigencia 2024, se realizan seis (6) acciones relacionadas con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t>
  </si>
  <si>
    <t xml:space="preserve">En el segundo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
</t>
  </si>
  <si>
    <t>En el tercer  trimestre de la vigencia 2024, de 2 actividades asociadas a la presente iniciativa, 2 tenían programada meta para este trimestre, de las cuales se ejecutaron avances en 2 actividades correspondientes y pertinentes a 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 , arrojando una ejecución de la iniciativa del 100%.</t>
  </si>
  <si>
    <t xml:space="preserve">Asistir a los espacios de diálogo social relacionados con el cumplimiento del plan de acción concertado en el marco de la Sentencia T-302 de 2017. 
</t>
  </si>
  <si>
    <t xml:space="preserve">Actas, memorandos,oficios,  listados de asistencia, registro fotográfico y/o documentos asociados a asistencia a  los espacios de diálogo social relacionados con el cumplimiento del plan de acción concertado en el marco de la Sentencia T-302 de 2017. </t>
  </si>
  <si>
    <t>Porcentaje de espacios de diálogo social en el marco del cumplimiento de la Sentencia T-302 de 2017.</t>
  </si>
  <si>
    <t>Número de espacios de diálogo social acompañados en el marco del cumplimiento de la Sentencia T-302 de 2017/Número de espacios de diálogo social solicitados para acompañamiento en el marco del cumplimiento de la Sentencia T-302 de 2017*100</t>
  </si>
  <si>
    <t xml:space="preserve">Realizar las acciones pertinentes de acuerdo a la misionalidad de la DAI, que resulten de los espacios de diálogo social relacionados con el cumplimiento del plan de acción concertado en el marco de la Sentencia T-302 de 2017. </t>
  </si>
  <si>
    <t>Actas, memorandos,oficios,  listados de asistencia, registro fotográfico y/o documentos asociados a la realización de acciones  pertinentes de acuerdo con la misionalidad de la DAI, relacionadas con la Sentencia T-302 de 2017.</t>
  </si>
  <si>
    <t>Porcentaje de acciones realizadas por la DAI para el cumplimiento de la Sentencia T-302 de 2017.</t>
  </si>
  <si>
    <t>Número de acciones atendidas en el marco del cumplimiento del plan de acción de la Sentencia T-302 de 2017/ Número de acciones requeridas en el marco del cumplimiento del plan de acción*100</t>
  </si>
  <si>
    <t>Ley 1448 de 2011
Decreto 4633 de 2011</t>
  </si>
  <si>
    <t>8. Reducción de la desigualdad social
32. Implementación del acuerdo de paz con las farc
33. Tránsito hacia la paz total
35. Justicia étnica y racial
36.Una Sociedad para el Cuidado de la Vida</t>
  </si>
  <si>
    <t xml:space="preserve">El Ministerio del Interior garantizará el acompañamiento y la coordinación de los procesos de Consulta Previa de los Planes Integrales de Reparación Colectiva-PIRC,  a las víctimas del conflicto armado, en el marco del Decreto No. 4633 de 2011.
</t>
  </si>
  <si>
    <t>Porcentaje de acciones ejecutadas para garantizar el acompañamiento a los procesos de Consulta Previa de los PIRC.</t>
  </si>
  <si>
    <t>En la vigencia 2023, se realizan ochenta y cinco (85) acompañamientos en los procesos de Consulta Previa de los Planes Integrales de Reparación Colectiva a las victimas- PIRC, en el marco del decreto No. 4366 de 2011.</t>
  </si>
  <si>
    <t xml:space="preserve">En el primer trimestre de la vigencia 2024, se realizó una (1) acción relacionada con el acompañamiento y la coordinación de los procesos de Consulta Previa de los Planes Integrales de Reparación Colectiva-PIRC,  a las víctimas del conflicto armado, en el marco del Decreto No. 4633 de 2011.
</t>
  </si>
  <si>
    <t>En el segundo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100 %.</t>
  </si>
  <si>
    <t>En el tercer trimestre de la vigencia 2024, de 3 actividades asociadas a la presente iniciativa, 3 tenían programada meta para este trimestre, de las cuales se ejecutaron  avances en 3 actividades correspondientes y pertinentes al acompañamiento y la coordinación de los procesos de Consulta Previa de los Planes Integrales de Reparación Colectiva-PIRC,  a las víctimas del conflicto armado, en el marco del Decreto No. 4633 de 2011, arrojando una ejecución de la iniciativa del 100%.</t>
  </si>
  <si>
    <t xml:space="preserve">Realizar las convocatorias a los procesos de Consulta Previa de los Planes Integrales de Reparación Colectiva- PIRC.
</t>
  </si>
  <si>
    <t>Actas, memorandos,oficios,  listados de asistencia, registro fotográfico y/o documentos asociados para  las convocatorias a los procesos de Consulta Previa de los Planes Integrales de Reparación Colectiva- PIRC.</t>
  </si>
  <si>
    <t>Convocatorias realizadas para  los procesos de consulta previa de los Planes Integrales de Reparación colectiva (PIRC).</t>
  </si>
  <si>
    <t>Número de convocatorias realizadas para los  procesos de consulta previa de los PIRC/Número de convocatorias solicitadas par los procesos de consulta previa de los PIRC*100</t>
  </si>
  <si>
    <t xml:space="preserve">Atender a las solicitudes realizadas por la Unidad de Atención y Reparación Integral a las Víctimas del Conflicto Armado-UARIV,  de las jornadas con el fin de realizar el acompañamiento en las diferentes fases de los Planes Integrales de Reparación Colectiva- PIRC, garantizando el diálogo político y la concertación en el marco de la Consulta Previa de los PIRC.
</t>
  </si>
  <si>
    <t>Actas, memorandos,oficios,  listados de asistencia, registro fotográfico y/o documentos asociados para  atender las solicitudes realizadas por la Unidad de Atención y Reparación Integral a las Víctimas del Conflicto Armado-UARIV.</t>
  </si>
  <si>
    <t>Acompañamientos realizados a la UARIV para garantizar el diálogo y concertación de Consulta Previa de los PIRC.</t>
  </si>
  <si>
    <t>Número de acompañamientos realizados a la UARIV/Número de acompañamientos solicitados por la UARIV*100</t>
  </si>
  <si>
    <t xml:space="preserve">Asistir a las jornadas o espacios del Sistema Nacional de Atención y Reparación Integral a las Victimas- SNARIV,  convocados por la Unidad de Atención y Reparación Integral a las Víctimas del Conflicto Armado-UARIV, con el objetivo de realizar planes, programas y proyectos para la atención y reparación a las víctimas en el marco de la ley No. 1448 de 2011.
</t>
  </si>
  <si>
    <t>Actas, memorandos,oficios,  listados de asistencia, registro fotográfico y/o documentos asociados para Asistir a las jornadas o espacios del Sistema Nacional de Atención y Reparación Integral a las Victimas- SNARIV,  convocados por la Unidad de Atención y Reparación Integral a las Víctimas del Conflicto Armado-UARIV</t>
  </si>
  <si>
    <t>Asistencias a las jornadas del Sistema Nacional de Atención y Reparación Integral a las Victimas- SNARIV.</t>
  </si>
  <si>
    <t>Número de asistencias realizadas  a espacios del SNARIV/ Número de asistencias convocadas a espacios del SNARIV*100</t>
  </si>
  <si>
    <t>Decreto 2186 de 2021.</t>
  </si>
  <si>
    <t>12. Reducción de la violencia en zonas de conflicto
32. Implementación del acuerdo de paz con las farc
33. Tránsito hacia la paz total
35. Justicia étnica y racial
36.Una Sociedad para el Cuidado de la Vida</t>
  </si>
  <si>
    <t xml:space="preserve">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
</t>
  </si>
  <si>
    <t>Porcentaje de Acciones de atención a las recomendaciones de las medidas de protección del Cerrem Colectivo, y trámite de denuncias para la promoción y prevención de los derechos humanos.</t>
  </si>
  <si>
    <t>En el primer trimestre de la vigencia 2024, se realizaron ciento veinticinco (125)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</si>
  <si>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En el segundo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</si>
  <si>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En el tercer trimestre de la vigencia 2024, de 3 actividades asociadas a la presente iniciativa, 3 tenían programada meta para este trimestre, de las cuales se ejecutaron avances en 3 actividades correspondientes y pertinentes en el marco de 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100%.</t>
  </si>
  <si>
    <t>En el tercer  trimestre del 2025, de 3 actividades asociadas a la presente iniciativa, 3 tenían programadas metas para este trimestre, de las cuales se ejecutaron 2 actividades correspondienteslas medidas de protección del Cerrem Colectivo, recomendaciones de las alertas tempranas y  trámites de denuncias para el  fortalecimiento,  promoción y prevención de los derechos humanos de los pueblos indígenas en todo el territorio nacional. Arrojando una ejecución de la iniciativa del 72,7%.</t>
  </si>
  <si>
    <t xml:space="preserve">Desarrollar actividades  en el marco de medidas de protección  del Cerrem Colectivo.
</t>
  </si>
  <si>
    <t>Actas, memorandos,oficios,  listados de asistencia, registro fotográfico y/o documentos asociados para desarrollar actividades  en el marco de medidas de protección  del Cerrem Colectivo.</t>
  </si>
  <si>
    <t>Actividades desarrolladas por la DAI, en el marco del Cerrem Colectivo.</t>
  </si>
  <si>
    <t>Número de actividades desarrolladas en el marco de Cerrem Colectivo/Número de actividades programadas en el marco del Cerrem Colectivo*100</t>
  </si>
  <si>
    <t xml:space="preserve">Desarrollar actividades de atención en el marco de Alertas Tempranas y Medidas de Protección Colectivas según recomendaciones recibidas por la Defensoría del Pueblo. 
</t>
  </si>
  <si>
    <t xml:space="preserve">Actas, memorandos,oficios,  listados de asistencia, registro fotográfico y/o documentos asociados para Desarrollar actividades de atención en el marco de Alertas Tempranas y medidas de protección colectivas según recomendaciones recibidas por la Defensoría del Pueblo.  </t>
  </si>
  <si>
    <t>Actividades desarrolladas por la DAI, en atención de las recomendaciones realizadas por la Defensoría del Pueblo.</t>
  </si>
  <si>
    <t>Número de actividades desarrolladas en atención a las recomendaciones de la Defensoria del Pueblo/Número de recomendaciones realizadas por la Defensoría del Pueblo *100</t>
  </si>
  <si>
    <t xml:space="preserve">Tramitar ante las entidades correspondientes las denuncias, amenazas y violaciones a  los derechos humanos y colectivos en contra de los Pueblos Indígenas de Colombia allegadas a la Dirección de Asuntos Indígenas, Rom y Minorías-DAI.
</t>
  </si>
  <si>
    <t>Actas, memorandos,oficios,  listados de asistencia, registro fotográfico y/o documentos asociados para tramitar ante las entidades correspondientes las denuncias, amenazas y violaciones a  los derechos humanos y colectivos en contra de los Pueblos Indígenas.</t>
  </si>
  <si>
    <t xml:space="preserve">Denuncias, amenazas y violaciones a los derechos humanos y colectivos en contra de los Pueblos Indígenas tramitados ante las entidades correspondientes. 
</t>
  </si>
  <si>
    <t>Número de trámites realizados ante autoridades correspondientes/Número de denuncias sobre denuncias, amenazas y  violaciones de Derechos Humanos en contra de los Pueblos Indígenas.</t>
  </si>
  <si>
    <t>Indígenas</t>
  </si>
  <si>
    <t xml:space="preserve">
33. Tránsito hacia la paz total
35. Justicia étnica y racial
36.Una Sociedad para el Cuidado de la Vida</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</si>
  <si>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</si>
  <si>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 xml:space="preserve">Porcentaje de Acciones para el fortalecimiento de los procesos organizativos,  estructurales y de capacidad institucional. </t>
  </si>
  <si>
    <t>Presupuesto obligado / Presupuesto apropiado vigente.</t>
  </si>
  <si>
    <t>En la vigencia 2023, se  garantizá técnica y administrativamente el personal para el cumplimiento de los acuerdos del PND 2002-2026, mediante la contratación de ciento treinta y cinco (135) profesionales y/o técnicos en las diferentes áreas de la misionalidad de la Dirección de Asuntos Indígenas, Rom y Minorías.</t>
  </si>
  <si>
    <t>En el primer trimestre de la vigencia 2024, se realizaron tres (3) acciones para fortalecer los procesos organizativos, estructurales y de capacidad institucional de la Dirección de Asuntos Indígenas, Rom y Minorías, con el fin de consolidar la gestión para el desarrollo del funcionamiento misional, estratégico y administrativo de la misma, relacionadas con la contratación de personal y la capacidad institucional de funcionamiento administrativo.</t>
  </si>
  <si>
    <t xml:space="preserve">
En el segundo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32%.
</t>
  </si>
  <si>
    <t xml:space="preserve">
En el tercer  trimestre de la vigencia 2024, de 2 actividades asociadas a la presente iniciativa, 2 tenían programada meta para este trimestre, de las cuales se ejecutaron avances en  las 2 actividades correspondientes y pertinentes para fortalecer los procesos organizativos, estructurales y de capacidad institucional de la Dirección de Asuntos Indígenas, Rom y Minorías-DAIRM, con el fin de consolidar la gestión para el desarrollo del funcionamiento misional, estratégico y administrativo de la misma, relacionadas con la contratación de personal y la capacidad institucional de funcionamiento administrativo. de las programadas, arrojando una ejecución de la iniciativa del 23%.</t>
  </si>
  <si>
    <t>En el segundo  trimestre del 2025, las 2 actividades asociadas a la presente iniciativa tenian programada metas para este trimestre, de la cual se ejecutó 1 actividad correspondiente al funcionamiento administrativo de la Dirección de Asuntos Indígenas, Rom y Minorías, para el cumplimiento misional y estratégico de la misma garantizado. Arrojando una ejecución de la iniciativa del 27,3%.</t>
  </si>
  <si>
    <t>En el tercer  trimestre del 2025, de 2 actividades asociadas a la presente iniciativa, 2 tenían programadas metas para este trimestre, de las cuales se ejecutaron 2 actividades correspondiente a fortalecer los procesos organizativos, estructurales y de capacidad institucional de la Dirección de Asuntos Indígenas, Rom y Minorías,  con el fin de consolidar la gestión para el desarrollo del funcionamiento misional, estratégico y administrativo de la misma. Arrojando una ejecución de la iniciativa del 4,0%.</t>
  </si>
  <si>
    <t xml:space="preserve">Garantizar técnica y administrativamente el personal para el cumplimiento de los acuerdos del PND 2022-2026 Colombia Potencia Mundial de la Vida", con los grupos étnicos indígenas y ROM.
</t>
  </si>
  <si>
    <t xml:space="preserve"> Actas, memorandos,oficios,  listados de asistencia, registro fotográfico y/o documentos asociados para garantizar técnica y administrativamente el personal para el cumplimiento de los acuerdos del PND 2002-2026.</t>
  </si>
  <si>
    <t>Personal contratado para garantizar técnica y administrativamente el cumplimiento de los Acuerdos del PND 2022-2026.</t>
  </si>
  <si>
    <t xml:space="preserve">Garantizar el funcionamiento administrativo de la Dirección de Asuntos Indígenas, Rom y Minorías, para el cumplimiento misional y estratégico de la misma.
</t>
  </si>
  <si>
    <t xml:space="preserve"> Actas, memorandos,oficios,  listados de asistencia, registro fotográfico y/o documentos asociados para Garantizar el funcionamiento administrativo de la Dirección de Asuntos Indígenas, Rom y Minorías.</t>
  </si>
  <si>
    <r>
      <t xml:space="preserve">
</t>
    </r>
    <r>
      <rPr>
        <sz val="9"/>
        <color theme="1" tint="0.34998626667073579"/>
        <rFont val="Arial"/>
        <family val="2"/>
      </rPr>
      <t>Funcionamiento administrativo de la Dirección de Asuntos Indígenas, Rom y Minorías, para el cumplimiento misional y estratégico de la misma garantizado.</t>
    </r>
  </si>
  <si>
    <t xml:space="preserve">
8. Reducción de la desigualdad social
33. Tránsito hacia la paz total
35. Justicia étnica y racial
36.Una Sociedad para el Cuidado de la Vida</t>
  </si>
  <si>
    <t xml:space="preserve">El Ministerio del Interior garantizará el desarrollo Integral de los Pueblos Pastos y Quillacingas.
</t>
  </si>
  <si>
    <t>Porcentaje de Acciones para garantizar el desarrollo integral de los Pueblos Pastos y Quillacingas.</t>
  </si>
  <si>
    <t>En la vigencia 2023, se realizá la suscripción del convenio No. 1531, con el fin de facilitar la implementación y la garantía de acciones asociadas a los compromisos contraídos en el marco de la Minga Indígena de 2019 con los Pueblos Pastos y Quillacingas.</t>
  </si>
  <si>
    <t>En el primer trimestre de la vigencia 2024, se realizaron tres (3) acciones para garantizar el desarrollo Integral de los Pueblos Pastos y Quillacingas, relacionadas con el desarrollo de la Sesión No. 26 de la Mesa Pastos y Qillacingas,  con la revisión técnica del proyecto “Fortalecimiento para el Buen Vivir de los Pueblos Pastos y Quillacingas”, por parte de la Financiera de Desarrollo Territorial-FINDETER, con la revisión técnica  del proyecto “Fortalecer la capacidad organizacional y requerimientos técnicos ante los diferentes órganos del Estado de los emprendimientos indígenas encaminados a fortalecer las economías propias”, presentado por la Fundación Territorial Sol Naciente</t>
  </si>
  <si>
    <t>En el segundo trimestre de la vigencia 2024, de 2 actividades asociadas a la presente iniciativa, 2 tenían programada meta para este trimestre, de las cuales se ejecutaron avances en  las 2 actividades correspondientes y pertinentes para garantizar el desarrollo Integral de los Pueblos Pastos y Quillacingas, arrojando una ejecución de la iniciativa del 100%.</t>
  </si>
  <si>
    <t>En el tercer trimestre de la vigencia 2024, de 3 actividades asociadas a la presente iniciativa, 3 tenián programada meta para este trimestre, de las cuales se ejecutaron avances en 2 actividades correspondientes y pertinentes para garantizar el desarrollo integral de los Pueblos Pastos y Quillacingas, arrojando una ejecución de la inicitaiva del 66%.</t>
  </si>
  <si>
    <t>En el segundo  trimestre del 2025, de 7 actividades asociadas a la presente iniciativa, 6 tenian programada metas para este trimestre, de las cuales se ejecutó 1 actividad correspondiente a la realización de procesos de discusión y concertación sobre temas asociados al gobierno propio de los Pastos y Quillacingas. Arrojando una ejecución de la iniciativa del 17%.</t>
  </si>
  <si>
    <t>En el tercer  trimestre del 2025, de 7 actividades asociadas a la presente iniciativa, 7 tenían programadas metas para este trimestre, de las cuales se ejecutaron 7 actividades correspondiente a que El Ministerio del Interior garantizará el desarrollo Integral de los Pueblos Pastos y Quillacingas. Arrojando una ejecución de la iniciativa del 82,7%.</t>
  </si>
  <si>
    <t xml:space="preserve">Fortalecer la Mesa Regional Permanente de Concertación para el desarrollo integral de los Pueblos Pastos y Quillacingas en el marco del decreto No. 2194 de 2013.
</t>
  </si>
  <si>
    <t>Documentos asociados a la suscripción del convenio para fortalecer la Mesa Regional Permanente de Concertación para el desarrollo integral de los Pueblos Pastos y Quillacinga</t>
  </si>
  <si>
    <t>Porcentaje de procesos de fortalecimiento.</t>
  </si>
  <si>
    <t xml:space="preserve">
Número de procesos de fortalecimiento de las mesa regional ejecutados/ Número de procesos de fortalecimiento concertados con la mesa regional *100</t>
  </si>
  <si>
    <t>C-3701-1000-37</t>
  </si>
  <si>
    <t>Fortalecimiento de los sistemas de gobierno propio de los pueblos y comunidades indígenas de los Pastos y Quillacingas del departamento de Nariño</t>
  </si>
  <si>
    <t xml:space="preserve">Fortalecer las asociaciones y organizaciones de los pueblos Pastos y Quillacingas.
</t>
  </si>
  <si>
    <t xml:space="preserve"> Actas, memorandos,oficios,  listados de asistencia, registro fotográfico y/o documentos asociados para fortalecer las asociaciones y organizaciones de los pueblos Pastos y Quillacingas.</t>
  </si>
  <si>
    <t xml:space="preserve"> Asociaciones y Organizaciones fortalecidas. </t>
  </si>
  <si>
    <t>Número de asociaciones y organizaciones fortalecidas.</t>
  </si>
  <si>
    <t>Realizar el fortalecimiento de los sistemas de gobierno propio de los pueblos y comunidades indígenas de los Pastos y Quillacingas, del Departamento de Nariño.</t>
  </si>
  <si>
    <t xml:space="preserve"> Actas, memorandos,oficios,  listados de asistencia, registro fotográfico y/o documentos asociados para  fortalecimiento de los sistemas de gobierno propio de los pueblos y comunidades indígenas de los Pastos y Quillacingas.</t>
  </si>
  <si>
    <t>Fortalecimiento de los sistemas de gobierno propio de los pueblos y comunidades indígenas de los Pastos y Quillacingas, del Departamento de Nariño.</t>
  </si>
  <si>
    <t>Número de sistemas de gobierno propio de los pueblos y comunidades indígenas de los Pastos y Quillacingas, del Departamento de Nariño fortalecidos/Número de sistemas de gobierno propio de los pueblos y comunidades indígenas de los Pastos y Quillacingas, del Departamento de Nariño concertados para el fortalecimiento X100</t>
  </si>
  <si>
    <t>Realizar financiación de iniciativas en fortalecimiento principalmente en infraestructura vial mediante construcción de placas huellas que faciliten la movilidad de las comunidades de los pastos y quillacingas, adicionalmente en materia productiva, mujer familia y generación, gobierno propio, integridad cultural, armonía y equilibrio para la defensa de la vida.</t>
  </si>
  <si>
    <t>iniciativas presentadas para financiacion</t>
  </si>
  <si>
    <t>Porcentaje de iniciativas aprobadas</t>
  </si>
  <si>
    <t>Numero de iniciativas aprobadas/numero de iniciativas presentadas</t>
  </si>
  <si>
    <t>Realizar asistencia técnica en formulación y presentación de proyectos e iniciativas propias de las comunidades indígenas de los Pastos y Quillacingas</t>
  </si>
  <si>
    <t>Formación y fortalecimiento del ejercicio del gobierno propio de las comunidades indígenas de los Pastos y Quillacingas.</t>
  </si>
  <si>
    <t>Realizar procesos de discusión y concertación sobre temas asociados al gobierno propio de los Pastos y Quillacingas.</t>
  </si>
  <si>
    <t xml:space="preserve"> Actas, memorandos,oficios,  listados de asistencia, registro fotográfico y/o documentos concertados de los pueblos y comunidades indígenas de los Pastos y Quillacingas.</t>
  </si>
  <si>
    <t>Numero de espacios de discusión</t>
  </si>
  <si>
    <t>Numero de espacios de discusión realizados</t>
  </si>
  <si>
    <t xml:space="preserve">
8. Reducción de la desigualdad social
33. Tránsito hacia la paz total
35. Justicia étnica y racial
</t>
  </si>
  <si>
    <t xml:space="preserve">El Ministerio del Interior garantizará el funcionamiento del Sistema de Información Indígena de Colombia-SIIC.
</t>
  </si>
  <si>
    <t>Porcentaje de Funcionamiento del Sistema de Información Indígena de Colombia.</t>
  </si>
  <si>
    <t>En la vigencia 2023, con el propósito de realizar el mejoramiento y fortalecimiento del Sistema de Información Indígena de Colombia-SIIC y sus respectivos modulos, se realizó el diligenciamiento del formato establecido para viabilidad y control de cambio para proyectos tecnológicos, formato a su vez fue publicado en el Sistema Integrado de Gestión Institucional-SIGI.</t>
  </si>
  <si>
    <t>En el primer trimestre de la vigencia 2024, el Ministerio del Interior garantizó el funcionamiento del Sistema de Información Indígena de Colombia, mediante tres (3) acciones generales relacionadas con el registro de autoridades, los trámites asociados al registro y actualización de Asociaciones Indígenas en el marco del decreto No. 1088 de 1.993 y registros censales de comunidades indígenas.</t>
  </si>
  <si>
    <t>En el segundo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</si>
  <si>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En el tercer trimestre de la vigencia 2024, de 3 actividades asociadas a la presente iniciativa, 3 tenían programada meta para este trimestre, de las cuales se ejecutaron avances en las 3 actividades correspondientes y pertinentes para garantizar el funcionamiento del Sistema de Información Indígena de Colombia, arrojando una ejecución de la iniciativa del 100%.</t>
  </si>
  <si>
    <t>En el segundo  trimestre del 2025, las 3 actividades asociadas a la presente iniciativa tenian programada metas para este trimestre, de las cuales se ejecutaron las 3 actividades correspondientes al Registro de Autoridades Indígenas realizados, trámites asociados al registro y actualización de Asociciones Indígenas y  registros censales. . Arrojando una ejecución de la iniciativa del 47%.</t>
  </si>
  <si>
    <t>En el tercer  trimestre del 2025, de 3 actividades asociadas a la presente iniciativa, 3 tenían programadas metas para este trimestre, de las cuales se ejecutaron 3 actividades correspondientes a que el Ministerio del Interior garantizará el funcionamiento del Sistema de Información Indígena de Colombia-SIIC. Arrojando una ejecución de la iniciativa del 24%.</t>
  </si>
  <si>
    <t xml:space="preserve">Realizar el registro de autoridades indígenas según solicitudes recibidas.
</t>
  </si>
  <si>
    <t xml:space="preserve"> Actas, memorandos,oficios,  listados de asistencia, registro fotográfico y/o documentos asociados para realizar el registro de autoridades indígenas según solicitudes recibidas.</t>
  </si>
  <si>
    <t>Registro de Autoridades Indígenas realizados.</t>
  </si>
  <si>
    <t>Número de registros de autoridades tramitadas/Número de registros de autoridades solicitadas*100</t>
  </si>
  <si>
    <t>16.2</t>
  </si>
  <si>
    <t xml:space="preserve">Realizar los trámites asociados al registro y actualización de Asociaciones Indígenas en el marco del decreto No. 1088 de 1.993 y emitir las certificaciones correspondientes.
</t>
  </si>
  <si>
    <t xml:space="preserve"> Actas, memorandos,oficios,  listados de asistencia, registro fotográfico y/o documentos asociados para  realizar los trámites asociados al registro y actualización de Asociaciones Indígenas en el marco del decreto No. 1088 de 1.993.</t>
  </si>
  <si>
    <t>Trámites asociados al registro y actualización de Asociciones Indígenas.</t>
  </si>
  <si>
    <t>Número de trámites realizados/Número de trámites proyectados*100</t>
  </si>
  <si>
    <t>16.3</t>
  </si>
  <si>
    <t xml:space="preserve">Realizar registros censales de comunidades indígenas de acuerdo con lo estipulado en los artículos 7 y 35 de la ley 89 de 1.980 y las directrices establecidas por la Dirección de Asuntos Indígenas, Rom y Minorías en concordancia con la circular interna sobre la materia y demás normas aplicables. 
</t>
  </si>
  <si>
    <t xml:space="preserve"> Actas, memorandos,oficios,  listados de asistencia, registro fotográfico y/o documentos asociados para  realizar registros censales de comunidades indígenas de acuerdo con lo estipulado en los artículos 7 y 35 de la ley 89 de 1.980.</t>
  </si>
  <si>
    <t>Porcentaje de registros censales.</t>
  </si>
  <si>
    <t>Número de registros censales cargados/número de registros censales solicitados*100</t>
  </si>
  <si>
    <t xml:space="preserve">El Ministerio del Interior garantizará el registro de las comunidades indígenas, según requerimiento de las autoridades indígenas.
</t>
  </si>
  <si>
    <t>Porcentaje de registro de las comunidades indígenas, según requerimiento.</t>
  </si>
  <si>
    <t>En la vigencia 2023, se relizan diez (10) estudios etnológicos a comunidades Zenú como insumos técnicos que podrán ser utilizados en el marco del congreso Zenú, garantizando el registro de las comunidades indígenas según requerimientos de las autoridades indígenas.</t>
  </si>
  <si>
    <t>En el primer trimestre de la vigencia 2024, el Ministerio del Interior garantiza el registro de las comunidades indígenas, según requerimiento de las autoridades indígenas, mediante siete (7) acciones relacionadas con estudios y conceptos etnológicos, así como expedición de resolución.</t>
  </si>
  <si>
    <t>En el segundo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</si>
  <si>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En el tercer trimestre de la vigencia 2024, de 1 actividad asociada a la presente iniciativa, 1 tenía programada meta para este trimestre, la cual se ejecutó avances en la actividad correspondiente y pertinente para garantizar el registro de las comunidades indígenas, según requerimiento de las autoridades indígenas, arrojando una ejecución de la iniciativa del 100%.</t>
  </si>
  <si>
    <t>En el segundo  trimestre del 2025, la actividad asociada a la presente iniciativa tenia programada metas para este trimestre, de las cual se ejecutó la actividad correspondiente a los estudios etnológicos para determinar el registro de comunidades indígenas.  Arrojando una ejecución de la iniciativa del 2%.</t>
  </si>
  <si>
    <t>En el tercer  trimestre del 2025, de 1 actividad asociada a la presente iniciativa, 1 tenía programada meta, correspondiente a que El Ministerio del Interior garantizará el registro de las comunidades indígenas, según requerimiento de las autoridades indígenas. Arrojando una ejecución de la iniciativa del 27%.</t>
  </si>
  <si>
    <t>17.1</t>
  </si>
  <si>
    <t xml:space="preserve">Adelantar los estudios etnológicos para determinar el registro de comunidades indígenas.
</t>
  </si>
  <si>
    <t xml:space="preserve"> Actas, memorandos,oficios,  listados de asistencia, registro fotográfico y/o documentos asociados para  adelantar los estudios etnológicos para determinar el registro de comunidades indígenas.</t>
  </si>
  <si>
    <t>Estudios Etnológicos.</t>
  </si>
  <si>
    <t>Número de estudios etnológicos realizados</t>
  </si>
  <si>
    <t>Decreto 2186 de 2021.
PAFI-  Ley 1448 de 2011</t>
  </si>
  <si>
    <t xml:space="preserve">
8. Reducción de la desigualdad social
32.Implementación del acuerdo de paz con las farc
33. Tránsito hacia la paz total
35. Justicia étnica y racial
36.Una Sociedad para el Cuidado de la Vida</t>
  </si>
  <si>
    <t>El Ministerio del Interior garantizará el cumplimiento de las órdenes judiciales emanadas por las altas cortes y la atención a los requerimientos realizados por los entes de control.</t>
  </si>
  <si>
    <t>Porcentaje de cumplimiento de ordenes judiciales y requerimientos de los entes de control.</t>
  </si>
  <si>
    <t>En la vigencia 2023, se atienden cuatrocientos ochenta y tres ( 483 )ordenes judiciales que vinculan a la Dirección de Asuntos Indígenas, Rom y Minorías- DAIRM y se atienden los procesos relacionados con dichas ordenes judiciales.</t>
  </si>
  <si>
    <t xml:space="preserve">En el primer trimestre de la vigencia 2024, el Ministerio del Interior garantizó el cumplimiento de las órdenes judiciales emanadas por las altas cortes y la atención a los requerimientos realizados por los entes de control, así:
• Se realizaron 339 acciones de cumplimiento derivadas de las órdenes judiciales emanadas por las Altas Cortes. 
• Se realizaron 68 acciones derivadas de los requerimientos que realizaron los entes de control en relación con los pueblos y las comunidades indígenas.
Para un total de 407 acciones derivadas. 
</t>
  </si>
  <si>
    <t xml:space="preserve">En el segundo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
</t>
  </si>
  <si>
    <t>En el tercer trimestre de la vigencia 2024, de 4 actividades asociadas a la presente iniciativa, 4 tenían programada meta para este trimestre, de las cuales se ejecutaron avances en  las 4 actividades correspondientes y pertinentes para garantizar el cumplimiento de las ordenes judiciales emanadas por las Altas Cortes y la atención a los requerimientos realizados por los Entes de Control, arrojando una ejecución de la iniciativa del 100%.</t>
  </si>
  <si>
    <t>En el segundo  trimestre del 2025, las 4 actividades asociadas a la presente iniciativa tenian programadas metas para este trimestre, de las cuales se ejecutaron las 4 actividades correspondientes al cumplimiento a  las órdenes judiciales emanadas por las altas cortes, Implementar una matriz para el diligenciamiento y seguimiento a la información  relacionada con el cumplimiento de las órdenes emanadas por las altas cortes, atender y dar respuesta a los requerimientos que realicen los entes de control en relación con  los pueblos y comunidades indígenas e Implementar una matriz para el diligenciamiento y seguimiento a la información relacionada con las respuestas de los requerimientos que realizan los entes de control sobre los pueblos y comunidades indígenas. Arrojando una ejecución de la iniciativa del 73,4%.</t>
  </si>
  <si>
    <t>En el tercer  trimestre del 2025, de 4 actividades asociadas a la presente iniciativa, 4 tenía programada meta, correspondiente a que El Ministerio del Interior garantizará el cumplimiento de las órdenes judiciales emanadas por las altas cortes y la atención a los requerimientos realizados por los entes de control. Arrojando una ejecución de la iniciativa del 87%.</t>
  </si>
  <si>
    <t>18.1</t>
  </si>
  <si>
    <t>Dar cumplimiento a  las órdenes judiciales emanadas por las altas cortes.</t>
  </si>
  <si>
    <t xml:space="preserve"> Actas, memorandos,oficios,  listados de asistencia, registro fotográfico y/o documentos jurídicos asociados para  dar cumplimiento a  las órdenes judiciales emanadas por las altas cortes.</t>
  </si>
  <si>
    <t>Cumplimiento de Ordenes Judiciales.</t>
  </si>
  <si>
    <t>Número de ordenes judiciales cumplidas/Número de ordenes judiciales que vínculan a la DAI*100</t>
  </si>
  <si>
    <t>18.2</t>
  </si>
  <si>
    <t>Implementar una matriz para el diligenciamiento y seguimiento a la información  relacionada con el cumplimiento de las órdenes emanadas por las altas cortes.</t>
  </si>
  <si>
    <t xml:space="preserve"> Matriz para el diligenciamiento y seguimiento a la información  relacionada con el cumplimiento de las órdenes emanadas por las altas cortes.</t>
  </si>
  <si>
    <t>Matriz para el diligenciamiento y seguimiento de cumplimiento.</t>
  </si>
  <si>
    <t>Número de  seguimientos en las matriz  de diligenciamiento al cumplimiento de ordenes judiciales.</t>
  </si>
  <si>
    <t>18.3</t>
  </si>
  <si>
    <t xml:space="preserve">Atender y dar respuesta a los requerimientos que realicen los entes de control en relación con  los pueblos y comunidades indígenas. </t>
  </si>
  <si>
    <t xml:space="preserve"> Actas, memorandos,oficios,  listados de asistencia, registro fotográfico y/o documentos jurídicos asociados para atender y dar respuesta a los requerimientos que realicen los entes de control en relación con  los pueblos y comunidades indígenas. </t>
  </si>
  <si>
    <t>Porcentaje de respuesta a los requerimientos realizados por los entes de control.</t>
  </si>
  <si>
    <t>Número de requerimientos atendidos/Número de requerimientos solicitado*100</t>
  </si>
  <si>
    <t>18.4</t>
  </si>
  <si>
    <t>Implementar una matriz para el diligenciamiento y seguimiento a la información relacionada con las respuestas de los requerimientos que realizan los entes de control sobre los pueblos y comunidades indígenas.</t>
  </si>
  <si>
    <t xml:space="preserve"> Matriz para el diligenciamiento y seguimiento a la información  relacionada con las respuestas de los requerimientos que realizan los entes de control sobre los pueblos y comunidades indígenas.</t>
  </si>
  <si>
    <t>Número de  seguimientos en las matriz  de diligenciamiento al cumplimiento de requerimientos entes de control.</t>
  </si>
  <si>
    <t>Sentencia T-025 de 2004
Decreto 2186 de 2021.
PAFI-  Ley 1448 de 2011</t>
  </si>
  <si>
    <t>8. Reducción de la desigualdad social
12. Reducción de la violencia en zonas de conflicto
32. Implementación del acuerdo de paz con las farc
33. Tránsito hacia la paz total
35. Justicia étnica y racial
36.Una Sociedad para el Cuidado de la Vida</t>
  </si>
  <si>
    <t xml:space="preserve">El Ministerio del Interior en el marco de la sentencia T-025 y los autos de seguimiento, brindará atención integral a la población desplazada. 
</t>
  </si>
  <si>
    <t>Porcentaje de Acciones para la atención integral a la población desplazada en el marco de la sentencia T-025.</t>
  </si>
  <si>
    <t>En la vigencia 2023, se realiza la formulación y concertación de dieciseis (16) Planes de Salvaguarda para el proceso de implementación de los mismos, en el marco de la elaboración de una estrategia dirigida a evitar la desaparición fisica y cultural de los pueblos indígenas en el marco de la Sentencia T-025 y los autos de seguimiento.</t>
  </si>
  <si>
    <t>: En el primer trimestre de la vigencia 2024, se realizan seis (6) acciones en el marco de la sentencia T-025 y los autos de seguimiento, para brindar atención integral a la población desplazada, relacionadas con el fortalecimiento del gobierno propio y con informe acerca de los avances, rezagos y retrocesos en la superación del Estado de Cosas Inconstitucional (ECI) declarado mediante la sentencia T-025 de 2004.</t>
  </si>
  <si>
    <t>En el segundo trimestre de la vigencia 2024, de  3 actividades asociadas a la presente iniciativa, 3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</si>
  <si>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En el tercer trimestre de la vigencia 2024, de  3 actividades asociadas a la presente iniciativa, 2 tenían programada meta para este trimestre, de las cuales se ejecutaron avances en 3 actividades correspondientes y pertinentes en el marco de la sentencia T-025 y los autos de seguimiento, para brindar atención integral a la población desplazada, arrojando una ejecución de la iniciativa del 100%.</t>
  </si>
  <si>
    <t>En el tercer  trimestre del 2025, de 3 actividades asociadas a la presente iniciativa, 2 tenían programadas metas para este trimestre, de las cuales se ejecutó una actividad correspondiente a que el Ministerio del Interior, en el marco de la sentencia T-025 y los autos de seguimiento, brindará atención integral a la población desplazada. Arrojando una ejecución de la iniciativa del 50%.</t>
  </si>
  <si>
    <t>Apoyar a los pueblos indígenas en el fortalecimiento del Gobierno Propio, en el marco de la sentencia T-025 Planes de Salvaguarda.</t>
  </si>
  <si>
    <t xml:space="preserve"> Actas, memorandos,oficios,  listados de asistencia, registro fotográfico y/o documentos  asociados a apoyar a los pueblos indígenas en el fortalecimiento del Gobierno Propio. </t>
  </si>
  <si>
    <t>Porcentaje de pueblos indígenas apoyados en el fortalecimiento del gobierno propio.</t>
  </si>
  <si>
    <t>Número de acciones realizadas para el fortalecimiento de los Pueblos Indigenas en el marco de los Planes Salvaguarda/ Número de acciones proyectadas  para el fortalecimiento de los Pueblos Indigenas en el marco de los Planes Salvaguarda *100</t>
  </si>
  <si>
    <t>Informar, en el marco de las competencias de la DAI, acerca de los avances, rezagos y retrocesos en la superación del Estado de Cosas Inconstitucional (ECI) declarado mediante la sentencia T-025 de 2004, con base en los seguimientos de los autos relacionados con la sentencia.</t>
  </si>
  <si>
    <t xml:space="preserve"> Documentos, actas, memorandos,oficios,  listados de asistencia, registro fotográfico y/o documentos  asociados a los avances, rezagos y retrocesos en la superación del Estado de Cosas Inconstitucional (ECI) declarado mediante la sentencia T-025 de 2004, en el marco del seguimiento a los autos relacionados con la sentencia.
</t>
  </si>
  <si>
    <t xml:space="preserve">Informe de avances ,rezagos y retrocesos en la superación del Estado de Cosas Inconstitucional (ECI) declarado mediante la sentencia T-025 de 2004, en el marco del seguimiento a los autos relacionados con la sentencia.
</t>
  </si>
  <si>
    <t>Número de informes de avances ,rezagos y retrocesos en la superación del Estado de Cosas Inconstitucional (ECI) declarado mediante la sentencia T-025 de 2004, en el marco del seguimiento a los autos relacionados con la sentencia.</t>
  </si>
  <si>
    <t>Realizar acciones para los pueblos indígenas que están en riesgo de extinción fisica y cultural, de acuerdo a los Autos de Seguimiento No. 004 de 2009 y No. 266 de 2017 de la Sentencia T-025 de 2004.</t>
  </si>
  <si>
    <t xml:space="preserve"> Documentos, actas, memorandos,oficios,  listados de asistencia, registro fotográfico y/o documentos  asociados a  las acciones  para los pueblos indígenas que están en riesgo de extinción fisica y cultural, de acuerdo a los Autos de Seguimiento No. 004 de 2009 y No. 266 de 2017 de la Sentencia T-025 de 2004.</t>
  </si>
  <si>
    <t>Acciones para los pueblos indígenas que están en riesgo de extinción fisica y cultural, de acuerdo a los Autos de Seguimiento No. 004 de 2009 y No. 266 de 2017 de la Sentencia T-025 de 2004.</t>
  </si>
  <si>
    <t>Número de acciones realizadas para los pueblos indígenas que están en riesgo de extinción fisica y cultural, de acuerdo a los Autos de Seguimiento No. 004 de 2009 y No. 266 de 2017 de la Sentencia T-025 de 2004. /Número de acciones programadas para los pueblos indígenas que están en riesgo de extinción fisica y cultural, de acuerdo a los Autos de Seguimiento No. 004 de 2009 y No. 266 de 2017 de la Sentencia T-025 de 2004.</t>
  </si>
  <si>
    <t xml:space="preserve">Decreto 1953 de 2014 </t>
  </si>
  <si>
    <t>8. Reducción de la desigualdad social
35. Justicia étnica y racial
36.Una Sociedad para el Cuidado de la Vida</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</si>
  <si>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</si>
  <si>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Porcentaje de Acciones para avanzar en la puesta en funcionamiento de los territorios indígenas respecto de la administración de los sistemas propios.</t>
  </si>
  <si>
    <t>En la vigencia 2023, no se realizan convocatorias a los Pueblos Indígenas a los espacios de concertación para la Implementación del Decreto 1953 de 2014, debido a que se identifica que esta iniciativa  no está relacionada en los Acuerdos con la Mesa Permanente de Concertación-MPC, ni con la Mesa Regional Amazónica-MRA, en el marco de la Consulta Previa del Plan Nacional de Desarrollo PND 2022-2026.</t>
  </si>
  <si>
    <t>En el primer trimestre de la vigencia 2024, no se realizaron acciones relacionadas con la puesta en funcionamiento de los territorios indígenas respecto de la administración de los sistemas propios de los pueblos indígenas en el marco del Decreto 1953 de 2014 en su artículo 35 "Mecanismo excepcional de ejecución Pueblo Nukak Maku".</t>
  </si>
  <si>
    <t>En el segundo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</si>
  <si>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En el tercer trimestre de la vigencia 2024, de 2 actividades asociadas a la presente iniciativa, 2 tenían programada meta para este trimestre con la puesta en funcionamiento de los territorios indígenas respecto de la administración de los sistemas propios de los pueblos indígenas en el marco del Decreto 1953 de 2014 en su artículo 35 "Mecanismo excepcional de ejecución Pueblo Nukak Maku", no se realizan avances en ninguna de las actividades, arrojando una ejecución de la iniciativa del 0%.</t>
  </si>
  <si>
    <t>En el segundo  trimestre del 2025, las 2 actividades asociadas a la presente iniciativa tenian programadas metas para este trimestre, de la cual se ejecutó 1 actividad  correspondiente a la generación de los espacios y las condiciones logísticas para las autoridades del Pueblo Nukak realicen reuniones de priorización de los recursos. Arrojando una ejecución de la iniciativa del 50%</t>
  </si>
  <si>
    <t>20.1</t>
  </si>
  <si>
    <t xml:space="preserve">Generar los espacios y las condiciones logísticas para las autoridades del Pueblo Nukak realicen reuniones de priorización de los recursos.
</t>
  </si>
  <si>
    <t xml:space="preserve"> Documentos, actas, memorandos,oficios,  listados de asistencia, registro fotográfico y/o documentos  asociados a los espacios y las condiciones logísticas para las autoridades del Pueblo Nukak realicen reuniones de priorización de los recursos.</t>
  </si>
  <si>
    <t xml:space="preserve">Espacios y las condiciones logísticas para las autoridades del Pueblo Nukak realicen reuniones de priorización de los recursos.
</t>
  </si>
  <si>
    <t xml:space="preserve">Número de espacios realizados con  las condiciones logísticas para las autoridades del Pueblo Nukak realicen reuniones de priorización de los recursos/Número de espacios solicitados con  las condiciones logísticas para las autoridades del Pueblo Nukak realicen reuniones de priorización de los recursos  X 100.
</t>
  </si>
  <si>
    <t>A-03-03-02-14</t>
  </si>
  <si>
    <t>Pueblo Nukak Maku Articulo 35 - Decreto 1953 de 2014</t>
  </si>
  <si>
    <t>20.2</t>
  </si>
  <si>
    <t>Generar las condiciones y capacidades político organizativas para que de manera gradual, el Pueblo Nukak Maku pueda asumir de manera directa la administración de todos sus asuntos autónomamente e el marco de su capacidad de decisión.</t>
  </si>
  <si>
    <t xml:space="preserve"> Documentos, actas, memorandos,oficios,  listados de asistencia, registro fotográfico y/o documentos  asociados a las condiciones y capacidades político organizativas para que de manera gradual, el Pueblo Nukak Maku pueda asumir de manera directa la administración de todos sus asuntos autónomamente e el marco de su capacidad de decisión.</t>
  </si>
  <si>
    <t>Condiciones y capacidades político organizativas para que de manera gradual, el Pueblo Nukak Maku pueda asumir de manera directa la administración de todos sus asuntos autónomamente e el marco de su capacidad de decisión.</t>
  </si>
  <si>
    <t>Número de accciones realizadas para generar las  Condiciones y capacidades político organizativas para que de manera gradual, el Pueblo Nukak Maku pueda asumir de manera directa la administración de todos sus asuntos autónomamente e el marco de su capacidad de decisión/Número de accciones solicitadas  para generar las  Condiciones y capacidades político organizativas para que de manera gradual, el Pueblo Nukak Maku pueda asumir de manera directa la administración de todos sus asuntos autónomamente e el marco de su capacidad de decisión X100</t>
  </si>
  <si>
    <t>Sentencia 4360 de 2018</t>
  </si>
  <si>
    <t>22. Conocimiento que transforma al país
25. Contención de la deforestación transitando a núcleos de desarrollo forestal sostenible
26. Colombia como líder global en acción climática
33. Tránsito hacia la paz total
35. Justicia étnica y racial
36.Una Sociedad para el Cuidado de la Vida</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</si>
  <si>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</si>
  <si>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Porcentaje de Acciones realizadas en el marco de la orden 1 de la Sentencia 4360 de 2018.</t>
  </si>
  <si>
    <t>En el primer trimestre de la vigencia 2024, no se realizaron acciones relacionadas en el marco de la Sentencia 4360 de 2018 “Pacto Intergeneracional por la Vida del Amazonas como herramienta para contrarrestar la deforestación de la Amazonía Colombiana”.</t>
  </si>
  <si>
    <t>En el segundo trimestre de la vigencia 2024, de 3 actividades asociadas a la presente iniciativa, 3 tenían programada meta para este trimestre, de las cuales no se ejecutaron avances en las  actividades correspondientes y pertinentes de las acciones en el marco de la Sentencia No. 4360 de 2018 " Pacto Intergeneracional por la Vida del Amazonas como herramienta para contrarrestar la deforestación de la Amazonía Colombiana", arrojando una ejecución de la iniciativa del 0%.</t>
  </si>
  <si>
    <t>En el tercer trimestre de la vigencia 2024, de 3 actividades asociadas a la presente iniciativa, 3 tenían programada meta para este trimestre, de las cuales,  se ejecutó avances en 1  actividad correspondiente y pertinente de las acciones en el marco de la Sentencia No. 4360 de 2018 " Pacto Intergeneracional por la Vida del Amazonas como herramienta para contrarrestar la deforestación de la Amazonía Colombiana", arrojando una ejecución de la iniciativa del 33%.</t>
  </si>
  <si>
    <t>21.1</t>
  </si>
  <si>
    <t xml:space="preserve">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</si>
  <si>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 xml:space="preserve"> Documentos, actas, memorandos,oficios,  listados de asistencia, registro fotográfico y/o documentos  asociados a Identificar y focalizar esfuerzos institucionales para el 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</si>
  <si>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 xml:space="preserve">Fortalecimiento de los instrumentos de planeación o gestión local comunitaria como planes de vida, de etnodesarrollo e instrumentos de planeación comunitaria con acciones para la prevención de la deforestación, la gestión sociocultural o el manejo sostenible de los bosques apoyados por las instituciones del Estado competentes en sus fases de formulación, implementación y/o seguimiento, en el marco de la Orden 1 de la Sentencia. </t>
  </si>
  <si>
    <t>Número de planes de vida ,  de etnodesarrollo e instrumentos de planeación comunitaria con acciones para la prevención de la deforestación, la gestión sociocultural o el manejo sostenible de los bosques apoyados por las instituciones del Estado formulados, implementados o en seguimiento/Número de planes de vida ,  de etnodesarrollo e instrumentos de planeación comunitaria con acciones para la prevención de la deforestación, la gestión sociocultural o el manejo sostenible de los bosques apoyados por las instituciones del Estado concertados para ser  formulados, implementados o en seguimientoX100</t>
  </si>
  <si>
    <t>21.2</t>
  </si>
  <si>
    <t>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t>
  </si>
  <si>
    <t xml:space="preserve"> Documentos, actas, memorandos,oficios,  listados de asistencia, registro fotográfico y/o documentos  asociados aFomentar el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</si>
  <si>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t>
  </si>
  <si>
    <t xml:space="preserve">Espacios de Diálogo Intercultural  realizados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Espacios de Diálogo Intercultural   solicitados  con el fin de articular, concertar y coordinar entre las autoridades de los territorios indígenas ubicados en las áreas no municipalizadas y otras autoridades públicas, el manejo sostenible de los bosques, en aplicación de los principios de concurrencia, complementariedad y subsidiaridad, en el marco de la Orden 1 de la Sentencia X100
</t>
  </si>
  <si>
    <t>21.3</t>
  </si>
  <si>
    <t>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</si>
  <si>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 xml:space="preserve"> Documentos, actas, memorandos,oficios,  listados de asistencia, registro fotográfico y/o documentos  asociados a Coordinar estrategias con las autoridades indígenas que aportan a la conservación y fortalecimiento de los sistemas de conocimiento y saberes tradicionales, los cuales, contribuyen a la sostenibilidad de los bosques y la comprensión de la naturaleza como unidad biocultural, en el marco de la Orden 1 de la Sentencia.</t>
  </si>
  <si>
    <t xml:space="preserve"> Estrategias para la conservación y fortalecimiento de los sistemas de conocimiento y saberes tradicionales,</t>
  </si>
  <si>
    <t xml:space="preserve"> Número de estrategias  realizadas para la conservación y fortalecimiento de los sistemas de conocimiento y saberes tradicionales/ Número de estrategias  concertadas para la conservación y fortalecimiento de los sistemas de conocimiento y saberes tradicionales X100</t>
  </si>
  <si>
    <t>Ley 19 de 1958</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</si>
  <si>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</si>
  <si>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Porcentaje de acciones ejecutadas para  el cumplimiento de los CONPES.</t>
  </si>
  <si>
    <t>En el primer trimestre de la vigencia 2024, se desarrolló una (1) acción correspondiente y de acuerdo a su misionalidad, con el fin de coadyuvar a la solución de problemáticas transversales que incluyen diversos sectores plasmados en los Documentos de Política Pública, cuya formulación es coordinada por el Consejo Nacional de Política Económica y Social –CONPES, relacionada con el CONPES 4021 “Política Nacional de Deforestación”.</t>
  </si>
  <si>
    <t xml:space="preserve">
En el segundo trimestre de la vigencia 2024, de 4 actividades asociadas a la presente iniciativa, 4 tenían programada meta para este trimestre, de las cuales se ejecutaron avances en 3 actividades correspondientes y pertinentes para el cumplimiento de los CONPES a cargo de la DAIRM  de las programadas, arrojando una ejecución de la iniciativa del 75%.
</t>
  </si>
  <si>
    <t xml:space="preserve">
En el tercer trimestre de la vigencia 2024, de 4 actividades asociadas a la presente iniciativa, 4 tenían programada meta para este trimestre, de las cuales se ejecutaron avances en las 4 actividades correspondientes y pertinentes para el cumplimiento de los CONPES a cargo de la DAIRM  de las programadas, arrojando una ejecución de la iniciativa del 100%.</t>
  </si>
  <si>
    <t>En el segundo  trimestre del 2025, las 6 actividades asociadas a la presente iniciativa tenian programadas metas para este trimestre, de las cuales se ejecutaron las 2 actividades correspondientes a la ejecución de acciones desde la Misionalidad de la DAIRM, en el marco del documento CONPES "Desarrollo Integral del Litoral Pacífico" y acciones en el marco del documento CONPES "Inteligencia Artificial"Arrojando una ejecución de la iniciativa del 33,3%.</t>
  </si>
  <si>
    <t>22.1</t>
  </si>
  <si>
    <t>Realizar acciones desde la Misionalidad de la DAI,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</si>
  <si>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Documentos, actas, memorandos,oficios,  listados de asistencia, registro fotográfico y/o documentos  asociados a acciones desde la Misionalidad de la DAI,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</si>
  <si>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Acciones desde la Misionalidad de la DAI,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t>
  </si>
  <si>
    <t>Número de accciones realizadas desde la misionalidad de la DAI  en el marco del documento CONPES 4021 “Política Nacional de Deforestación” como estrategia intersectorial, multidimensional y sistémica para frenar el cambio del uso del suelo y la pérdida de bosque natural, para así fomentar la conservación y manejo sostenible de los bosques/ Número de accciones programadas  desde la misionalidad de la DAI  en el marco del documento CONPES 4021 “Política Nacional de Deforestación” como estrategia intersectorial, multidimensional y sistémica para frenar el cambio del uso del suelo y la pérdida de bosque natural, para así fomentar la conservación y manejo sostenible de los bosques</t>
  </si>
  <si>
    <t>22.2</t>
  </si>
  <si>
    <t xml:space="preserve">Realizar acciones desde la Misionalidad de la DAI, en el marco del documento CONPES 3944 "Estrategia para el Desarrollo Integral del Departamento de La Guajira y sus pueblos indígenas".
</t>
  </si>
  <si>
    <t xml:space="preserve"> Documentos, actas, memorandos,oficios,  listados de asistencia, registro fotográfico y/o documentos  asociados a acciones desde la Misionalidad de la DAI en el marco del documento CONPES 3944 "Estrategia para el Desarrollo Integral del Departamento de La Guajira y sus pueblos indígenas".
</t>
  </si>
  <si>
    <t xml:space="preserve">Acciones desde la Misionalidad de la DAI, en el marco del documento CONPES 3944 "Estrategia para el Desarrollo Integral del Departamento de La Guajira y sus pueblos indígenas".
</t>
  </si>
  <si>
    <t xml:space="preserve">Número de accciones realizadas desde la misionalidad de la DAI  en el marco del documento CONPES 3944 "Estrategia para el Desarrollo Integral del Departamento de La Guajira y sus pueblos indígenas"
 / Número de accciones programadas  desde la misionalidad de la DAI  en el marco del documento CONPES 3944 " Estrategia para el Desarrollo Integral del Departamento de La Guajira y sus pueblos indígenas" x100
</t>
  </si>
  <si>
    <t>22.3</t>
  </si>
  <si>
    <t>Realizar acciones desde la Misionalidad de la DAI, en el marco del documento CONPES 3950 "Estrategia para la atención de la migración desde Venezuela a Colombia".</t>
  </si>
  <si>
    <t xml:space="preserve"> Documentos, actas, memorandos,oficios,  listados de asistencia, registro fotográfico y/o documentos  asociados a acciones desde la Misionalidad de la DAI, en el marco del documento CONPES 3950 "Estrategia para la atención de la migración desde Venezuela a Colombia".</t>
  </si>
  <si>
    <t>Acciones desde la Misionalidad de la DAI, en el marco del documento CONPES 3950 "Estrategia para la atención de la migración desde Venezuela a Colombia".</t>
  </si>
  <si>
    <t>Número de accciones realizadas desde la misionalidad de la DAI  en el marco del documento CONPES 3950 "Estrategia para la atención de la migración desde Venezuela a Colombia" / Número de accciones programadas  desde la misionalidad de la DAI  en el marco del documento CONPES 3950 "Estrategia para la atención de la migración desde Venezuela a Colombia" x100</t>
  </si>
  <si>
    <t>22.4</t>
  </si>
  <si>
    <t>Realizar acciones desde la Misionalidad de la DAI, en el marco del documento CONPES 4031 "Política Nacional de Atención y Reparación Integral a las Víctimas".</t>
  </si>
  <si>
    <t>Documentos, actas, memorandos,oficios,  listados de asistencia, registro fotográfico y/o documentos  asociados a acciones desde la Misionalidad de la DAI, en el marco del documento CONPES 4031 "Política Nacional de Atención y Reparación Integral a las Víctimas".</t>
  </si>
  <si>
    <t>Acciones desde la Misionalidad de la DAI, en el marco del documento CONPES 4031 "Política Nacional de Atención y Reparación Integral a las Víctimas".</t>
  </si>
  <si>
    <t>Número de acciones realizadas desde la misionalidad de la DAI  en el marco del documento CONPES 4031 "Política Nacional de Atención y Reparación Integral a las Víctimas". / Número de accciones programadas  desde la misionalidad de la DAI  en el marco del documento CONPES 4031 "Política Nacional de Atención y Reparación Integral a las Víctimas" x100</t>
  </si>
  <si>
    <t>22.5</t>
  </si>
  <si>
    <t>Realizar acciones desde la Misionalidad de la DAI, en el marco del documento CONPES "Desarrollo Integral del Litoral Pacífico"</t>
  </si>
  <si>
    <t>Documentos, actas, memorandos,oficios,  listados de asistencia, registro fotográfico y/o documentos  asociados a acciones desde la Misionalidad de la DAI, en el marco del documento CONPES "Litoral Pacífico ".</t>
  </si>
  <si>
    <t>Acciones desde la Misionalidad de la DAI, en el marco del documento CONPES "Litoral Pacífico ".</t>
  </si>
  <si>
    <t>Número de acciones realizadas desde la misionalidad de la DAI  en el marco del documento CONPES  "Litoral Pacífico". / Número de accciones programadas  desde la misionalidad de la DAI  en el marco del documento CONPES "Litoral Pacífico" x100</t>
  </si>
  <si>
    <t>22.6</t>
  </si>
  <si>
    <t>Realizar acciones desde la Misionalidad de la DAI, en el marco del documento CONPES "Inteligencia Artificial"</t>
  </si>
  <si>
    <t>Documentos, actas, memorandos,oficios,  listados de asistencia, registro fotográfico y/o documentos  asociados a acciones desde la Misionalidad de la DAI, en el marco del documento CONPES "Inteligencia Artificial".</t>
  </si>
  <si>
    <t>Acciones desde la Misionalidad de la DAI, en el marco del documento CONPES "Inteligencia Artificial".</t>
  </si>
  <si>
    <t>Número de acciones realizadas desde la misionalidad de la DAI  en el marco del documento CONPES  "Inteligencia Artificial". / Número de accciones programadas  desde la misionalidad de la DAI  en el marco del documento CONPES "Inteligencia Artificial" x100</t>
  </si>
  <si>
    <t>El Ministerio del Interior desarrollará en el marco de su misionalidad las acciones que le correspondan en el  Proyecto del Plan Nacional de Gestión del Riesgo de Desastres acompañando la formulación del componente de gestión del riesgo de desastres en los instrumentos de planificación de desarrollo de los territorios indígenas a partir del diálogo de saberes y la perspectiva étnica.</t>
  </si>
  <si>
    <t>Porcentaje de acciones ejecutadas para  el cumplimiento del Proyecto del Plan Nacional de Gestión del Riesgo de Desastres.</t>
  </si>
  <si>
    <t xml:space="preserve">En el primer trimestre de la vigencia 2024, se realizo una (1) acción relacionada con Proyecto del Plan Nacional de Gestión del Riesgo de Desastres, asistiendo a Espacio de “Segunda Actualización del PNGRD – Proyecto 2.1.1 – Intersectorial”. Nombre del proyecto: Gestión del riesgo de desastres en instrumentos de planificación del desarrollo de territorios indígenas y comunidades negras, con el objetivo de acompañar la formulación del componente de gestión del riesgo de desastres en los instrumentos de planificación de desarrollo de los territorios indígenas y de comunidades negras, a partir del diálogo de saberes y la perspectiva étnica.
</t>
  </si>
  <si>
    <t>En el segundo trimestre de la vigencia 2024, de 1 actividad asociada a la presente iniciativa, 1 tenía programada meta para este trimestre, la cual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100%.</t>
  </si>
  <si>
    <t>En el tercer trimestre de la vigencia 2024, de 1 actividad asociada a la presente iniciativa, 1 tenía programada meta para este trimestre, de la cual no se ejecutó avances en la actividad correspondiente y pertinente en el marco del Proyecto del Plan Nacional de Gestión del Riesgo de Desastres, acompañar la formulación del componente de gestión del riesgo de desastres en los instrumentos de planificación de desarrollo de los territorios indígenas y de comunidades negras, a partir del diálogo de saberes y la perspectiva étnica,  arrojando una ejecución de la iniciativa del 0%.</t>
  </si>
  <si>
    <t>23.1</t>
  </si>
  <si>
    <t>Realizar la gestión del riesgo de desastres en instrumentos de planificación del desarrollo de territorios indígenas.</t>
  </si>
  <si>
    <t xml:space="preserve"> Documentos, actas, memorandos,oficios,  listados de asistencia, registro fotográfico y/o documentos  asociados a  las acciones para la gestión del riesgo de desastres en instrumentos de planificación del desarrollo de territorios indígenas.</t>
  </si>
  <si>
    <t>Porcentaje de avance de la elaboración y socialización del documento de lineamientos para la incorporación de la Gestión del Riesgo, en los instrumentos de planificación de comunidades étnicas.</t>
  </si>
  <si>
    <t>Número de acciones realizadas para  la elaboración y socialización del documento de lineamientos para la incorporación de la Gestión del Riesgo, en los instrumentos de planificación de comunidades étnicas. /Número de acciones programadas para la elaboración y socialización del documento de lineamientos para la incorporación de la Gestión del Riesgo, en los instrumentos de planificación de comunidades étnicas.</t>
  </si>
  <si>
    <t>El Ministerio del Interior realizará acciones para el Fortalecimiento de los Sistemas de Gobierno Propio y Capacidad Organizativa de los pueblos y comunidades indígenas a nivel nacional.</t>
  </si>
  <si>
    <t>Porcentaje de acciones ejecutadas para  el fortalecimiento de los Sistemas de Gobierno Propio y Capacidad Organizativa de los pueblos y comunidades indígenas a nivel nacional.</t>
  </si>
  <si>
    <t>En la vigencia 2023, se formula y acompaña la implementación de cuatro (4) proyectos de inversión dentro del fortalecimiento de la capacidad organizativa de los pueblos indígenas en el territorio nacional.</t>
  </si>
  <si>
    <t>En el primer trimestre de la vigencia 2024, las acciones para el Fortalecimiento de los Sistemas de Gobierno Propio y Capacidad Organizativa de los pueblos y comunidades indígenas a nivel nacional  se ejecutarán por medio del contrato que se suscriba con el  Operador Logístico-OPL, el cual se encuentra en proceso contractual y por ende no se han realizado acciones relacionadas a la iniciativa</t>
  </si>
  <si>
    <t>En el segundo trimestre de la vigencia 2024, de 2 actividades asociadas a la presente iniciativa, 1 tenía programada meta para este trimestre, de las cuales  no se ejecutaron avances en  las actividad correspondiente y pertinente en el marco de las acciones para el Fortalecimiento de los Sistemas de Gobierno Propio y Capacidad Organizativa de los pueblos y comunidades indígenas a nivel nacional, arrojando una ejecución de la iniciativa del 0%.</t>
  </si>
  <si>
    <t>En el tercer trimestre de la vigencia 2024, de 2 actividades asociadas a la presente iniciativa, 2 tenían programada meta para este trimestre, de las cuales se ejecutaron avances en 2 actividades correspondientes y pertinentes en el marco de las acciones para el Fortalecimiento de los Sistemas de Gobierno Propio y Capacidad Organizativa de los pueblos y comunidades indígenas a nivel nacional, arrojando una ejecución de la iniciativa del 100%.</t>
  </si>
  <si>
    <t>24.1</t>
  </si>
  <si>
    <t xml:space="preserve">Realizar Formación para el desarrollo del ejercicio del gobierno propio de los pueblos indígenas. </t>
  </si>
  <si>
    <t xml:space="preserve"> Documentos, actas, memorandos,oficios,  listados de asistencia, registro fotográfico y/o documentos  asociados a las acciones para la formación para el desarrollo del ejercicio del gobierno propio de los pueblos indígenas.</t>
  </si>
  <si>
    <t>Personas formadas para el desarrollo del ejercicio de Gobierno Propio de los Pueblos Indígenas.</t>
  </si>
  <si>
    <t>Número de personas formadas para el desarrollo del ejercicio de Gobierno Propio de los Pueblos Indígenas.</t>
  </si>
  <si>
    <t>24.2</t>
  </si>
  <si>
    <r>
      <rPr>
        <b/>
        <u/>
        <sz val="9"/>
        <color rgb="FFFF0000"/>
        <rFont val="Arial"/>
        <family val="2"/>
      </rPr>
      <t>Realizar</t>
    </r>
    <r>
      <rPr>
        <sz val="9"/>
        <rFont val="Arial"/>
        <family val="2"/>
      </rPr>
      <t xml:space="preserve"> procesos de discusión y concertación sobre temas asociados a Gobierno Propio de las comunidades indígenas.</t>
    </r>
  </si>
  <si>
    <t>Eventos asociados a capacitaciones, discusión y concertación sobre temas asociados a Gobierno Propio de las comunidades indígenas.</t>
  </si>
  <si>
    <t>Número de eventos realizados/ Numero de eventos programados  en procesos de discusión y concertación sobre temas asociados a Gobierno Propio de las comunidades indígenas.</t>
  </si>
  <si>
    <t>24.3</t>
  </si>
  <si>
    <t>Realizar asistencia técnica en formulación y presentación de proyectos e iniciativas propias de los pueblos y comunidades indígenas.</t>
  </si>
  <si>
    <t>24.4</t>
  </si>
  <si>
    <t>Realizar financiación de iniciativas en fortalecimiento productivo, mujer familia y generación, gobierno propio, integridad cultural, armonía y equilibrio para la defensa de la vida, pacto por y para las regiones o infraestructura.</t>
  </si>
  <si>
    <t>Dirección de Derechos Humanos</t>
  </si>
  <si>
    <t>Jomary Liz Ortegon</t>
  </si>
  <si>
    <t>4.2. Por una seguridad humana que se mida en vidas</t>
  </si>
  <si>
    <t>2. Seguridad humana y justicia social
01. Habilitadores que potencian la seguridad humana y las oportunidades de bienestar
6. Control institucional del territorio para minimizar las amenazas al bienestar de las personas y las comunidades
a. Prevención y protección para poblaciones vulnerables desde un enfoque diferencial, colectivo e individual</t>
  </si>
  <si>
    <t>Ley 1448 de 2011
Decreto 1581 de 2017
Doc Conpes 4031</t>
  </si>
  <si>
    <t>Promover y proteger los Derechos Humanos y sus garantías de no repetición en el territorio Nacional.</t>
  </si>
  <si>
    <r>
      <rPr>
        <b/>
        <sz val="8"/>
        <color theme="1"/>
        <rFont val="Aptos Narrow"/>
        <family val="2"/>
        <scheme val="minor"/>
      </rPr>
      <t>12. Reducción de la violencia en zonas de conflicto
32. Implementación del acuerdo de paz con las farc</t>
    </r>
    <r>
      <rPr>
        <sz val="8"/>
        <color theme="1"/>
        <rFont val="Aptos Narrow"/>
        <family val="2"/>
        <scheme val="minor"/>
      </rPr>
      <t xml:space="preserve">
</t>
    </r>
    <r>
      <rPr>
        <b/>
        <sz val="8"/>
        <color theme="1"/>
        <rFont val="Aptos Narrow"/>
        <family val="2"/>
        <scheme val="minor"/>
      </rPr>
      <t>33. Tránsito hacia la paz total</t>
    </r>
  </si>
  <si>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</si>
  <si>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</si>
  <si>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</si>
  <si>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40</t>
  </si>
  <si>
    <t>En la vigencia se apoya 158 entidades territoriales apoyadas en la actualización Planes Integrales de prevención a las violaciones de Derechos Humanos e infracciones al derecho internacional humanitario en: ANT, CAU, NAR, CHO, MET, VAL, ATL, BOL, CAS, MAG, GUA, NTE SANT, PUT, ARA, GUA, CAQ, CES, HUI, BOY, RIS, CAL, CUND, SANT</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</si>
  <si>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</si>
  <si>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El avance del trimestre es del 7% de lo programado en consideración a que se formularon y/o actualizaron 7 Planes Integrales de prevención a las violaciones de Derechos Humanos e infracciones al derecho internacional humanitario de los municipios de El Tarra y Ocaña-NTE SANT; Soledad-ATL; y Chalan, San Antonio de Palmito, Santiago de Tolú y Coloso-SUC</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</si>
  <si>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</si>
  <si>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</si>
  <si>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</si>
  <si>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trimestre. La iniciativa estratégica no tiene programación de meta para el trimestre, no obstante se realizaron 3 jornadas de acompañamiento a entidades en la formulación del Plan de Acción para la Instancia de prevención Subcomité Territorial de Prevención Protección Garantías de No Repetición y 3 en la implementación del Modelo de gestión preventiva del riesgo.</t>
  </si>
  <si>
    <t>Durante el segundo trimestre no se cumple la meta programada. No obstante se acompañaron 27 entidades territoriales en la formulación de los documentos de los planes integrales de prevención- PIP, en el marco del Subcomité Territorial de Prevención Protección y Garantías de No Repetición – SPPGNR: ubicados en los departamentos de Casanare, Vichada, Magdalena, Cesar, Cauca, Meta, Cundinamarca, Sucre, Tolima, Nariño y Valle del Cauca.</t>
  </si>
  <si>
    <t>Como avance de trimestre tenemos el acompañamiento a 90 Territoriales de manera virtual y presencial, en la formulación y/o actualización de los Planes Integrales de Prevención – PIP, asi:
Julio: (20) Entidades: Cauca: Departamental, Corinto, Piendamó (3); Chocó: Departamental (1); Sucre: San Onofre, Tolú Viejo y Chalán (3); Caldas: departamental (1); Nariño: Departamental, Iles, Roberto Payán, Potosí (4); Antioquia: Gomezplata, Montebello (2); Santander: Matanza, Hato, Guadalupe (3); Norte de Santander: Carcasí, Los Patios, Lourdes (3)
Agosto: (45) Entidades Territoriales: Meta: Puerto Rico, Fuente de Oro (2); Quibdó: Región del Atrato: Lloró, Bagadó, Bojayá, Carmen de Atrato, Atrato, Rio Quito y Medio Atrato;  Nuqui. (8); Norte de Santander: Villa Caro, Cucutilla (2); Valle del Cauca: Buga, Restrepo, Trujillo, Yumbo, Pradera, Florida, Yotoco, Guacarí, Palmira (9); Cauca: Piamonte, Jambaló, Miranda, Santander de Quilichao (4); Córdoba: Departamental, Montelíbano, Planeta Rica, Tierralta, San José de Uré, Puerto Libertador (6); Sucre: Departamental (1); Antioquia: Cáceres, Caucasia, El Bagre, Nechí, Tarazá, Zaragoza. (6); Caquetá: La Montañita, Paujil, El Doncello, Valparaíso (4); Santander: Playón, Hato (2); Cundinamarca: Soacha (1)
Septiembre: (25) Entidades Territoriales: Sucre: San Antonio de Palmito, Morroa (2); Norte de Santander: Abrego, Ocaña(2); Cesar: San Diego, Chiriguaná, Valledupar, Manaure Balcón del Cesar, (4); Cauca: Padilla (1); Casanare: Yopal (1); Nariño: Magüí Payan, Leiva (2); Caldas: Rio Sucio (1); Arauca: Saravena, Fortul,  (2); Cundinamarca: Departamental (1); Boyacá: Departamental (1); Norte de Santander: Durania, Chinácota (2); Meta: La Macarena, Castilla la Nueva (2); Huila: Garzón (1); Bolívar: Arenal, Aguachica, Simití (3)</t>
  </si>
  <si>
    <t>Implementar estrategia de formación y construcción de capacidades para  prevención de violaciones a los  DDHH y la reconciliación para organizaciones sociales y sujetos de especial protección constitucional</t>
  </si>
  <si>
    <t>Número de  personas integrantes de organizaciones sociales y personas de especial protección constitucional capacitadas  en identificación y prevención del riesgo.</t>
  </si>
  <si>
    <t xml:space="preserve">Sumatoria del número de  personas integrantes de organizaciones sociales y personas capacitadas.  </t>
  </si>
  <si>
    <t>C-3701-1000-30</t>
  </si>
  <si>
    <t>FORTALECIMIENTO DE LA POLÍTICA PÚBLICA DE PREVENCIÓN DE VIOLACIONES A LOS DERECHOS A LA VIDA, INTEGRIDAD, LIBERTAD Y SEGURIDAD DE PERSONAS, GRUPOS Y COMUNIDADES EN COLOMBIA. NACIONAL.</t>
  </si>
  <si>
    <t>Capacitar en identificación del riesgo asociados a servidores y funcionarios públicos</t>
  </si>
  <si>
    <t>Número de servidores y funcionarios públicos capacitados en identificación del riesgo asociados.</t>
  </si>
  <si>
    <t>Sumatoria de número de servidores y funcionarios públicos capacitados</t>
  </si>
  <si>
    <t>Formular Plan de Acción de la Política nacional de prevención de violaciones de derechos humanos e infracciones del DIH</t>
  </si>
  <si>
    <t>Documento Plan de Acción de la Política nacional de prevención de violaciones de Derechos Humanos e infracciones del DIH, formulado</t>
  </si>
  <si>
    <t>Sumatoria de número de documentos formulados</t>
  </si>
  <si>
    <t>Acompañar a las entidades en el fortalecimiento de las instancias de prevención y la territorialización de la política de prevención</t>
  </si>
  <si>
    <t>Entidades acompañadas en el fortalecimiento de las Instancias de prevención y la territorialización de la política de prevención</t>
  </si>
  <si>
    <t>Sumatoria de número de entidades territoriales acompañadas</t>
  </si>
  <si>
    <t>Construir e impulsar la implementación de planes de choque (estrategia de Intervención integral, Auto 894) en las regiones con emergencias humanitarias recurrentes.</t>
  </si>
  <si>
    <t>Planes de choque (estrategia de Intervención integral, Auto 894) en las regiones con emergencias humanitarias recurrentes construidos e impulsados</t>
  </si>
  <si>
    <t>Sumatoria de número de Planes de choque construidos e impulsados</t>
  </si>
  <si>
    <t xml:space="preserve">Apoyar a entidades territoriales en la formulación y/o actualización de Planes Integrales de prevención a las violaciones de derechos humanos e infracciones al derecho internacional humanitario. </t>
  </si>
  <si>
    <t>Documentos planes integrales de prevención de entidades territoriales, elaborados.</t>
  </si>
  <si>
    <t>Sumatoria de número de planes elaborados</t>
  </si>
  <si>
    <t xml:space="preserve">Formular y diseñar documentos metodologicos en Gestión Preventiva del Riesgo. </t>
  </si>
  <si>
    <t xml:space="preserve">Documento metodológicos en Gestión Preventiva del Riesgo, formulado.  </t>
  </si>
  <si>
    <t>Asesorar y evaluar a las entidades territoriales y nacionales en la implementación de las líneas estratégicas para la implementación de la Política Pública de Prevención.</t>
  </si>
  <si>
    <t>Entidades territoriales y nacionales asesoradas y evaluadas en la implementación de las líneas estratégicas para la implementación de la Política Pública de Prevención</t>
  </si>
  <si>
    <t>Sumatoria de número de entidades territoriales y nacionales asesoradas y evaluadas.</t>
  </si>
  <si>
    <t xml:space="preserve">Acompañar a entidades territoriales / organizaciones sociales y comunidades en la atención de hechos victimizantés que se materializaron </t>
  </si>
  <si>
    <t xml:space="preserve">Entidades territoriales u organizaciones sociales y/o comunidades acompañadas en la atención de hechos victimizantes que se materializaron. </t>
  </si>
  <si>
    <t>Sumatoria de número de Entidades territoriales y/o  organizaciones sociales y cumunidades acompañadas</t>
  </si>
  <si>
    <t>5.2. Colombia hacía una cultura de paz.</t>
  </si>
  <si>
    <t>Paz total e integral
B. El diálogo: Un camino
3. Espacios de conversaciones socio jurídicas con grupos no rebeldes
C. Desescalamiento de la violencia
D. La cultura de paz en la cotidianidad de las poblaciones y territorios.
E. La paz en la esencia del Gobierno</t>
  </si>
  <si>
    <t>Decreto 4100 de 2011
Decreto 1081 de 2015</t>
  </si>
  <si>
    <t>Fortalecer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</si>
  <si>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</si>
  <si>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</si>
  <si>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En la vigencia se logra que 40 entidades territoriales con adopción del enfoque basado en derechos humanos ubicadas en BOY, BOL, HUI, AMA, PUT, CORD, ANT, VAL, CAU, ARA, MET, NTE SANT, NAR, CES, CAQ, VAU, VAL.</t>
  </si>
  <si>
    <t>La iniciativa no tiene una meta programada para el primer trimestre de 2024, sin embargo, se avanzó en la generación de estudios de mercado para fortalecer la capacidad técnica en política pública de Derechos Humanos. Se están coordinando agendas con entidades territoriales y organizaciones sociales para caracterización y asistencia técnica en Derechos Humanos</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</si>
  <si>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</si>
  <si>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Durante el tercer trimestre de 2024, se realizaron 90 procesos de medición de la incorporación del EBDH en los Planes de Desarrollo municipales. Del total de las 82 entidades asistidas, 17 corresponden al nivel departamental y 65 entidades el nivel municipal.</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</si>
  <si>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</si>
  <si>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</si>
  <si>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Avance trimestre. La iniciativa estratégica no tiene programación de meta para el trimestre. Es de anotar que dados los cambios de alta gerencia institucional, el equipo no cuenta aún con personal vinculado para el desarrollo de las jornadas de trabajo para el cumplimento de la actividad, ni con operación logística</t>
  </si>
  <si>
    <t>Durante el segundo trimestre no se cumple la meta programada. No obstante, se han realizado acciones de articulación con el Departamento Nacional de Planeación y  el Comité Permanente por la Defensa de los Derechos Humanos,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t>
  </si>
  <si>
    <t>Durante el tercer trimestre no hay avance de meta debido a que no ha finalizado el proceso de traslado de recursos al proyecto por arte de Min Hacienda y OAP.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</si>
  <si>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 xml:space="preserve">Apoyar técnicamente a las entidades territoriales en la generación de instrumentos para la adopción del enfoque de derechos humanos en sus procesos y el fortalecimiento de instancias de articulación y coordinación en materia de Derechos Humanos. </t>
  </si>
  <si>
    <t xml:space="preserve">Informe </t>
  </si>
  <si>
    <t>Entidades territoriales apoyadas técnicamente en la generación de instrumentos para la adopción del enfoque de derechos humanos en sus procesos y el fortalecimiento de instancias de articulación y coordinación en materia de Derechos Humanos</t>
  </si>
  <si>
    <t>Sumatoria de número de entidades territoriales apoyadas técnicamente.</t>
  </si>
  <si>
    <t>C-3701-1000-50</t>
  </si>
  <si>
    <t>FORTALECIMIENTO TERRITORIAL PARA LA GARANTÍA, PROMOCIÓN Y GOCE DE LOS DERECHOS HUMANOS. NACIONAL</t>
  </si>
  <si>
    <t>7. Actores Diferenciales para el Cambio
3. Reparación efectiva e integral a las víctimas</t>
  </si>
  <si>
    <t>Sentencia T-025</t>
  </si>
  <si>
    <t xml:space="preserve">12. Reducción de la violencia en zonas de conflicto
</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</si>
  <si>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</si>
  <si>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</si>
  <si>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</si>
  <si>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</si>
  <si>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</si>
  <si>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 xml:space="preserve">El avance del trimestre es del cumplimiento del 100% de lo programado en consideración a que cuenta con el informe final ECI de la sentencia T-025 de 2004, informe de avance del auto 009 y un informe dirigido a la Vicepresidencia de la República, en el cual se expone la asistencia brindada por la Dirección de Derechos Humanos a la población beneficiaria en el marco del Auto 620 de 2017. </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</si>
  <si>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</si>
  <si>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decimoseptima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</si>
  <si>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</si>
  <si>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de trimestre se cumple el 50% de la meta programada: se cuenta con el PDF con la relación de lideresas preseleccionadas a la tercera convocatoria de la revista " Defensoras de Nuestra Colombia", acción de implementación Orden decimoséptima Auto 009 de 2015 a cargo de la Dirección de Derechos Humanos.</t>
  </si>
  <si>
    <t xml:space="preserve">Como avance del trimestre se cumple el 100% de la meta programada, por cuanto se cuenta con el documento dirigido al Grupo de Articulación de la Política Pública de Víctimas en el cual se presentan insumos para emitir el informe semestral al Congreso de la República, de seguimiento a la política Pública de víctimas.
</t>
  </si>
  <si>
    <t xml:space="preserve">
Como avance del trimestre se cumple el 100% de la meta programada, lográndose la elaboración del Informe anual seguimiento Sentencia T-025, así como jornada de socialización del Auto 009 de 2015 en la Gobernación del Cesar y en la alcaldía de Valledupar , donde se obtuvo información de la situación de la problemática de violencia contra la mujer en el territorio.</t>
  </si>
  <si>
    <t>Realizar seguimiento al cumplimiento de las ordenes enmarcadas en los autos priorizados para la vigencia a cargo de la Dirección de Derechos Humanos.</t>
  </si>
  <si>
    <t xml:space="preserve">Informes de seguimiento al cumplimiento de las ordenes enmarcadas en los autos priorizados para la vigencia a cargo de la Dirección de Derechos Humanos, realizados	</t>
  </si>
  <si>
    <t>Sumatoria de informes de seguimiento realizados</t>
  </si>
  <si>
    <t>Realizar informes de asistencia técnica del seguimiento a los autos y órdenes a cargo de la Dirección de Derechos Humanos que conforman la sentencia T-025.</t>
  </si>
  <si>
    <t>Informes de asistencia técnica del seguimiento a los autos y órdenes a cargo de la Dirección de Derechos Humanos que conforman la sentencia T-025, realizados</t>
  </si>
  <si>
    <t>Sumatoria de informes de asistencia técnica realizados</t>
  </si>
  <si>
    <t>5.1. Los Acuerdos de Estado con los firmantes de la paz, la sociedad y la comunidad internacional se cumplen.</t>
  </si>
  <si>
    <t>Paz total e integral
A. Territorios que se transforman con la implementación del Acuerdo del Teatro Colón.
2. Participación política: Apertura democrática para construir la paz</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</si>
  <si>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</si>
  <si>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</si>
  <si>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</si>
  <si>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</si>
  <si>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</si>
  <si>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</si>
  <si>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</si>
  <si>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El avance del trimestre es 28% de lo programado destacando que se cuenta con los planes de autoprotección de: Consejo Comunitario Alto Mira y Frontera en Tumaco Nariño; Corporación Acción Humanitaria por la Convivencia y la Paz del Nordeste Antioqueño (CAHUCOPANA); Aso Nal de Usuarios Campesinos de Colombia (ANUC) del Cauca; y Aso de Víctimas de crímenes de Estado ASORVIMM</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</si>
  <si>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</si>
  <si>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</si>
  <si>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</si>
  <si>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Como avance de trimestre se cumple el 100% de la meta programada para la iniciativa, en consideración a que formularon 2 protocolos de protección con las siguientes organizaciones: i) Asociación de Víctimas de crímenes de Estado Magdalena Medio ASORVIMM, en Barrancabermeja-Santander (1); ii) Asociación de Pescadores Artesanales de Bocas del Rosario, Los Collongos, en Barrancabermeja-Santander. (1)</t>
  </si>
  <si>
    <t>Durante el segundo trimestre se cumplió el 10% de la meta programada, lográndose la formulación de 3 protocolos de protección con la Asociación de Víctimas de crímenes de Estado Magdalena Medio ASORVIMM, en Barrancabermeja-Santander (1); y Asociación de Pescadores Artesanales de Bocas del Rosario, Los Collongos, en Barrancabermeja-Santander (1); y Corporación Mesa Departamental de Defensa de Derechos Humanos y territorios del Cesar (CMDHTC). De igual forma el desarrollo de 31 jornadas de socialización del Programa Integral de Seguridad y Protección para Comunidades y Organizaciones en los Territorios.</t>
  </si>
  <si>
    <t>Como avance de trimestre tenemos el 86% de cumplimiento de la meta programada, dado que logró la formulación de 24 planes integrales de prevención para organizaciones y/o comunidades priorizadas y la formulación de 9 protocolos de protección.</t>
  </si>
  <si>
    <t>Formular Planes Integrales de Prevención y Autoprotección para comunidades</t>
  </si>
  <si>
    <t>Documentos Planes Integrales de Prevención y Autoprotección para comunidades, formulados.</t>
  </si>
  <si>
    <t>Sumatoria de número de documentos Planes Integrales de Prevención y Autoprotección para comunidades formulados.</t>
  </si>
  <si>
    <t xml:space="preserve">Formular el Protocolo de protección de territorios rurales  </t>
  </si>
  <si>
    <t>Documentos Protocolos de protección de territorios rurales, formulados.</t>
  </si>
  <si>
    <t>Sumatoria de número de Protocolos de protección de territorios rurales formulados.</t>
  </si>
  <si>
    <t>El cambio es con las mujeres</t>
  </si>
  <si>
    <t>Hacia una vida libre de violencias contra las mujeres y por la garantía efectiva</t>
  </si>
  <si>
    <t>Actores diferenciales para el cambio
1. El cambio es con las mujeres
2. Mujeres en el centro de la política de la vida y la paz.</t>
  </si>
  <si>
    <t>Plan Marco de Implementación -PMI: C.G.1</t>
  </si>
  <si>
    <t>Sentencia T-025
Doc Conpes 4063
Doc Conpes 4031</t>
  </si>
  <si>
    <t>8. Reducción de la desigualdad social
33. Tránsito hacia la paz total</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</si>
  <si>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</si>
  <si>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</si>
  <si>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</si>
  <si>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</si>
  <si>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</si>
  <si>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</si>
  <si>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</si>
  <si>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</si>
  <si>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</si>
  <si>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Como avance de trimestre se cumple el 2% de la meta programada en 4%, dado que se realización de 2 sesiones de la Mesa Ejecutiva con las plataformas de mujeres, agencias de cooperación internacional y ministerio público para avanzar en la implementación del Programa y se cuenta con el informe de las actividades desarrolladas en los procesos de territorialización de Nariño y Putumayo</t>
  </si>
  <si>
    <t xml:space="preserve">Como avance de trimestre se cumple el 100% de la meta programada, dado que se realización de 5 mesas ejecutivas,   se cuenta con el informe de las actividades desarrolladas en los procesos de territorialización  Guaviare,  Arauca, Nariño, Bogotá y Antioquia, Cauca, Bogotá, Putumayo y Tolima . </t>
  </si>
  <si>
    <t>Como avance de trimestre tenemos el cumplimiento del 100% de la meta programada, destacando el avance del proceso de territorialización del Programa en cinco departamentos y una subregión priorizada: (i) Mesa amplia de participación en Montes de María; (ii) Mesa amplia de participación en la Guajira; (iii)  reunión comité de impulso Magdalena  y  Meta; (vi) Mesa amplia de participación Putumayo; así como la realización de 9 mesas técnicas de articulación con entidades nacionales, territoriales y plataformas de mujeres, logrando impactos diferenciados en varios departamentos priorizados.</t>
  </si>
  <si>
    <t>Avanzar en los procesos de territorialización del Programa Integral de Garantías de Mujeres Lideresas y Defensoras de Derechos Humanos en departamentos priorizados</t>
  </si>
  <si>
    <t>Informes de los Procesos de territorialización del Programa Integral de Garantías de Mujeres Lideresas y Defensoras de Derechos Humanos en departamentos priorizados, realizados.</t>
  </si>
  <si>
    <t>Sumatoria de informes de los Procesos de territorialización del Programa elaborados</t>
  </si>
  <si>
    <t>Sumatoria de la formulación del  plan de acción y del avance de la territorialización del programa integral de garantías para lideresas y defensoras de derechos humanos:
Hito 1: 30% formulación plan de acción
Hito 2: 70% territorialización y mantenimiento de la territorialización del programa.</t>
  </si>
  <si>
    <t>Realizar mesas de articulación con entidades nacionales y/o territoriales y plataformas nacionales</t>
  </si>
  <si>
    <t>Informes de las mesas de articulación con entidades nacionales y/o territoriales y plataformas nacionales de Mujeres Lideresas y Defensoras de Derechos Humanos en departamentos priorizados, realizadas.</t>
  </si>
  <si>
    <t>Sumatoria de informes de las mesas de articulación del Programa elaborados</t>
  </si>
  <si>
    <t>Apoyar iniciativas dirigidas a la promoción y prevención de violación de los Derechos Humanos de las mujeres lideresas defensoras de Derechos Humanos.</t>
  </si>
  <si>
    <t>Informes de iniciativas para la promoción y prevención de violación de los Derechos Humanos de las mujeres lideresas defensoras de Derechos Humanos, apoyadas.</t>
  </si>
  <si>
    <t>Sumatoria de informes de las iniciativas dirigidas a la promoción y prevención de violación de los Derechos Humanos de las mujeres lideresas defensoras de Derechos Humanos elaborados</t>
  </si>
  <si>
    <t>2. Seguridad humana y justicia social.
01. Habilitadores que potencian la seguridad humana y las oportunidades de bienestar.
13. Justicia transicional para la reconciliación sustentada en la verdad, justicia, reparación y no repetición.
a. Fortalecimiento de la búsqueda de personas dadas por desaparecidas</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</si>
  <si>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</si>
  <si>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</si>
  <si>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</si>
  <si>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</si>
  <si>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100</t>
  </si>
  <si>
    <t>400</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</si>
  <si>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</si>
  <si>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aprogramación de meta en el trimestre, sin embargo se adelantó lo siguiente 
Marzo: inician mesas de recolección de información en cementerios de Cartago-VAL, Cimitarra-SANT y Caucacia-ANT. Auto JEP.</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</si>
  <si>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</si>
  <si>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</si>
  <si>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</si>
  <si>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</si>
  <si>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Avance trimestre. La iniciativa estratégica no tiene programación de meta para el trimestre, no obstante se realizaron 3 jornadas virtuales sobre buenas prácticas de conservación y custodia de cuerpos no identificados en cementerios dirigidas a los enlaces de víctimas municipales y de gobernaciones de los 32 departamentos</t>
  </si>
  <si>
    <t xml:space="preserve">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 Y el equipo de base inicia el proceso revisión de diagnósticos de los cementerios ubicados en los municipios de Orito, Sibundoy, San Francisco Puerto Guzmán y Puerto Asís (Kilili) en el departamento de Putumayo. 
</t>
  </si>
  <si>
    <t>Como avance del trimestre tenemos el cumplimiento del 50% de la meta programada ya que se cuenta con 20 diagnósticos multidimensionales de cementerios: cinco (5) en Charalá (SANT), Puerto Asís, Puerto Guzmán y San Miguel rurales, y Santiago (PUT); y quince (15) en Apartadó y Carepa (ANT), Campo de la Campo de la Cruz (2) (ATL); Hatonuevo (GUA), Mocoa, Orito, Puerto Asís, Puerto Guzmán, San Francisco, Sibundoy, Villa Garzón y Valle del Guamuez (3) (PUT)</t>
  </si>
  <si>
    <t>Recolectar información a través de mesas de trabajo, con los actores relevantes en los cementerios.</t>
  </si>
  <si>
    <t>Informes de las mesas de trabajo con los actores relevantes en los cementerios, realizados</t>
  </si>
  <si>
    <t>Sumatoria de informes de las mesas de trabajo con los actores relevantes en los cementerios elaborados</t>
  </si>
  <si>
    <t>C-3701-1000-42</t>
  </si>
  <si>
    <t>FORTALECIMIENTO A LA GESTIÓN DE LOS CEMENTERIOS COMO RESTITUCIÓN DE DERECHOS DE VÍCTIMAS DE DESAPARICIÓN A NIVEL NACIONAL</t>
  </si>
  <si>
    <t>Analizar y sistematizar la información obtenida en las mesas de trabajo, con los actores relevantes en el cementerio.</t>
  </si>
  <si>
    <t>Informes del análisis y sistematización de la información obtenida en las mesas de trabajo con los actores relevantes en el cementerio generados</t>
  </si>
  <si>
    <t>Sumatoria de informes del análisis y sistematización de la información obtenida las mesas de trabajo con los actores relevantes en los cementerios elaborados</t>
  </si>
  <si>
    <t>Capacitar administraciones de cementerios en Derechos Humanos y buenas prácticas de conservación y custodia de cuerpos o restos Humanos de personas no identificadas.</t>
  </si>
  <si>
    <t>Informes de las jornadas de capacitación a administraciones de cementerios en Derechos Humanos y buenas prácticas de conservación y custodia de cuerpos o restos Humanos de personas no identificadas realizadas</t>
  </si>
  <si>
    <t>Sumatoria de informes de las jornadas de capacitación a administraciones de cementerios elaborados</t>
  </si>
  <si>
    <t>Realizar asistencias técnicas a administraciones locales en Derechos Humanos y buenas prácticas de conservación y custodia de cuerpos o restos Humanos de personas no identificadas.</t>
  </si>
  <si>
    <t>Informes de las asistencias técnicas a administraciones locales en Derechos Humanos y buenas prácticas de conservación y custodia de cuerpos o restos Humanos de personas no identificadas realizadas</t>
  </si>
  <si>
    <t>Sumatoria de informes de las asistencias técnicas a administraciones locales elaborados</t>
  </si>
  <si>
    <t>Realizar seguimiento al apoyo a las entidades territoriales en la adecuación de espacios destinados a la inhumación de cuerpos o restos Humanos de personas no identificadas e identificadas no reclamadas en cementerios.</t>
  </si>
  <si>
    <t>Informes de los seguimientos al apoyo a las entidades territoriales en la adecuación de espacios destinados a la inhumación de cuerpos o restos Humanos de personas no identificadas e identificadas no reclamadas en cementerios realizadas</t>
  </si>
  <si>
    <t>Sumatoria de informes los seguimientos al apoyo a las entidades territoriales elaborados</t>
  </si>
  <si>
    <t>Apoyar a las entidades territoriales en la adecuación de espacios destinados a la inhumación de cuerpos o restos Humanos de personas no identificadas e identificadas no reclamadas en cementerios.</t>
  </si>
  <si>
    <t>Informes de los apoyos a las entidades territoriales en la adecuación de espacios destinados a la inhumación de cuerpos o restos Humanos de personas no identificadas e identificadas no reclamadas en cementerios realizados</t>
  </si>
  <si>
    <t>Sumatoria de informes de los apoyos a las entidades territoriales elaborados</t>
  </si>
  <si>
    <t>7. Actores diferenciales para el cambio
3. Reparación efectiva e integral a las víctimas
4. Vida, seguridad y libertad de los territorios</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</si>
  <si>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</si>
  <si>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</si>
  <si>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</si>
  <si>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</si>
  <si>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</si>
  <si>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</si>
  <si>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62% de lo programado destacando que se realizaron 16 asistencias técnicas para la implementación de la Ruta Interinstitucional de Garantía Integral a la Labor de Defensa de Derechos Humanos</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</si>
  <si>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</si>
  <si>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</si>
  <si>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</si>
  <si>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 xml:space="preserve">Como avance de trimestre se cumple el 100% de la meta programada, dado que se avanzó en la realización de la primera sesión de la Mesa Nacional de Garantías y en la socialización del índice para prevención, protección, garantías de no repetición y la generación de condiciones favorables a la labor de defensa de los Derechos Humanos </t>
  </si>
  <si>
    <t>En el trimestre se cumple el 100% de la meta programada, destacándose: i) la elaboración de planes de acción para el Liderazgo Social y Defensa de los Derechos; la realización de 32 asistencias técnicas para la implementación de la ruta interinstitucional para la garantía de la labor de defensa de Derechos Humanos; y el acompañamiento técnico a las sesiones de la Mesas Territoriales de Garantías de Atlántico, Quindío, Antioquia, Arauca, y Risaralda</t>
  </si>
  <si>
    <t>Como avance del trimestre tenemos el cumplimiento del 98% del 100% de la meta programada destacándose: i) la elaboración de 15 planes de acción de las Zonas Especiales de Garantías para el Liderazgo Social y Defensa de los Derechos Humanos en Santander, Atlántico, Cesar, Valle del Cauca, Tolima, Bogotá, Casanare, Córdoba, Nariño, Risaralda, Bolívar, Caldas, Magdalena, San Andrés y Sucre; ii) la realización de 39 asistencias técnicas para la implementación de ruta Interinstitucional para la garantía integral a la labor de defensa de derechos humanos en los departamentos de Córdoba, Casanare, Bogotá, Valle del Cauca, Cauca, Norte De Santander, Cundinamarca, Tolima, Cesar, La Guajira, Guaviare, Meta, Pacifico Nariñense, Nariño, Huila,  Bogotá,  Casanare, Magdalena, Bolívar, Huila, Putumayo, Caquetá; y iii) el acompañamiento el desarrollo de 10 espacios para la garantía y respeto al ejercicio de defensa de los derechos humanos como la segunda sesión del 2025 de la Mesa Nacional de Garantías como espacio para la garantía y respeto al ejercicio de defensa de los derechos humanos; y la sesión descentralizada de la Mesa de Casos Urgentes LGBTI – OSIEGD – Montes de María como e espacios para la garantía y respeto al ejercicio de defensa de los derechos humanos.</t>
  </si>
  <si>
    <t>Acompañar el desarrollo de espacios para la garantía y respeto al ejercicio de defensa de los derechos humanos.</t>
  </si>
  <si>
    <t>Informes de los acompañamientos al desarrollo de espacios para la garantía y respeto al ejercicio de defensa de los derechos humanos realizados</t>
  </si>
  <si>
    <t>Sumatoria de informes de los acompañamientos al desarrollo de espacios para la garantía y respeto al ejercicio de defensa de los derechos humanos elaborados</t>
  </si>
  <si>
    <t>0</t>
  </si>
  <si>
    <t>6</t>
  </si>
  <si>
    <t>7</t>
  </si>
  <si>
    <t>C-3701-1000-39</t>
  </si>
  <si>
    <t>FORTALECIMIENTO DE LAS GARANTÍAS PARA EL EJERCICIO DEL LIDERAZGO SOCIAL Y DEFENSA DE LOS DERECHOS HUMANOS EN EL TERRITORIO NACIONAL</t>
  </si>
  <si>
    <t>Decreto 762 de 2018
Decreto 714 de 2024</t>
  </si>
  <si>
    <t>Impulsar la garantía del ejercicio efectivo de los derechos de los integrantes de los sectores sociales LGBTIQ+ en los territorios.</t>
  </si>
  <si>
    <t xml:space="preserve">Número de Planes de autoprotección de organizaciones y colectividades de los sectores sociales LGBTIQ+ en los territorios, formulados 
</t>
  </si>
  <si>
    <t xml:space="preserve">Sumatoria de número de Planes de autoprotección de organizaciones y colectividades de los sectores sociales LGBTIQ+ en los territorios, formulados </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</si>
  <si>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</si>
  <si>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</si>
  <si>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</si>
  <si>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pácifico nariñense), Caquetá (Albanía, Belen de Los Andaquíes, Florencia, Puerto Rico, San Vicente, Solano, Solita, Valparaiso, San José de Fragua y Curillo) y Valle del Cauca (Palmira).</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</si>
  <si>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</si>
  <si>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</si>
  <si>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Avance trimestre: aunque la iniciativa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</si>
  <si>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En el segundo trimestre se cumplen 2 de las 10 metas programadas, con la realización de dos (2) espacios de capacitación sobre planes de autoprotección de organizaciones y colectividades de los sectores sociales LGBTIQ+ de los municipios de Bello (Antioquia) y Jamundí (Valle del Cauca)</t>
  </si>
  <si>
    <t>Como avance del trimestre tenemos el cumplimiento del 18% de la meta programada con acompañamiento en  la formulación en los territorios de planes de autoprotección para organizaciones y colectividades de los sectores sociales LGBTIQ+  a dos (2) espacios de capacitación en los municipio de Bello (Antioquia) y Jamundí (Valle del Cauca)</t>
  </si>
  <si>
    <t xml:space="preserve">Acompañar técnicamente la formulación en los territorios de planes de autoprotección para organizaciones y colectividades de los sectores sociales LGBTIQ+ </t>
  </si>
  <si>
    <t>Espacios de formulación de planes de autoprotección para organizaciones y colectividades de los sectores sociales LGBTIQ+ acompañados técnicamente</t>
  </si>
  <si>
    <t>Sumatoria de número de espacios de formulación de planes de autoprotección acompañados</t>
  </si>
  <si>
    <t xml:space="preserve">FORTALECIMIENTO TERRITORIAL PARA LA GARANTÍA, PROMOCIÓN Y GOCE DE LOS DERECHOS HUMANOS. NACIONAL </t>
  </si>
  <si>
    <t>Acompañar técnicamente espacios o escenarios de interlocución nacionales y territoriales para la participación, exigibilidad y garantía de derechos de  la población y colectivos LGBTIQ+</t>
  </si>
  <si>
    <t>Espacios o escenarios de interlocución nacionales y territoriales para la participación, exigibilidad y garantía de derechos de la población y colectivos LGBTIQ+ acompañados técnicamente.</t>
  </si>
  <si>
    <t>Sumatoria de número de espacios o escenarios de interlocución acompañados técnicamente</t>
  </si>
  <si>
    <t>5. Convergencia regional.
7. Reivindicación de los derechos de los grupos más afectados, e integración de personas que dejan las armas para reconstruir el tejido social.
a. Diálogo, memoria, convivencia y reconciliación para la reconstrucción del tejido social</t>
  </si>
  <si>
    <t>Plan Marco de Implementación -PMI: B.144, B.G.3 y B.G.4</t>
  </si>
  <si>
    <t>Decreto 1444 de 2022</t>
  </si>
  <si>
    <r>
      <rPr>
        <b/>
        <sz val="8"/>
        <color theme="1"/>
        <rFont val="Aptos Narrow"/>
        <family val="2"/>
        <scheme val="minor"/>
      </rPr>
      <t>32. Implementación del acuerdo de paz con las farc</t>
    </r>
    <r>
      <rPr>
        <sz val="8"/>
        <color theme="1"/>
        <rFont val="Aptos Narrow"/>
        <family val="2"/>
        <scheme val="minor"/>
      </rPr>
      <t xml:space="preserve">
</t>
    </r>
    <r>
      <rPr>
        <b/>
        <sz val="8"/>
        <color theme="1"/>
        <rFont val="Aptos Narrow"/>
        <family val="2"/>
        <scheme val="minor"/>
      </rPr>
      <t>33. Tránsito hacia la paz total</t>
    </r>
  </si>
  <si>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</si>
  <si>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</si>
  <si>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</si>
  <si>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</si>
  <si>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</si>
  <si>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Durante el segundo trimestre se alcanza la meta establecida para la iniciativa con el desarrollo de las siguientes acciones:
Abr: Reunión de articulación entre el Ministerio del Interior, FICONPAZ y la Unidad de Implementación para revisar el estado de avance para consolidar la matriz definitiva y convocar a las entidades para la revisión de las líneas, compromisos a seguir  y posterior aprobación del plan operativo
May: Se realizaron cuatro (4) sesiones de socialización y recolección de información sobre el plan de acción en los departamentos de Caquetá, Nariño, Norte de Santander y Tolima. Se realizaron reuniones con UARIV, UNP, UIAFP, Minjusticia, Minvivienda, Centro de Memoria Histórica, ARN, FFMM y la Secretaria Técnica del Componente Internacional del Acuerdo de paz para concertar las acciones que le aportan al Plan de Acción de la Política de Reconciliación.
Jun: Se recibieron los insumos del Plan de acción del Centro Nacional de Memoria Histórica. Se realizaron reuniones con MinSalud, MinTIC, RTVC, ICBF entre otras, para la presentación de la política y la definición del cronograma de las siguientes acciones.</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</si>
  <si>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</si>
  <si>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</si>
  <si>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</si>
  <si>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Como avance de trimestre no se cumple la meta programada, dado que dados los cambios de alta gerencia institucional, el equipo no cuenta aún con ningún personal vinculado para el desarrollo de las actividades preparatorias para la generación de las jornadas de formulación del plan, ni con servicio de operación logista.</t>
  </si>
  <si>
    <t>Durante el segundo trimestre no se cumple la meta programada; no obstante,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</si>
  <si>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3.1%</t>
  </si>
  <si>
    <t>Como avance del trimestre tenemos el cumplimiento del 3.1% de la meta programada destacando la elaboración de la versión preliminar para la discusión del documento “RUTA METODOLOGICA PARA LA TERRITORIALIZACION DE LA POLITICA PÍUBLICA DE RECONCILIACIÓN y las reuniones presenciales y virtuales con las secretarías e instancias pertinentes en cada gobernación focalizada Caquetá, Cundinamarca, Antioquia, Nariño, Cauca, Huila, Tolima y Meta con el objeto de presentar la metodología propuesta para la territorialización de la PPRCNE en estos departamentos.</t>
  </si>
  <si>
    <t xml:space="preserve">Formular el plan de acción de la Política pública de convivencia, reconciliación, tolerancia y no estigmatización. </t>
  </si>
  <si>
    <t>Informes de la formulación del plan de acción de la Política pública de convivencia, reconciliación, tolerancia y no estigmatización realizados</t>
  </si>
  <si>
    <t>Sumatoria de informes de la formulación del plan de acción de la Política pública de convivencia, reconciliación, tolerancia y no estigmatización elaborados</t>
  </si>
  <si>
    <t>Territorializar la Política pública de convivencia, reconciliación, tolerancia y no estigmatización, en territorios priorizados</t>
  </si>
  <si>
    <t>Informes de la territorialización de la Política pública de convivencia, reconciliación, tolerancia y no estigmatización en territorios priorizados realizados</t>
  </si>
  <si>
    <t>Sumatoria de informes de la territorialización de la Política pública de convivencia, reconciliación, tolerancia y no estigmatización en territorios priorizados elaborados</t>
  </si>
  <si>
    <t>Actores diferenciales para el cambio
3. Reparación efectiva e integral a las víctimas
4. Vida, seguridad y libertad de los territorios</t>
  </si>
  <si>
    <t>CE-9</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</si>
  <si>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</si>
  <si>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</si>
  <si>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</si>
  <si>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 xml:space="preserve">(Número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</si>
  <si>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</si>
  <si>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</si>
  <si>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En el segundo trimestre se cuenta con un avance del 100% de la meta programada ya que se cuenta con el informe de seguimiento a la implementación de las medidas de protección colectivas en el marco de las garantías de los Derechos Humanos. En este informe se reflejan los cinco (5) informes de seguimiento de los colectivos que se relacionan a continuación: Cuambi Yaslambi, Consejo Comunitario La Larga Tumarado COCOLATU, Consejo Comunitario Unión del Río Rosario, FUMPAZ y AFROMUPAZ.</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</si>
  <si>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Indigena Zenu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</si>
  <si>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Indigena Tangua (4), 40. Resguardo Indigena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</si>
  <si>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</si>
  <si>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Como avance del trimestre y en desarrollo de las acciones de seguimiento a la implementación y cumplimiento de las medidas de protección colectivas. tenemos: i) Elaboración de 3 informes de seguimiento para los resguardos Indígenas Docordo Balsalito, Bochoromá, y Piñuña Blanco; ii) Elaboración y presentación de informes de seguimiento ante el CERREM para 3 colectivos: resguardos Indígenas Docordo Balsalito, Bochoromá, y Piñuña Blanco; iii)Gestiones de activación de trámites de emergencia para 3 casos: Comunidad Indígena Resguardo Cerro Tijeras Suarez- Cauca; Resguardo Indígena Pueblo Nuevo Ceral de Buenos Aires, Cauca; y Resguardo Munchique Los Tigres de Santander de Quilichao, Norte del Cauca; iv) Realización de 1 mesa de impulso y seguimiento a la implementación de medidas a favor de ACADESAN.</t>
  </si>
  <si>
    <t>Se cumple el 100% de la meta programa, destacándose: la realización de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la realización de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</si>
  <si>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 xml:space="preserve">Se informa que el avance cuantitativo corresponde al informe general y trimestral de seguimiento a las medidas de protección. Dado que el informe abarca los meses del tercer trimestre (julio, agosto y septiembre), el resultado cuantitativo es 1. Las acciones del mes de septiembre registran un total de 17 actividades, distribuidas así:
A) 9 informes de seguimiento para los colectivos: Rio Taparal, ACADESAN, La nueva esperanza, Odemap mosquera norte, Odemap mosquera sur, Prodefensa rio Tapaje, Resguardo indígena el tablero, Comunidad indígena Jitoma monaidel del pueblo Murui y Resguardo indígena Tanela.
B) 4 informes presentados ante el CERREM para: Comunnidad indígena del resguardo Yarinal San Marcelino, El tablero, Jitoma y Liga de mujeres desplazadas.
C) 1 mesas de impulso y seguimiento realizadas: ASOCOETNAR
D) Activación de trámites de emergencia en 3 casos: Asociaciones de autoridades ancestrales territoriales Nasa ÇXHÃÇXHA, Comunidad campesina y pescadores de puerto Salgar Cundinamarca, Cabildo indígena resguardo kankuamo.
E) NUMERO DE OFICIOS NOTIFICADOS: 81
Además, se han respondido 89 PQR’S a través de la plataforma Control Doc. </t>
  </si>
  <si>
    <t>Realizar seguimiento a la implementación y cumplimiento de las medidas de protección colectivas</t>
  </si>
  <si>
    <t>Informes de los seguimientos a la implementación y cumplimiento de las medidas de protección colectivas realizados</t>
  </si>
  <si>
    <t>Sumatoria de informes de los seguimientos a la implementación y cumplimiento de las medidas de protección colectivas elaborados</t>
  </si>
  <si>
    <t>4. Promover y proteger los Derechos Humanos, especialmente la vida, la libertad, la seguridad, así como los Derechos de autor y conexos, fundamentados en la cultura de legalidad y emprendimiento: Derechos Humanos</t>
  </si>
  <si>
    <t>E. Justicia para el cambio social, democrartización del estado y garantía de Derechos y libertades
4. Justicia transicional e implementación de las sanciones y medidas de reparación para la reconciliación social</t>
  </si>
  <si>
    <t>Ley 975 de 2005
Decreto 3570 de 2007
Decreto 1737 de 2010</t>
  </si>
  <si>
    <t>12. Reducción de la violencia en zonas de conflicto
33. Tránsito hacia la paz total</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</si>
  <si>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</si>
  <si>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</si>
  <si>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</si>
  <si>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</si>
  <si>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</si>
  <si>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</si>
  <si>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El avance del trimestre es 67% de lo programado destacando la realización de 14 asesorías y asistencias técnicas a los GTER y 11 reuniones de seguimiento del funcionamiento de los GTER.</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</si>
  <si>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</si>
  <si>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</si>
  <si>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 xml:space="preserve">
Como avance de trimestre se el 93% cumple la meta programada, dado que se realizaron seis (6) asistencias técnicas, cinco (5) virtuales, una (1) presencial a los grupos Interinstitucionales de apoyo, técnicos de valoración de riesgos -GTER, departamental de medidas complementarias y autoridades de orden nacional y territorial; y ocho (8) reuniones de seguimiento a los grupos Interinstitucionales de apoyo, técnicos de valoración de riesgos - GTER, departamental de medidas complementarias de Medellín, Bogotá, Barranquilla, Cali, y Bucaramanga.</t>
  </si>
  <si>
    <t>Se cumple el 100% de la meta programada para el trimestre destacándose la realización de siete (7) asistencias técnicas. i) cuatro (4) asistencias virtuales a entidades del Programa de Justicia y Paz del nivel nacional; ii) asistencia al Grupo Técnico de Evaluación de Riesgo de la regional Barranquilla; iii) asistencia técnica y jurídica presencial a integrantes del GTER Bogotá; y de ocho (8) jornadas de seguimientos a los grupos técnicos de evaluación de riesgo a las regionales de Pereira (2), Barranquilla (2), Medellín (3), y Bogotá.</t>
  </si>
  <si>
    <t>Como avance del trimestre tenemos el cumplimiento del 100% de la meta programada destacando las (8) asistencias técnicas y jurídica al GTER de la regional Cali, Pereira, Medellín  y entidades del Programa de Justicia y Paz; así como las (6) jornadas de seguimiento al funcionamiento a los Grupos Técnicos  de evaluación de riesgos de las regionales Cali, Ibagué, Medellín, Pereira, Barranquilla y Medellín.</t>
  </si>
  <si>
    <t>Realizar asesorías y asistencias jurídicas a los grupos Interinstitucionales de apoyo, técnicos de valoración de riesgos -GTER, departamental de medidas complementarias y autoridades de orden nacional y territorial.</t>
  </si>
  <si>
    <t>Informes de los asesorías y asistencias jurídicas a los grupos Interinstitucionales de apoyo, técnicos de valoración de riesgos -GTER, departamental de medidas complementarias y autoridades de orden nacional y territorial realizados</t>
  </si>
  <si>
    <t>Sumatoria de los informes de las asesorías y asistencias jurídicas a los grupos Interinstitucionales de apoyo, técnicos de valoración de riesgos -GTER, departamental de medidas complementarias y autoridades de orden nacional y territorial elaborados</t>
  </si>
  <si>
    <t>A-03-03-01-009</t>
  </si>
  <si>
    <t>PROGRAMA DE PROTECCION A PERSONAS QUE SE ENCUENTRAN EN SITUACION DE RIESGO CONTRA SU VIDA, INTEGRIDAD, SEGURIDAD O LIBERTAD, POR CAUSAS RELACIONADAS CON LA VIOLENCIA EN COLOMBIA</t>
  </si>
  <si>
    <t>Realizar reuniones de seguimiento a los grupos Interinstitucionales de apoyo, técnicos de valoración de riesgos - GTER, departamental de medidas complementarias y autoridades de orden Nacional y Territorial.</t>
  </si>
  <si>
    <t>Informes de las reuniones de seguimiento a los grupos Interinstitucionales de apoyo, técnicos de valoración de riesgos - GTER, departamental de medidas complementarias y autoridades de orden Nacional y Territorial realizados</t>
  </si>
  <si>
    <t>Sumatoria de los informes de las reuniones de seguimiento elaborados</t>
  </si>
  <si>
    <t>Apoyar iniciativas en materia de Derechos Humanos con enfoque de género y diferencial con énfasis en protección y prevención hacia las mujeres.</t>
  </si>
  <si>
    <t>Informes de las iniciativas apoyadas en materia de Derechos Humanos con enfoque de género y diferencial con énfasis en protección y prevención hacia las mujeres generados</t>
  </si>
  <si>
    <t>Sumatoria de los informes de las iniciativas apoyadas en materia de Derechos Humanos con enfoque de género y diferencial con énfasis en protección y prevención hacia las mujeres elaborados</t>
  </si>
  <si>
    <t>Apoyar iniciativas territoriales como acción de contribución a la implementación de los planes integrales de prevención y autoprotección de comunidades en el marco del decreto 660 de 2018</t>
  </si>
  <si>
    <t>Informes de seguimiento a las iniciativas apoyadas como acción de contribución a la implementación de los planes de integrales de prevención y autoprotección de comunidades priorizada, elaborados.</t>
  </si>
  <si>
    <t>Sumatoria de número de informes de seguimiento a las iniciativas apoyadas elaborados</t>
  </si>
  <si>
    <t>2. Seguridad humana y justicia social.
Catalizador A. Habilitadores que potencian la seguridad humana y las oportunidades de bienestar.
9. Legitimidad, transparencia e integridad de las instituciones para la seguridad humana
c. Respeto a los DD. HH. y al DIH desde un enfoque diferencial</t>
  </si>
  <si>
    <t>Ley 2294 de 2023, artículo 109</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</si>
  <si>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</si>
  <si>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</si>
  <si>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</si>
  <si>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</si>
  <si>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</si>
  <si>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El avance del trimestre es 100% del 5% lo programado destacando la elaboración de la metodología y agenda de trabajo de la formulación de la política. De igual formuló el árbol de problemas de la política y un borrador de acciones con base en las propuestas de la sociedad civil, aunado a la socialización del abordaje de la política con plataformas de derechos humanos.</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</si>
  <si>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</si>
  <si>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</si>
  <si>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</si>
  <si>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Avance trimestre: aunque la actividad no tiene meta programada, se realizaron las siguientes dirigidas a construir documento conjunto propuesta institucional-Sociedad civil para formulación de la política, motivo por el cual se participó en mesas de trabajo con organizaciones sociales vinculadas a la Comisión de Seguimiento a la SU 546 y la Instancia Nacional de Coordinación para la formulación de la Política Pública Integral de Garantías para el Liderazgo y la Defensa de Derechos Humanos en Colombia con la finalidad de construir la ruta metodológica de cierre de la consulta participativa de este política, así como también la elaboración de la metodología para la realización de los espacios bilaterales de concertación. Se tiene previsto el cierre de esta consulta en el mes de mayo con la realización del seminario nacional de validación.</t>
  </si>
  <si>
    <t>Durante el segundo trimestre se cumple el 100% de la meta programada destacándose: la realización de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Elaboración de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t>
  </si>
  <si>
    <t>No hay avance de la meta para el periodo en atención a Los retrasos en las gestiones de viabilización y disponibilidad de los recursos del proyecto de inversión</t>
  </si>
  <si>
    <t xml:space="preserve">Construir el plan de acción de la Política Pública Integral de Garantías para el liderazgo y la Defensa de los Derechos Humanos en Colombia </t>
  </si>
  <si>
    <t>Informes de la construcción del plan de acción de la Política Pública Integral de Garantías para el liderazgo y la Defensa de los Derechos Humanos en Colombia generados</t>
  </si>
  <si>
    <t>Sumatoria de informes de la construcción del plan de acción de la Política Pública Integral de Garantías para el liderazgo y la Defensa de los Derechos Humanos en Colombia elaborados</t>
  </si>
  <si>
    <t>Construir la metodología de territorización de la Política Pública Integral de Garantías para el liderazgo y la Defensa de los Derechos Humanos en Colombia.</t>
  </si>
  <si>
    <t>Informes de la construcción de la metodología de territorización de la Política generados</t>
  </si>
  <si>
    <t>Sumatoria de informes de la construcción de la metodología de territorización de la Política elaborados</t>
  </si>
  <si>
    <t>5. Convergencia Territorial
6. Dispositivos democráticos de participación: política de diálogo permanente con decisiones desde y para el territorio.
b. Efectividad de los dispositivos de participación ciudadana, política y electoral</t>
  </si>
  <si>
    <t>Sentencia C-009-18 Corte Constitucional
Sentencia STC-7641- 2020 Corte Suprema de Justicia</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</si>
  <si>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</si>
  <si>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</si>
  <si>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</si>
  <si>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</si>
  <si>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</si>
  <si>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</si>
  <si>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</si>
  <si>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</si>
  <si>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Como avance de trimestre se el 100% cumple la meta programada, dado que se cuenta con las actas de las 3 jornadas de impulso a la adopción y seguimiento a la implementación de los protocolos territoriales para la garantía de los Derechos Humanos en el marco de las manifestaciones públicas y protesta social pacífica, desarrolladas así: i) Reunión virtual con la gobernación del Guaviare, manifestaron que el protocolo está en revisión de la oficina jurídica; ii) Reunión virtual con la gobernación del Quindío, manifestaron que el protocolo está en revisión de la oficina jurídica; y iii) Reunión presencial con la Alcaldía de Cali, para iniciar la concertación del protocolo de protesta social.</t>
  </si>
  <si>
    <t xml:space="preserve">Durante el segundo trimestre se cumple el 100% de la meta programada destacándose la realización de informe que da cuenta de los espacios realizados con: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Alcaldía de Choco, Gobernación de Choco, Alcaldía de San José del Guaviare, Sociedad Civil Norte de Santander, Gobernación de Vaupés, Alcaldía Mitú, Gobernación de Casanare, Alcaldía de Cali, Alcaldía de Pasto, Gobernación Quindío; Alcaldía de Quibdó, Gobernación de Guaviare, Gobernación de Casanare, Sociedad civil Cauca,  Gobernación Quindío. </t>
  </si>
  <si>
    <t xml:space="preserve">Impulsar la adopción y seguimiento a la implementación de los protocolos territoriales para la garantía de los Derechos Humanos en el marco de las manifestaciones públicas y protesta social pacífica. </t>
  </si>
  <si>
    <t xml:space="preserve">Informes de los espacios territoriales de impulso para la adopción y seguimiento a la implementación de los protocolos territoriales para la garantía de los Derechos Humanos en el marco de las manifestaciones públicas y protesta social pacífica, realizados	</t>
  </si>
  <si>
    <t xml:space="preserve">
Sumatoria de informes de espacios territoriales de impulso realizados</t>
  </si>
  <si>
    <t>Dirección de la Autoridad Nacional de Consulta Previa</t>
  </si>
  <si>
    <t>Alfonso Enrique Jiménez Echevarria ( E )</t>
  </si>
  <si>
    <t>Una sociedad para la vida, garante de derechos y en condiciones de igualdad hasta que la dignidad se haga costumbre.</t>
  </si>
  <si>
    <t>De la desigualdad hacia una sociedad garante de derechos: haremos realidad la constitución del 91 por fuera del negocio.</t>
  </si>
  <si>
    <t>Seguridad humana y justicia social</t>
  </si>
  <si>
    <t>PAZ, JUSTICIA E INSTITUCIONES SÓLIDAS</t>
  </si>
  <si>
    <t>5. Fortalecer el diálogo social e intercultural “Estado – Comunidades”,  promoviendo estrategias que contribuyan a la equidad y el desarrollo de los pueblos Indígenas, Rrom, y comunidades Negras, Afro, Raizales y Palenqueras, garantizando el derecho fundamental a la consulta previa: Comunidades étnicas</t>
  </si>
  <si>
    <t>Convergencia Regional</t>
  </si>
  <si>
    <t xml:space="preserve">Implementar los instrumentos jurídicos requeridos para garantizar el derecho a la consulta previa alineado a los fundamentos del plan nacional de desarrollo. </t>
  </si>
  <si>
    <t>Porcentaje de avance en las actividades necesarias para implementar los instrumentos jurídicos requeridos para garantizar el derecho a la consulta previa.</t>
  </si>
  <si>
    <t xml:space="preserve">Promedio de los porcentajes de avance de las actividades necesarias para implementar los instrumentos jurídicos requeridos para garantizar el derecho a la consulta previa </t>
  </si>
  <si>
    <t>Durante el 2023 se adelantó conforme a lo programado la construcción del inventario y valoración del marco normativo, la priorización de ejes normativos,  la planeación de las fases del proceso y la construcción colectiva de los instrumentos jurídicos con los actores de la consulta.</t>
  </si>
  <si>
    <t>En el primer trimestre de 2024 se cumplió con la meta establecida en la construcción colectiva de los instrumentos jurídicos con los actores de la consulta.</t>
  </si>
  <si>
    <t xml:space="preserve">En el segundo trimestre de 2024 se cumplió con la meta establecida en la construcción colectiva de los instrumentos jurídicos con los actores de la consulta. </t>
  </si>
  <si>
    <t xml:space="preserve">En el tercer trimestre de 2024 se cumplió parcialmente con la meta establecida en la construcción colectiva de los instrumentos jurídicos con los actores de la consulta,. Lo anterior debido a que se presentaron demoras en suscripción del contrato 1862 de 2024 con la Universidad Nacional. No obstante se han adelantado gestiones importanes en torno a: 
-Acta de inicio entre las partes.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 Grupos focales entrevistados fueron:  grupo focal #1: Despacho Director de Consulta Previa, Grupo focal #2:  Subdirección Ténica de Consulta previa-STC, Grupo focal #3: Subdirección de Gestión de Consulta Previa-SCP y Grupo focal #4: área de información estadística DCP. </t>
  </si>
  <si>
    <t>Al cierre del IV trimestre de 2024, la Universidad Nacional de Colombia radicó para revisión y aprobación los documentos   “Documento digital interactivo con la consolidación normativa, jurisprudencial y académica”; así como el capítulo de análisis de los lineamientos aplicables al derecho fundamental colectivo a la consulta previa en Colombia” y “Documento de memoria del proceso de construcción colectiva  con los actores estratégicos del proceso de consulta previa" en el marco del contrato 1862 de 2024, suscrito con dicha universidad.</t>
  </si>
  <si>
    <t>En el año 2024 se cumplió con las actividades establecidas en la vigencia 2024, se elaboraron los documentos  con la consolidación normativa, jurisprudencial y académica, documento de memoria del proceso de construcción colectiva  con los actores estratégicos del proceso de consulta previa</t>
  </si>
  <si>
    <t>En el primer trimestre de 2025 se cumplió con las metas de las actividades programadas para continuar con la implementación de los instrumentos jurídicos requeridos para garantizar el derecho a la consulta previa alineado a los fundamentos del plan nacional de desarrollo</t>
  </si>
  <si>
    <t>En el segundo trimestre de 2025 se cumplió con las metas de las actividades programadas para continuar con la implementación de los instrumentos jurídicos requeridos para garantizar el derecho a la consulta previa alineado a los fundamentos del plan nacional de desarrollo</t>
  </si>
  <si>
    <t>En el tercer trimestre de 2025 se cumplió con las metas de las actividades programadas para continuar con la implementación de los instrumentos jurídicos requeridos para garantizar el derecho a la consulta previa alineado a los fundamentos del plan nacional de desarrollo</t>
  </si>
  <si>
    <t xml:space="preserve">Socialización del inventario del marco normativo de la Consulta Previa </t>
  </si>
  <si>
    <r>
      <rPr>
        <sz val="8"/>
        <color theme="1"/>
        <rFont val="Aptos Narrow"/>
        <scheme val="minor"/>
      </rPr>
      <t>Documentos de socialización del marco normativo</t>
    </r>
    <r>
      <rPr>
        <sz val="10"/>
        <color theme="1"/>
        <rFont val="Aptos Narrow"/>
        <scheme val="minor"/>
      </rPr>
      <t xml:space="preserve"> </t>
    </r>
  </si>
  <si>
    <t>Porcentaje de avance en la socialización y actualización  del inventario y valoración del marco normativo</t>
  </si>
  <si>
    <t xml:space="preserve"> (Número de actividades de socialización del marco normativo de la consulta previa realizadas / Número de actividades se socialización del marco normativo de la consulta previa programadas)</t>
  </si>
  <si>
    <t>A-03-03-01-034</t>
  </si>
  <si>
    <t>FORTALECIMIENTO A LA CONSULTA PREVIA. CONVENIO 169 OIT, LEY 21 DE 1991, LEY 70 DE 1993</t>
  </si>
  <si>
    <t xml:space="preserve">Definición institucional de lineamientos metodológicos para cada etapa de la consulta previa </t>
  </si>
  <si>
    <t>Documento con lineamientos metodológicos de cada etapa de la consulta previa</t>
  </si>
  <si>
    <t xml:space="preserve">Porcentaje de avance en la definición institucional de lineamientos metodológicos para cada etapa de la consulta previa </t>
  </si>
  <si>
    <t>(Número de actividades ejecutadas para definición institucional de lineamientos metodológicos para cada etapa de la consulta previa  / Número de actividades programadas para la definición institucional de lineamientos metodológicos para cada etapa de la consulta previa ) x 100</t>
  </si>
  <si>
    <t xml:space="preserve">Consolidación de insumos orientados al desarrollo de alternativas de instrumentos jurídicos diferenciados para las comunidades étnicas que garanticen el derecho colectivo a la consulta previa </t>
  </si>
  <si>
    <t xml:space="preserve">Actas de avance en la consolidación  insumos orientados al desarrollo de alternativas de instrumentos jurídicos realizadas en los espacios con los colectivos étnicos </t>
  </si>
  <si>
    <t xml:space="preserve">Porcentaje de avance en la consolidación insumos orientados al desarrollo de alternativas de instrumentos jurídicos diferenciados para las comunidades étnicas que garanticen el derecho colectivo a la consulta previa </t>
  </si>
  <si>
    <t>(Número de espacios realizados en la consolidación insumos orientados al desarrollo de alternativas de instrumentos jurídicos diferenciados para las comunidades étnicas que garanticen el derecho colectivo a la consulta previa / Número de espacios programados en la consolidación insumos orientados al desarrollo de alternativas de instrumentos jurídicos diferenciados para las comunidades étnicas que garanticen el derecho colectivo a la consulta previa) x 100</t>
  </si>
  <si>
    <t>Garantizar  el derecho a la consulta previa, mediante la construcción colectiva de los procedimientos técnicos requeridos para la determinación de la procedencia y la coordinación y aplicación de dichos procesos.</t>
  </si>
  <si>
    <t xml:space="preserve">Porcentaje de avance en las actividades necesarias para garantizar el derecho a la consulta previa, mediante la construcción colectiva de los procedimientos técnicos requeridos para la determinación de la procedencia y la coordinación y aplicación de dichos procesos. </t>
  </si>
  <si>
    <t>(Actividades ejecutadas para garantizar el derecho a la consulta previa, mediante la construcción colectiva de los procedimientos técnicos requeridos para la determinación de la procedencia y la coordinación y aplicación de dichos procesos. / Actividades programadas para garantizar el derecho a la consulta previa, mediante la construcción colectiva de los procedimientos técnicos requeridos para la determinación de la procedencia y la coordinación y aplicación de dichos procesos.)*100</t>
  </si>
  <si>
    <t>Durante el 2023, conforme a lo programado se desarrollaron adecuadamente las actividades tendientes a garantizar el derecho a la consulta previa, mediante la construcción colectiva de los procedimientos técnicos requeridos para la determinación de la procedencia y la coordinación y aplicación de dichos procesos.</t>
  </si>
  <si>
    <t>Con corte al primer trimestre de 2024, se dio cumplimiento en la meta de las 6 actividades con meta programada, avanzando en la construcción de metodologías y términos de referencia y demás actividades.</t>
  </si>
  <si>
    <t>En el segundo trimestre de 2024, se dio cumplimiento en la meta de las 5 actividades con meta programada, garantizando el derecho a la consulta previa. Se avanza en las reuniones de consulta previa con los sectores económicos</t>
  </si>
  <si>
    <t>En el tercer trimestre de 2024, se dio cumplimiento pleno a las metas establecidas para las actividades programadas, garantizando el derecho a la consulta previa. Se avanza en las reuniones de consulta previa con los sectores económicos</t>
  </si>
  <si>
    <t xml:space="preserve">Al cierre del IV trimestre de 2024 se realizaron los documentos: “Documento de formulación de metodologías técnica para el proceso consultivo" y  “Documento de  propuesta  de los términos de referencia que operativizan el proceso consultivo”. Se realizaron 137 visitas de verificación a territorio de los proyectos alineados con el programa de gobierno y el plan de desarrollo para la Determinación de procedencia y Oportunidad de la Consulta previa, Se emitieron 590 actos administrativos de Determinación de Procedencia Consulta Previa. Se atendieron 497 reuniones de consulta previa Se atendieron 6 reuniones asociadas a las consultas de cultivos ilícitos. </t>
  </si>
  <si>
    <t>En el año 2024, se cumplió con las actividades previstas para asegurar el ejercicio del derecho a la consulta previa, a través de la construcción colectiva de los procedimientos técnicos necesarios para determinar su procedencia, así como para coordinar y aplicar dichos procesos.</t>
  </si>
  <si>
    <t>En el primer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</si>
  <si>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segundo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</si>
  <si>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tercer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</si>
  <si>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 xml:space="preserve">Aplicación de visitas de verificación en territorio de los proyectos alineados con el programa de gobierno y el plan de desarrollo. </t>
  </si>
  <si>
    <t>Informes de Comisión de las visitas de verificación en territorio de los proyectos alineados con el programa de gobierno y el plan de desarrollo.</t>
  </si>
  <si>
    <t>Porcentaje de avance en la aplicación de visitas de verificación en territorio de los proyectos alineados con el programa de gobierno y el plan de desarrollo.</t>
  </si>
  <si>
    <t>(Número de visitas de verificación realizadas en territorio de los proyectos alineados con el programa de gobierno y el plan de desarrollo / Número de visitas de verificación programadas en territorio de los proyectos alineados con el programa de gobierno y el plan de desarrollo) x 100</t>
  </si>
  <si>
    <t>Determinación de la procedencia de la consulta previa.</t>
  </si>
  <si>
    <t xml:space="preserve">Actos administrativos de procedencia expedidos </t>
  </si>
  <si>
    <t xml:space="preserve">Porcentaje de actos administrativos expedidos para determinar la procedencia o no de la consulta previa  </t>
  </si>
  <si>
    <t xml:space="preserve">(Número de actos administrativos expedidos para determinar la procedencia o no de la consulta previa / Número de actos administrativos programados para determinar la procedencia o no de la consulta previa ) x 100 </t>
  </si>
  <si>
    <t>Gestión y coordinación de los procesos consultivos.</t>
  </si>
  <si>
    <t xml:space="preserve">Matriz de reuniones convocadas y  atendidas en el marco de procesos de consulta previa </t>
  </si>
  <si>
    <t xml:space="preserve">Porcentaje de reuniones convocadas y atendidas en el marco de procesos de consulta previa </t>
  </si>
  <si>
    <t>((Número de reuniones atendidas en el marco de procesos de consulta previa  / Número de reuniones convocadas en el marco de procesos de consulta previa) / 100%) / (85%))</t>
  </si>
  <si>
    <t>Cumplimiento de fallos judiciales</t>
  </si>
  <si>
    <t>Matriz de reuniones de consulta previa en el marco de cumplimiento de órdenes judiciales</t>
  </si>
  <si>
    <t xml:space="preserve">Porcentaje de reuniones de consulta previa convocadas y atendidas en cumplimiento de las órdenes judiciales </t>
  </si>
  <si>
    <t xml:space="preserve"> (Número de reuniones de consulta previa atendidas en cumplimiento de las órdenes judiciales / Número de reuniones de consulta previa convocadas en cumplimiento de las órdenes judiciales) x 100</t>
  </si>
  <si>
    <t>Coordinación de los procesos de consulta previa para la etnoreparación de los grupos étnicos en el marco de las órdenes judiciales para erradicación de cultivos de uso ilícito.</t>
  </si>
  <si>
    <t>Matriz de seguimiento a reuniones convocadas y atendidas en cumplimiento de los fallos judiciales asociados a la erradicación de cultivos ilícitos</t>
  </si>
  <si>
    <t>Porcentaje de reuniones convocadas y atendidas en cumplimiento de los fallos judiciales asociados a la erradicación de cultivos ilícitos</t>
  </si>
  <si>
    <t>((Número de reuniones atendidas en cumplimiento de los fallos judiciales asociados a la erradicación de cultivos ilícitos / Número de. reuniones convocadas en cumplimiento de los fallos judiciales asociados a la erradicación de cultivos ilícitos) / 100%) / (85%))</t>
  </si>
  <si>
    <t xml:space="preserve">Diseñar , implementar y evaluar la estrategia de fomento y sensibilización en materia de Consulta Previa.	</t>
  </si>
  <si>
    <t xml:space="preserve">Porcentaje de avance en las actividades para el diseño, implementación y evaluación de la estrategia de fomento y sensibilización en materia de Consulta Previa.	</t>
  </si>
  <si>
    <t>(Actividades ejecutadas para el diseño, implementación y evaluación de la estrategia de fomento y sensibilización en materia de Consulta Previa./ Actividades programadas para el diseño, implementación y evaluación de la estrategia de fomento y sensibilización en materia de Consulta Previa.	)*100</t>
  </si>
  <si>
    <t>Durante el 2023 se adelantó conforme a lo programado el avance de las actividades programadas para el diseño, implementación y evaluación de la estrategia de fomento y sensibilización en materia de Consulta Previa.</t>
  </si>
  <si>
    <t xml:space="preserve">Con corte al primer trimestre de 2024, se dio cumplimiento en la meta de las 4 actividades con meta programada, avanzando en las actividades de la Escuela de formación y demás actividades de la iniciativa. </t>
  </si>
  <si>
    <t>En el segundo trimestre de 2024, se dio cumplimiento en la meta de las 4 actividades con meta programada, avanzando en las actividades de la Escuela de formación y Fortalecimiento de capacidades y habilidades de los grupos étnicos, ejecutores e institucionalidad interviniente para la participación en los procesos de consulta previa</t>
  </si>
  <si>
    <t xml:space="preserve">En el tercer trimestre de 2024, se dio cumplimiento en la meta de las actividades con meta programada, entre las cuales se avanzó en:
- Actividades de la  Escuela de formación, suscribiendo el contrato 1831 de 2024 con la Universidad del valle para la realización de foros y diplomados.
Capacitaciones en Consulta Previa en diferentes departamentos y municipios del País,  para el  Fortalecimiento de capacidades y habilidades de los grupos étnicos, ejecutores e institucionalidad interviniente para la participación en los procesos de consulta previa.
-Se dio cumplimiento al 100% de la orden novena y del auto 1196 </t>
  </si>
  <si>
    <t>Durante el cuarto trimestre de 2024 se continuó con las sesiones del comité de expertos, en los cuales se trataron temas como: implementación de una ruta de análisis frente a la solicitud de emitir concepto técnico de activación de consentimiento previo, libre e informado derivado de la ejecución del proyecto Minero Alacrán en relación con la comunidad Zenú San Pedro, el diseño de la ruta de cumplimiento de la Sentencia T393 de 2024, análisis del borrador de Directiva Presidencial sobre Consulta Previa remitida desde la Presidencia de la República y la agenda anual concluyó en un ejercicio de identificación de retos desde la Consulta Previa frente a la órdenes para el cumplimiento de la Sentencia T248/2024. En el marco de la implementación de la Escuela de Formación, se realizaron capacitaciones en Bogotá, San Juan del Cesar - La Guajira, Cartagena, Manzanillo del Mar, Zapatero, Isla Fuerte, Membrillal, Valle del Cauca – Dagua, San Andrés Islas</t>
  </si>
  <si>
    <t>Al finalizar el año 2024, se cumplió conforme a lo previsto con el avance de las actividades programadas para el diseño, implementación y evaluación de la estrategia de fomento y sensibilización en materia de Consulta Previa.</t>
  </si>
  <si>
    <t>En el primer trimestre de 2025 se cumplió con las metas de las actividades programadas para continuar con el diseño, implementación y evaluación de la estrategia de fomento y sensibilización en materia de Consulta Previa.</t>
  </si>
  <si>
    <t>En el segundo trimestre de 2025 se cumplió con las metas de las actividades programadas para continuar con el diseño, implementación y evaluación de la estrategia de fomento y sensibilización en materia de Consulta Previa</t>
  </si>
  <si>
    <t>En el tercer trimestre de 2025 se cumplió con las metas de las actividades programadas para continuar con el diseño, implementación y evaluación de la estrategia de fomento y sensibilización en materia de Consulta Previa</t>
  </si>
  <si>
    <t>Operación continua del comité interdisciplinario de expertos para el estudio, evaluación y orientación de procesos críticos.</t>
  </si>
  <si>
    <t>Actas de sesiones del Comité Interdisciplinario de Expertos</t>
  </si>
  <si>
    <t>Porcentaje de sesiones convocadas y realizadas del comité interdisciplinario de expertos para el estudio, evaluación y orientación de procesos críticos.</t>
  </si>
  <si>
    <t>(Número de sesiones realizadas del Comité Interdisciplinario de expertos / Número de sesiones convocadas del Comité Interdisciplinario de expertos) x 100</t>
  </si>
  <si>
    <t>Implementación de estrategias de formación desde la escuela de formación para grupos de interés.</t>
  </si>
  <si>
    <t>Número de estrategias de formación implementadas desde la escuela de formación para grupos de interés</t>
  </si>
  <si>
    <t>Porcentaje de estrategias de formación implementadas desde la escuela de formación para grupos de interés.</t>
  </si>
  <si>
    <t>(Número de estrategias de formación implementadas desde la escuela de formación para grupos de interés / Número de estrategias de formación programadas a implementar desde la escuela de formación para grupos de interés) x 100</t>
  </si>
  <si>
    <t>Fortalecimiento de las capacidades y habilidades de los grupos étnicos, servidores públicos, ejecutores y ciudadanía en general en materia de consulta previa</t>
  </si>
  <si>
    <t>Convocatorias, documentos, listados de asistencia y listado de certificaciones expedidas de los participantes a las actividades académicas realizadas  en materia de consulta previa</t>
  </si>
  <si>
    <t>Porcentaje de actividades académicas realizadas en materia de consulta previa</t>
  </si>
  <si>
    <t>(Número de actividades académicas realizadas en materia de consulta previa / número de actividades académicas programadas en materia de consulta previa) x 100</t>
  </si>
  <si>
    <t>C-3799-1000-1</t>
  </si>
  <si>
    <t>FORTALECIMIENTO DE LAS CAPACIDADES Y HABILIDADES CON QUE CUENTAN LOS GRUPOS ÉTNICOS, EJECUTORES E INSTITUCIONALIDAD INTERVINIENTE PARA LA PARTICIPACIÓN EN LOS PROCESOS DE CONSULTA PREVIA NACIONAL</t>
  </si>
  <si>
    <t xml:space="preserve">Articular y consolidar la gestión operacional de la Dirección de la Autoridad Nacional de Consulta Previa.	</t>
  </si>
  <si>
    <t xml:space="preserve">Porcentaje de avance en las actividades requeridas para articular y consolidar la gestión operacional de la Dirección de la Autoridad Nacional de Consulta Previa.	</t>
  </si>
  <si>
    <t xml:space="preserve">(Actividades ejecutadas para articular y consolidar la gestión operacional de la Dirección de la Autoridad Nacional de Consulta Previa. / Actividades programadas para articular y consolidar la gestión operacional de la Dirección de la Autoridad Nacional de Consulta Previa.)*100	 </t>
  </si>
  <si>
    <t>Durante el 2023 se adelantó conforme a lo programado el avance de las actividades programadas para articular y consolidar la gestión operacional de la Dirección de la Autoridad Nacional de Consulta Previa.</t>
  </si>
  <si>
    <t>En el primer trimestre de 2025 se cumplió con las metas de las actividades programadas para continuar con la articulación y consolidación de la gestión operacional de la Dirección de la Autoridad Nacional de Consulta Previa</t>
  </si>
  <si>
    <t>En el segundo trimestre de 2025 se cumplió con las metas de las actividades programadas para continuar con la articulación y consolidación de la gestión operacional de la Dirección de la Autoridad Nacional de Consulta Previa</t>
  </si>
  <si>
    <t>En el tercer trimestre de 2025 se cumplió con las metas de las actividades programadas para continuar con la articulación y consolidación de la gestión operacional de la Dirección de la Autoridad Nacional de Consulta Previa</t>
  </si>
  <si>
    <r>
      <t xml:space="preserve">Gestión administrativa y financiera que garantice la misionalidad de la Dirección de la Autoridad Nacional de Consulta Previa </t>
    </r>
    <r>
      <rPr>
        <b/>
        <sz val="8"/>
        <color theme="1"/>
        <rFont val="Aptos Narrow"/>
        <scheme val="minor"/>
      </rPr>
      <t xml:space="preserve">
</t>
    </r>
  </si>
  <si>
    <t xml:space="preserve">Actividades ejecutadas del plan de trabajo para la gestión administrativa y financiera que garantice la misionalidad de la Dirección de la Autoridad Nacional de Consulta Previa </t>
  </si>
  <si>
    <t xml:space="preserve">Porcentaje de avance de las actividades programadas para la gestión administrativa y financiera que garantice la misionalidad de la Dirección de la Autoridad Nacional de Consulta Previa </t>
  </si>
  <si>
    <t>(Actividades ejecutadas para la gestión administrativa y financiera de la DCP / Actividades programadas para la gestión administrativa y financiera de la DCP) x 100</t>
  </si>
  <si>
    <t>Fortalecimiento de las herramientas tecnológicas y sistemas de información.</t>
  </si>
  <si>
    <t>Actividades ejecutadas del plan de trabajo para el fortalecimiento de las herramientas tecnológicas y sistemas de información.</t>
  </si>
  <si>
    <t>Porcentaje de avance en el plan de trabajo para el fortalecimiento de las herramientas tecnológicas y sistemas de información.</t>
  </si>
  <si>
    <t>(Actividades ejecutadas para el fortalecimiento de las herramientas tecnológicas y sistemas de información / Actividades programadas necesarias para el fortalecimiento de las herramientas tecnológicas y sistemas de información) x 100</t>
  </si>
  <si>
    <t>Fortalecimiento de competencias, habilidades y destrezas de los funcionarios y contratistas de la Dirección de la Autoridad Nacional de Consulta Previa</t>
  </si>
  <si>
    <t>Actividades ejecutadas del plan para el fortalecimiento de competencias, habilidades y destrezas de los funcionarios y contratistas de la  Dirección de la Autoridad Nacional de Consulta Previa</t>
  </si>
  <si>
    <t>Porcentaje de avance en la ejecución de las actividades para el fortalecimiento de competencias, habilidades y destrezas de los funcionarios y contratistas de la Dirección de la Autoridad Nacional de Consulta Previa.</t>
  </si>
  <si>
    <t>(Actividades ejecutadas para el fortalecimiento de competencias, habilidades y destrezas de los funcionarios y contratistas de la DCP / Actividades programadas para el fortalecimiento de competencias, habilidades y destrezas de los funcionarios y contratistas de la DCP) x 100</t>
  </si>
  <si>
    <t>Dirección de Asuntos Religiosos</t>
  </si>
  <si>
    <t>Richard Gamboa Ben-Eleazar</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</si>
  <si>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armonizada con la Constitución Política y la ley</t>
  </si>
  <si>
    <t>Transformación 5. Convergencia regional
Pilares 5. 31.  Bloque estratégico III  3. Bloque habilitador de la convergencia regional
Catalizador 5.31.06. Dispositivos democráticos de participación: política de diálogo permanente con decisiones desde y para el territorio
Componente 5.31.06. a. Condiciones y capacidades institucionales, organizativas e individuales para la participación ciudadana
Actividad Articulo 312 1. Creación y conformación del Sistema Nacional de Libertad Religiosa y de Cultos, Diálogo Social, Paz Total, Igualdad y No Estigmatización -"SINALIBREC"</t>
  </si>
  <si>
    <t>Ley 133 de 1994
Ley 437 de 2018
Ley 2294 de 2023</t>
  </si>
  <si>
    <t>36. Una sociedad para el cuidado de la vida</t>
  </si>
  <si>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</si>
  <si>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con procedimientos de la Dirección de Asuntos Religiosos actualizados.</t>
  </si>
  <si>
    <t>(Número de solicitudes tramitadas / número de solicitudes recibidas) *100</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</si>
  <si>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</si>
  <si>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</si>
  <si>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</si>
  <si>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</si>
  <si>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año 2023 se tramitaron actos administrativos de personerías jurídicas especiales (1415) así: En 17; Feb 100, Mar 312; Ab 102, May 157, Jun 70, Jul 83, Ag 97, Sep 102, Oct 150, Nov 92, Dic 133, De personerías extendidas (78) así: En 4, Feb 6, Mar 9, Ab 5, May 6, Jun 4, Jul  x, Ag 12, Sep 7, Oct 6, Nov 6, Dic 7</t>
  </si>
  <si>
    <t>Durante el primer (1) trimestre se realizó la actualización del sistema de gestión documental, y la custodia de Expedientes de los 5 trámites y tutelas así: enero 1.455, febrero 1.803, marzo 1.519, para un total de 4777 tramites</t>
  </si>
  <si>
    <t>Durante el segundo (2) trimestre se realizó la actualización del sistema de gestión documental, y la custodia de Expedientes de los 5 trámites y tutelas así:  abril 1.761, mayo 1.358, junio 424, para un total de 3.543 tramites</t>
  </si>
  <si>
    <t>Durante el tercer trimestre: se realizó la actualización del sistema de gestión documental y la custodia de los expedientes de los 5 trámites y tutelas así: 1.458 en julio, 1.596 en agosto y 1.419 en septiembre sumando un total de 4.473 trámites</t>
  </si>
  <si>
    <t>Durante el cuarto (4) trimestre: se realizó la actualización del sistema de gestión documental y la custodia de los expedientes de los 5 trámites y tutelas así: octubre 1.524; noviembre 1.286; diciembre 1.343. Consolidado fueron 4,153 tramites</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</si>
  <si>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</si>
  <si>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el primer (1) trimestre: se expidieron 4810 certificados de existencia y representación legal así: enero 1.510, febrero 1.682 y marzo 1.618, Para un total acumulado de 4810 certificados de existencia y representación legal de las entidades religiosas expedidos. Así mismo,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y 5.162 gestiones realizadas </t>
  </si>
  <si>
    <t>Durante el segundo (2) trimestre: se expidieron 5131 certificados de existencia y representación legal así: abril 1.534, mayo 2.021y junio 1.576, Para un total acumulado de 5131 certificados de existencia y representación legal de las entidades religiosas expedidos. Así mismo, se realizó la actualización del sistema de gestión documental y la custodia de los expedientes de personerías jurídicas de la siguiente manera: Abril: reforma de estatutos 18, personería jurídica especial 87, personería jurídica extendida 8, dignatarios 78, tutelas 17; total 1742, mayo: reforma de estatutos 19, personería jurídica especial 77, personería jurídica extendida 3, dignatarios 117, tutelas 11; total 2248, y junio: reforma de estatutos 2, personería jurídica especial 80, personería jurídica extendida 3, dignatarios 59, tutelas 11 , Acumulado trimestre II: reforma de estatutos 39, personería jurídica especial 244, personería jurídica extendida 14, dignatarios 254, tutelas 39, para un total de 590 trámites atendidos y 5.131 gestiones realizadas gran total 5721</t>
  </si>
  <si>
    <t>Durante el tercer (3) trimestre: se expidieron 4743 certificados de existencia y representación legal así: julio 1.683, agosto 1550 y septiembre 1.510, Para un total acumulado en el año 2025 de 14.684 certificados de existencia y representación legal de las entidades religiosas expedidos en 2025. Así mismo, se realizó la actualización del sistema de gestión documental y la custodia de los expedientes de personerías jurídicas de la siguiente manera: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Acumulado trimestre III: reforma de estatutos 56, personería jurídica especial 476, personería jurídica extendida 30, dignatarios 274, tutelas 26, para un total de 862 trámites atendidos.</t>
  </si>
  <si>
    <t>Expedir certificados de existencia y representación legal de las entidades religiosas.</t>
  </si>
  <si>
    <t>Reporte de métricas del Certificador del Registro público</t>
  </si>
  <si>
    <t>Certificados de existencia y representación legal de las entidades religiosas expedidos.</t>
  </si>
  <si>
    <t>(Número de certificados expedidos/Número de solicitudes recibidas)*100%</t>
  </si>
  <si>
    <t>A-03-11-08-001</t>
  </si>
  <si>
    <t>FORTALECIMIENTO ORGANIZACIONAL DE LAS ENTIDADES RELIGIOSAS Y LAS ORGANIZACIONES BASADAS EN LA FE COMO ACTORES SOCIALES TRASCENDENTES EN EL MARCO DE LA LEY 133 DE 1994</t>
  </si>
  <si>
    <t xml:space="preserve">Mesa Nacional de Asuntos Religiosos Resolución 0583 2018. </t>
  </si>
  <si>
    <t xml:space="preserve">OAP. 05.03.2025: Se actualiza el nombre del tipo de acumulación del indicador asociado a la iniciativa 1 y sus actividades 1.1 y 1.2. Pasando de Mantenimiento a Stock. Lo anterior, teniendo en cuenta lo contemplado en la guía para la elaboración y análisis de indicadores del DNP.
OAP 03.02.2025: En atención al memorando con Radicado 2025-3-002500-005337 Id: 485759, se procede a ajustar el reporte de cuantitativo y cualitativo de la iniciativa 1  para  los trimestres I, II y III del año 2024. Lo anterior debido a que por fallas en el aplicativo se reportó en su momento un valor estimado y no el real. 
OAP 03.02.2025: En atención al memorando con Radicado 2025-3-002500-005337 Id: 485759, se procede a ajustar el reporte de cuantitativo y cualitativo de la actividad 1.1  para  los trimestres I y II del año 2024. Lo anterior debido a que por fallas en el aplicativo se reportó en su momento un valor estimado y no el real. </t>
  </si>
  <si>
    <t>Apoyar la actualización del sistema de gestión documental, la generación del sistema de información geográfica, y la custodia de los expedientes de personerías jurídicas.</t>
  </si>
  <si>
    <t>Informe del Sistema de Gestión Documental</t>
  </si>
  <si>
    <t>Reporte del Sistema de gestión documental y custodia de los expedientes actualizado</t>
  </si>
  <si>
    <t>(Número de actos administrativos por solicitud de personerías jurídicas especiales y extendidas para entidades religiosas atendidos y en custodia/ Número de actos administrativos por solicitud de personerías jurídicas especiales y extendidas para entidades religiosas recibidos)*100%</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</si>
  <si>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</si>
  <si>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Asistencias técnicas a las entidades territoriales (Gobernaciones y Alcaldías) realizadas (80)</t>
  </si>
  <si>
    <t>Numero de Asistencias técnicas a las entidades territoriales (Gobernaciones y Alcaldías) realizadas / asistencias programadas (80)</t>
  </si>
  <si>
    <t>Durante el Primer   (1) trimestre, se expidieron 4.386 certificados de existencia y representación legal así: Enero(1268):  1268 solicitadas y 1268 expedidos; Febrero(1511): 1511 solicitadas y 1511 expedidos; Marzo (1607):  1607 solicitadas y 1607expedidos</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</si>
  <si>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</si>
  <si>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</si>
  <si>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</si>
  <si>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Durante el 2023 se realizó (59) Asistencias técnicas a las entidades territoriales (Gobernaciones y Alcaldías) de manera presencial y virtual, sobre las metodologías y kit de herramientas proferidas por la Dirección realizadas de las 32 programadas</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</si>
  <si>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</si>
  <si>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</si>
  <si>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Durante el tercer (III) trimestre se realizaron (29) asistencias técnicas a las entidades territoriales (Gobernaciones y alcaldías) de manera presencial y virtual, sobre las metodologías y kit de herramientas proferidas por la dirección así: 
Julio (14):  Para los días: Valle del Cauca 2, Cesar 4, Norte de Santander 10, Valle del Cauca 12, Norte de Santander 13, Valle del Cauca 17, La Guajira 17, Valle del Cauca 19, Cesar 22, Valle del Cauca 25, Cesar 25, Bogotá 29 La Guajira 30.
Agosto (12): Para los días: Atlántico 1, 2, 7, y 13 de agosto, Cesar 2, 5, 6, 9, 12, 16, y 20 de agosto, Bogotá 9 de agosto.
Septiembre (3): Para los días: Meta 11, Boyacá 24 y Cesar 25</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</si>
  <si>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 Teams; </t>
  </si>
  <si>
    <t>Durante la vigencia 2024 realizamos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</si>
  <si>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Durante el primer (1) trimestre: Se realizaron (43) asistencias técnicas y acompañamientos a las entidades territoriales (Gobernaciones y Alcaldías) de manera presencial y virtual, sobre las metodologías y kit de herramientas proferidas por la Dirección</t>
  </si>
  <si>
    <t xml:space="preserve">Durante el segundo (2) trimestre: Se realizaron (70) asistencias técnicas y acompañamientos a las entidades territoriales (Gobernaciones y Alcaldías) de manera presencial y virtual, sobre las metodologías y kit de herramientas proferidas por la Dirección, </t>
  </si>
  <si>
    <t>Durante el tercer (3) trimestre: Se realizaron (63) asistencias técnicas y acompañamientos a las entidades territoriales (Gobernaciones y Alcaldías) de manera presencial y virtual, sobre las metodologías y kit de herramientas proferidas por la Dirección</t>
  </si>
  <si>
    <t>Realizar asistencias técnicas y acompañamientos a las entidades territoriales (Gobernaciones y Alcaldías) de manera presencial y virtual, sobre las metodologías y kit de herramientas proferidas por la Dirección</t>
  </si>
  <si>
    <t>Actas, Listas de asistencia, informes de comisión y registro fotográfico</t>
  </si>
  <si>
    <t>Asistencias técnicas a las entidades territoriales (Gobernaciones y Alcaldías) de manera presencial y virtual, sobre las metodologías y kit de herramientas proferidas por la Dirección realizadas.</t>
  </si>
  <si>
    <t>Sumatoria del número de asistencias técnicas a las entidades territoriales (Gobernaciones y Alcaldías) de manera presencial y virtual realizadas (Asistencias 80)</t>
  </si>
  <si>
    <t>OAP. 05.03.2025: Se actualiza el tipo de acumulación del indicador asociado a la iniciativa 2  Pasando de Acumulado a Flujo. Lo anterior, teniendo en cuenta lo contemplado en la guía para la elaboración y análisis de indicadores del DNP y en concordancia con la programación de metas trimestrales y anuales de la iniciativa.</t>
  </si>
  <si>
    <t xml:space="preserve">Fortalecimiento de la articulación intersectorial interinstitucional y territorial en el marco de la garantía del derecho de libertad religiosa y de cultos </t>
  </si>
  <si>
    <t>Porcentaje de entidades religiosas y sus organizaciones caracterizadas</t>
  </si>
  <si>
    <t>(Número de entidades religiosas y sus organizaciones caracterizadas / Número de entidades religiosas y sus organizaciones a caracterizar por Año 2500, cuatrienio 10000)*100</t>
  </si>
  <si>
    <t xml:space="preserve">Actualmente se e encuentra en la etapa de planeación contractual y realización de Estudios previos, Análisis del sector y los demás documentos contractuales. </t>
  </si>
  <si>
    <t>Durante el Segundo (2) trimestre el 06/06/2023, se realizó Caracterización del Departamento del Guainía en el municipio de Inírida</t>
  </si>
  <si>
    <t>Durante el  Tercer (3) trimestre se realizó la Caracterización de Cesar ,Valledupar 18/10/2023 y se efectuó la programación para el cuarto trimestre para los 12 departamentos restantes</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</si>
  <si>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</si>
  <si>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</si>
  <si>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</si>
  <si>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</si>
  <si>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 xml:space="preserve">Durante el tercer (III) trimestre se realizaron (35)  se atendieron la Estrategia de mapeo y caracterización de labor cultural, social, educativa, de convivencia de paz, reconciliación y enfoque diferencial de las entidades religiosas y sus organizaciones aplicadas a 18 departamentos así: Julio (14):  Para los días: Valle del Cauca , Cesar , Norte de Santander , Valle del Cauca , Norte de Santander, Valle del Cauca , La Guajira , Valle del Cauca , Cesar , Valle del Cauca , Cesar , Bogotá , La Guajira .
Agosto (12):  Para los días: Atlántico , Cesar, Bogotá .Septiembre (9): Para los días: Bogotá D.C. , Cesar y Meta. Se evidencia en el reporte un número total de 423 encuestas a corte de septiembre.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</si>
  <si>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</si>
  <si>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</si>
  <si>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442.</t>
  </si>
  <si>
    <t>Durante el segundo (2) trimestre: Se atendieron en la Estrategia de mapeo y caracterización de la labor cultural, social, educativa, de convivencia, de paz, reconciliación y enfoque diferencial de las entidades religiosas y sus organizaciones en 17 Departamentos: Antioquia, Arauca, Boyacá, Caldas, Casanare, Cesar, Cundinamarca, Guainía,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</si>
  <si>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Departamentos (19): Antioquia, Arauca, Atlántico, Bolívar, Casanare, Cauca, Cesar, Chocó, Córdoba, Cundinamarca, Distrito Capital, Guainía, Guaviare, Huila, Magdalena, Norte de Santander, Tolima, Vaupés, Vichada, 
Municipios (31): Aguazul, Arauca, Astrea, Barranquilla, Bello, Bogotá D.C., Bosconia, Calamar, Cartagena, Chimichagua, Copacabana, Cúcuta , Cumaribo, El Paso, González, La Jagua de Ibirico, Malambo, Medellín, Monterrey, Mosquera, Mutatá, Pamplona , Popayán , Quibdó., Sabaneta, Santa Marta, Segovia, Soledad, Valledupar, Villanueva, Yopal</t>
  </si>
  <si>
    <t>Aplicar estrategia de mapeo y caracterización de la labor cultural, social, cultural, educativa, de convivencia, de paz, reconciliación y enfoque diferencial de las entidades religiosas y sus organizaciones</t>
  </si>
  <si>
    <t>Informe de la Plataforma de gestión de la caracterización</t>
  </si>
  <si>
    <t>Reporte de encuestas de mapeo y caracterización aplicadas</t>
  </si>
  <si>
    <t>Sumatoria del número de encuestas de mapeo y caracterización aplicadas. (2500 Encuestas aplicadas)</t>
  </si>
  <si>
    <t>Organización, producción y ejecución de los eventos, encuentros y demás actividades logísticas que se requieran para el desarrollo de las funciones, planes, programas y metas del Ministerio</t>
  </si>
  <si>
    <t>Encuentros de socialización de resultados con el sector religioso caracterizado realizados</t>
  </si>
  <si>
    <t>Sumatoria del número de encuentros de socialización de resultados con el sector religioso caracterizado realizados (Eventos 80)</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</si>
  <si>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</si>
  <si>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</si>
  <si>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 (100)</t>
  </si>
  <si>
    <t>Actualmente se e encuentra en la etapa de planeación contractual y realización de Estudios previos, Análisis del sector y los demás documentos contractuales la actividad de iniciativas apoyadas</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</si>
  <si>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</si>
  <si>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</si>
  <si>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</si>
  <si>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</si>
  <si>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</si>
  <si>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Durante el segundo (2) trimestre, nos encontramos en los procesos precontractuales para el Convenio que realizará la convocatoria del Banco de proyectos 2024</t>
  </si>
  <si>
    <t>Durante el tercer (III) trimestre, nos encontramos en los procesos precontractuales para el convenio que realizará la convocatoria del Banco de proyectos 2024</t>
  </si>
  <si>
    <t>Durante el cuarto (IV) trimestre, nos encontramos en los procesos precontractuales para el convenio que realizará la convocatoria del Banco de proyectos 2024</t>
  </si>
  <si>
    <t>Durante 2024, Se realizó asignación de recursos para 8 propuestas en el Ciclo III en el marco de la invitación del BIIR (Banco de Iniciativas Interreligiosas)-2023, Dando como resultado la elección de 8 iniciativas por un valor de $115.949.805 a cofinanciar en las diferentes líneas</t>
  </si>
  <si>
    <t>A la fecha nos encontramos en los procesos precontractuales para la presentación de la convocatoria 2025</t>
  </si>
  <si>
    <t>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programado giro en Octubre 2025</t>
  </si>
  <si>
    <t>Apoyar económicamente  iniciativas sociales interreligiosas, que contengan proyectos de impacto social,  ambiental  , humanitario y de emprendimiento.</t>
  </si>
  <si>
    <t>Informe de Ejecución Banco de Proyectos, Actas, Listas de asistencia, informes de comisión y registro fotográfico</t>
  </si>
  <si>
    <t>Iniciativas sociales interreligiosas, que contengan proyectos de impacto social, humanitario y de emprendimiento apoyadas.</t>
  </si>
  <si>
    <t>Sumatoria del número de Iniciativas sociales interreligiosas apoyadas.</t>
  </si>
  <si>
    <t xml:space="preserve">OAP. 05.03.2025: Se actualiza la meta del cuatrienio de la iniciativa 4. formulándola de acuerdo con el tipo de acumulación del indicador "acumulado". por tanto pasa de 500 a 550 que corresponde a la suma de las metas de las cuatro vigencias. Lo anterior, de acuerdo a mesa de trabajo realizada con el enlace de DAR y teniendo en cuenta que la inconsistencia correspondía a un error humano, en el cálculo de la misma. 
OAP. 10.04.2025: Dentro el seguimiento al avance del PEIA I TRIM 2025, se actualiza la meta programada para el primer trimestre de 2025 de la iniciativa 4, pasando de 25% a cero y para el segundo trimestre se adiciona la meta en 25 % pasando de 25% a 50%. Los cambios obedecen a que las actividades asociadas a esta iniciativa no tenían programación para el primer trimestre. </t>
  </si>
  <si>
    <t xml:space="preserve">Identificación de los programas y proyectos de las entidades religiosas y sus organizaciones en el alcance de los Objetivos de Desarrollo Sostenible. </t>
  </si>
  <si>
    <t xml:space="preserve"> Programas y proyectos de las entidades religiosas y sus organizaciones identificados en el alcance de los Objetivos de Desarrollo Sostenible. </t>
  </si>
  <si>
    <t xml:space="preserve">Sumatoria de Actividades para la identificación de Programas y proyectos de las entidades religiosas y sus organizaciones en el alcance de los Objetivos de Desarrollo Sostenible. </t>
  </si>
  <si>
    <t>C-3704-1000-8-53106A</t>
  </si>
  <si>
    <t>Fortalecimiento de la integración de procesos, la coordinación de entidades, la  asignación de recursos y el conocimiento para brindar garantías para el goce efectivo del derecho de la libertad religiosa y de cultos en el territorio nacional</t>
  </si>
  <si>
    <t xml:space="preserve">Divulgación y promoción del conocimiento de la normatividad el hecho y la cultura religiosa en Colombia </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</si>
  <si>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</si>
  <si>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</si>
  <si>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Primer (1) trimestre del año 2023, se obtuvo un avance de la implementación de la Red Académica para el respecto y garantía de la Libertad Religiosa así:
Sesiones de preparación de los participantes de la red académica Marzo (1): Una (25%)  Red académica  implementada, de Una (25%) Red Académica Propuesta.</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</si>
  <si>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</si>
  <si>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</si>
  <si>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</si>
  <si>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</si>
  <si>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</si>
  <si>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</si>
  <si>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</si>
  <si>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</si>
  <si>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</si>
  <si>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primer (1) trimestre: Se realizaron 39 Eventos para la Divulgación y promoción del conocimiento de la normatividad el hecho y la cultura religiosa en Colombia</t>
  </si>
  <si>
    <t xml:space="preserve">Durante el segundo (2) trimestre: Se realizaron 48 Eventos para la Divulgación y promoción del conocimiento de la normatividad el hecho y la cultura religiosa en Colombia </t>
  </si>
  <si>
    <t>Durante el tercer (3) trimestre: Se realizaron 18 Eventos para la Divulgación y promoción del conocimiento de la normatividad el hecho y la cultura religiosa en Colombia</t>
  </si>
  <si>
    <t>Implementar las líneas de acción de la Red Académica para el Respeto y Garantía de la Libertad Religiosa.</t>
  </si>
  <si>
    <t>Informe de ejecución Red Académica, Actas, Listas de asistencia, informes de comisión y registro fotográfico</t>
  </si>
  <si>
    <t>Red académica de investigación para el estudio del hecho y la cultura religiosa, y el diseño de contenidos en la materia estructurada.</t>
  </si>
  <si>
    <t>Sumatoria de convenios de investigación para el estudio del hecho y la cultura religiosa estructuradas y realizadas.</t>
  </si>
  <si>
    <t>Realización de Eventos para la Divulgación y promoción del conocimiento de la normatividad el hecho y la cultura religiosa en Colombia</t>
  </si>
  <si>
    <t>Sumatoria del número de actividades académicas de investigación para el estudio del hecho y la cultura religiosa estructuradas y realizadas.</t>
  </si>
  <si>
    <t>Promoción en la sociedad civil las entidades públicas y privadas y los medios de comunicación de la no discriminación la tolerancia y la no estigmatización por motivos religiosos</t>
  </si>
  <si>
    <t>Campañas territoriales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</si>
  <si>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</si>
  <si>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 xml:space="preserve">Durante el primer (1) trimestre se realizó (8) Campañas de Promoción de la Tolerancia y no Discriminación por motivos religiosos. realizadas así:
Enero (1): Medellín – 19-01-2023; Febrero (1): Cartagena – 21-02-2023; Marzo (6):  Tunja (1) – 15-03-2023, Barranquilla (1) – 21-03-2023, Valledupar (1) 3-03-2023, Bogotá  (3) 6, 9 Y 22 -03-2023
</t>
  </si>
  <si>
    <t xml:space="preserve">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
</t>
  </si>
  <si>
    <t xml:space="preserve">Durante el  Tercer (3) trimestre se realizó (5 ) Campañas de Promoción de la Tolerancia y no Discriminación por motivos religiosos. realizadas así:  4/07/2023, Bogotá D.C , Plaza de Armas Palacio de Nariño, Dia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</si>
  <si>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</si>
  <si>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</si>
  <si>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</si>
  <si>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</si>
  <si>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</si>
  <si>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</si>
  <si>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2024 para Promoción en la sociedad civil las entidades públicas y privadas y los medios de comunicación de la no discriminación la tolerancia y la no estigmatización por motivos religiosos realizamos 104 eventos en 21 departamentos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</si>
  <si>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</si>
  <si>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t>
  </si>
  <si>
    <t>Durante el tercer (3) trimestre: Se realizaron (28) talleres de asistencia técnica para la Promoción en la sociedad civil, las entidades públicas y privadas y los medios de comunicación de la no discriminación, la tolerancia y la no estigmatización por motivos religiosos</t>
  </si>
  <si>
    <t>Talleres de Asistencia Técnica para la promoción de la no discriminación y la lucha en contra de cualquier forma de discriminación o estigmatización</t>
  </si>
  <si>
    <t>Sumatoria de Talleres de Asistencia Técnica para la promoción de la no discriminación y la lucha en contra de cualquier forma de discriminación o estigmatización (68 proyectados)</t>
  </si>
  <si>
    <t>OAP. 05.03.2025: Se actualizan las metas trimestrales de la iniciativa 6, correspondientes a la vigencia 2025 y la meta de la vigencia 2026 y total cuatrienio, pasando de 70 a 68 en el 2025 y de 300 a 68 en el 2026. Lo anterior de acuerdo a mesa de trabajo realizada con el enlace de DAR y teniendo en cuenta según el proyecto de inversión denominado "Fortalecimiento de la integración de procesos, la coordinación de entidades, la  asignación de recursos y el conocimiento para brindar garantías para el goce efectivo del derecho de la libertad religiosa y de cultos en el territorio nacional" se determinó realizar 68 asistencias cada vigencia. Adicionalmente, la meta de la iniciativa tiene que se coherente con la meta de la única actividad asociada a la misma, razón por la cual las metas de la iniciativa se dejaron igual a las metas programadas a nivel de actividad.
OAP 24.01.2025: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</si>
  <si>
    <t>Puesta en común de los avances en la implementación de la política pública</t>
  </si>
  <si>
    <t>Evaluación y seguimiento de la implementación de la política pública</t>
  </si>
  <si>
    <t>Porcentaje de Avance en la implementación de la política publica Decreto 437 de 2018 /100 (Acciones programadas cuatrienio 32, Año 8)</t>
  </si>
  <si>
    <t>Porcentaje de Avance en la implementación de la política publica Decreto 437 de 2018 (Acciones programadas cuatrienio 32)
Actividades programadas 32, actividades realizadas 8 así: Enero (1): Medellín – 19-01-2023; Febrero (1): Cartagena – 21-02-2023; Marzo (6):  Tunja (1) – 15-03-2023, Barranquilla (1) – 21-03-2023, Valledupar (1) 3-03-2023, Bogotá  (3) 6, 9 Y 22 -03-2023</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</si>
  <si>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</si>
  <si>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Dia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</si>
  <si>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</si>
  <si>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</si>
  <si>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</si>
  <si>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</si>
  <si>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religiosa y de cultos (Talleres de Asistencia Técnicas para fortalecer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</si>
  <si>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</si>
  <si>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Durante 2024 realizamos 107 Eventos para Fortalecer los procesos de coordinación, articulación y seguimiento interinstitucional, intersectorial y nación - territorio para la implementación la política de libertad religiosa y de cultos, en el primer trimestre 22, en el segundo 30 en el tercer  35 y en el cuarto 20</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</si>
  <si>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</si>
  <si>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</si>
  <si>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tercer (3) trimestre: Se realizaron (65)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1732 personas</t>
  </si>
  <si>
    <t>Talleres de Asistencia Técnica para fortalecer instrumentos y procesos para la implementación la política de libertad religiosa y de cultos. (Línea 2025: 60% +(Sumatoria 2026/Programado 2026)*40%)</t>
  </si>
  <si>
    <t>Número de Talleres de Asistencia Técnica para para fortalecer instrumentos y procesos para la implementación la política de libertad religiosa y de cultos programados/ número de Talleres de Asistencia Técnica para para fortalecer instrumentos y procesos para la implementación la política de libertad religiosa y de cultos programados) *100%. (150 proyectados).</t>
  </si>
  <si>
    <t>OAP 24.01.2025: Teniendo en cuenta el Decreto de reducción de presupuesto 2024, se ajusta presupuesto conforme al concepto técnico de viabilidad para el proyecto de inversión "Fortalecimiento de la integración de procesos, la coordinación de entidades, la asignación de recursos y el conocimiento, para brindar garantías para el goce efectivo del derecho de la libertad religiosa y de cultos en el territorio Nacional” ID_480453</t>
  </si>
  <si>
    <t>Total año 2026</t>
  </si>
  <si>
    <t>1. Fortalecer las relaciones entre el Gobierno y el Congreso de la Republica, con el fin de impulsar la capacidad de gestión legislativa en cumplimiento de los diferentes temas de la agenda pública</t>
  </si>
  <si>
    <t>7. Fortalecer la capacidad Institucional promoviendo el talento humano, la participación ciudadana, la Gestión del conocimiento e innovación y el uso de nuevas tecnologías, en el marco de la cultura de la transparencia, la legalidad y la Gestión pública efectiva</t>
  </si>
  <si>
    <t>Seguimiento al Plan Estratégico Institucional y de Acción - 2026</t>
  </si>
  <si>
    <t>AVANCE PRESUPUESTAL VIGENCIA 2026</t>
  </si>
  <si>
    <r>
      <rPr>
        <b/>
        <sz val="11"/>
        <color theme="1"/>
        <rFont val="Calibri"/>
        <family val="2"/>
      </rPr>
      <t>Fecha de informe:</t>
    </r>
    <r>
      <rPr>
        <sz val="11"/>
        <color theme="1"/>
        <rFont val="Calibri"/>
        <family val="2"/>
      </rPr>
      <t xml:space="preserve"> 29 de enero de 2026</t>
    </r>
  </si>
  <si>
    <t>A-02-01-01-004-005
A-02-02-01-004-007</t>
  </si>
  <si>
    <t>MAQUINARIA DE OFICINA, CONTABILIDAD E INFORMÁTICA
EQUIPO Y APARATOS DE RADIO, TELEVISIÓN Y COMUNICACIONES</t>
  </si>
  <si>
    <t>SERVICIOS DE MANTENIMIENTO, REPARACIÓN
E INSTALACIÓN (EXCEPTO SERVICIOS DE
CONSTRUCCIÓN)
SERVICIOS PROFESIONALES, CIENTÍFICOS Y
TÉCNICOS (EXCEPTO LOS SERVICIOS DE
INVESTIGACION, URBANISMO, JURÍDICOS Y DE
CONTABILIDAD)</t>
  </si>
  <si>
    <t xml:space="preserve">A-02-02-02-008-004
</t>
  </si>
  <si>
    <t>SERVICIOS DE TELECOMUNICACIONES,
TRANSMISIÓN Y SUMINISTRO DE INFORMACIÓN</t>
  </si>
  <si>
    <t>A-02-02-02-006-004</t>
  </si>
  <si>
    <t>SERVICIOS DE TRANSPORTE DE PASAJEROS</t>
  </si>
  <si>
    <t xml:space="preserve">A-02-02-02-008-007
A-02-02-02-008-003
</t>
  </si>
  <si>
    <r>
      <rPr>
        <b/>
        <sz val="10"/>
        <color theme="1"/>
        <rFont val="Aptos Narrow"/>
        <family val="2"/>
        <scheme val="minor"/>
      </rPr>
      <t>OAP. 13.08.2025</t>
    </r>
    <r>
      <rPr>
        <sz val="10"/>
        <color theme="1"/>
        <rFont val="Aptos Narrow"/>
        <family val="2"/>
        <scheme val="minor"/>
      </rPr>
      <t xml:space="preserve">: Se modifica el presupuesto apropiado de la iniciativa 2 por solicitud de la doctora Yitcy Becerra, Jefe de la OIP, mediante correo electronico, con asunto "Modificación PEIA 2025 - OIP" y por el oficio de Modificación presupuestal suscrito por la Secretaria General Nancy Patiño. El presupuesto apropiado de la iniciativa 2 tiene una adición de $9.000.000, para un total de $11.740.051.457. </t>
    </r>
  </si>
  <si>
    <r>
      <rPr>
        <b/>
        <sz val="10"/>
        <color theme="1"/>
        <rFont val="Aptos Narrow"/>
        <family val="2"/>
        <scheme val="minor"/>
      </rPr>
      <t>OAP. 2026.01.29</t>
    </r>
    <r>
      <rPr>
        <sz val="10"/>
        <color theme="1"/>
        <rFont val="Aptos Narrow"/>
        <family val="2"/>
        <scheme val="minor"/>
      </rPr>
      <t xml:space="preserve">: Se modifica el presupuesto apropiado de la actividad  2.5 por solicitud de la doctora Yitcy Becerra, Jefe de la OIP, mediante memorando con Radicado 2026-3-001300-006995 Id: 696988, con asunto "Solicitud Traslado presupuestal de recursos de la OIP". El presupuesto apropiado de la actividad 2.5 tiene una reducción de $32.298.740, para un total de $68.510.033,61. </t>
    </r>
  </si>
  <si>
    <r>
      <rPr>
        <b/>
        <sz val="10"/>
        <color theme="1"/>
        <rFont val="Aptos Narrow"/>
        <family val="2"/>
        <scheme val="minor"/>
      </rPr>
      <t xml:space="preserve">OAP. 2026.01.29: </t>
    </r>
    <r>
      <rPr>
        <sz val="10"/>
        <color theme="1"/>
        <rFont val="Aptos Narrow"/>
        <family val="2"/>
        <scheme val="minor"/>
      </rPr>
      <t>Se modifica el presupuesto apropiado de la actividad  2.6 por solicitud de la doctora Yitcy Becerra, Jefe de la OIP, mediante memorando con Radicado 2026-3-001300-006995 Id: 696988, con asunto "Solicitud Traslado presupuestal de recursos de la OIP". El presupuesto apropiado de la actividad 2.5 tiene una adición de $32.298.740, para un total de $127.372.840.</t>
    </r>
  </si>
  <si>
    <t>Capacitación en el tema de derechos de petición a los funcionarios y contratistas del Ministerio.</t>
  </si>
  <si>
    <t xml:space="preserve">	
Atender las audiencias judiciales y extrajudiciales en la que el Ministerio del Interior sea parte procesal</t>
  </si>
  <si>
    <t xml:space="preserve">Audiencias judiciales y extrajudiciales atendidas </t>
  </si>
  <si>
    <t>(Número de audiencias judiciales y extrajudiciales atendidas/número de audiencias judiciales y extrajudiciales requeridas o convocadas)*100%</t>
  </si>
  <si>
    <t>A-03-10</t>
  </si>
  <si>
    <t>Sentencias y Conciliaciones</t>
  </si>
  <si>
    <t>Coordinar capacitaciones para los abogados que ejercen la defensa judicial del Ministerio del Interior al interior de la Dirección Jurídica</t>
  </si>
  <si>
    <t xml:space="preserve">	
Coordinar capacitaciones a los abogados del Grupo de Gestión de lo Contencioso de la Dirección jurídica, con relación a el manejo del sistema eKOGUI y los lineamientos de defensa jurídico establecidos por la ANDJE.</t>
  </si>
  <si>
    <t>Listados de Asistencia y/o capturas de pantalla</t>
  </si>
  <si>
    <t>Capacitaciones realizadas</t>
  </si>
  <si>
    <r>
      <rPr>
        <b/>
        <sz val="9"/>
        <color theme="1"/>
        <rFont val="Arial"/>
        <family val="2"/>
      </rPr>
      <t>OAP 20.01.2026:</t>
    </r>
    <r>
      <rPr>
        <sz val="9"/>
        <color theme="1"/>
        <rFont val="Arial"/>
        <family val="2"/>
      </rPr>
      <t xml:space="preserve"> Se ajusta la descripción de la iniciativa No. 3 denominada "Elaborar un plan de capacitación para los abogados que ejercen la defensa judicial del Ministerio del Interior y demás personal profesional del derecho que presta apoyo a la Dirección Jurídica". Dejandola  de la sgt forma: "Coordinar capacitaciones para los abogados que ejercen la defensa judicial del Ministerio del Interior al interior de la Dirección Jurídica.", lo anterior, en atención a la solicitud realizada por la Dirección Jurídica y teniendo en cuenta que efectivamente lo que realiza la dirección es la coordinación o gestión para la realziación de capacitaciones, toda vez que el plan de capacitacitaciones no es liderado por esta Dirección.</t>
    </r>
  </si>
  <si>
    <t>(número de mesas de trabajo y/o capacitaciones realizadas/Número de mesas de trabajo y/o capacitaciones programadas) *100%</t>
  </si>
  <si>
    <t xml:space="preserve">Listados de Asistencia </t>
  </si>
  <si>
    <t>OAP. Enero 23 de 2026. Con base ala resolución 074 de 2026, por la cual se efectua una modificación al anexo del decreto de liquidación en el presupuesto de gastos de funcionamiento de la unidad ejecutora 370101.., y a solicitud de la DDH, se reduce el presupuesto de la actividad en 500 millones de pesos.</t>
  </si>
  <si>
    <t>Dirección de Asuntos Indígenas, Rom y Minorías</t>
  </si>
  <si>
    <t>Cuñas comunicativas realizadas o diseñadas para divulgar la política de diálogo social</t>
  </si>
  <si>
    <t>Sumatoria del número de cuñas comunicativas realizadas o diseñadas para divulgar la política de diálogo social</t>
  </si>
  <si>
    <t>Comunidades y funcionarios atendidos.</t>
  </si>
  <si>
    <t>Participantes  en el desarrollo de los espacios con las comunidades</t>
  </si>
  <si>
    <t>Sumatoria del nùmero de participantes en el desarrollo de los espacios con las comunidades.</t>
  </si>
  <si>
    <t>Iniciativas comunitarias implementadas para el fortalecimiento Diálogo Social</t>
  </si>
  <si>
    <t>Sumatoria del nùmero de iniciativas comunitarias implementadas para el fortalecimiento Diálogo Social</t>
  </si>
  <si>
    <t>Plataformas implementadas para el cargue de información de los compromisos de los escenarios de Diálogo Social</t>
  </si>
  <si>
    <t>Sumatoria del nùmero de plataformas implementadas para el cargue de información de los compromisos de los escenarios de Diálogo Social</t>
  </si>
  <si>
    <r>
      <rPr>
        <b/>
        <sz val="9"/>
        <color theme="1"/>
        <rFont val="Aptos Narrow"/>
        <family val="2"/>
        <scheme val="minor"/>
      </rPr>
      <t>OAP Enero 2026:</t>
    </r>
    <r>
      <rPr>
        <sz val="9"/>
        <color theme="1"/>
        <rFont val="Aptos Narrow"/>
        <family val="2"/>
        <scheme val="minor"/>
      </rPr>
      <t xml:space="preserve"> Meta cuatrienio de iniciativa cumplida en la vigencia 2025.</t>
    </r>
  </si>
  <si>
    <t>OAP. 23.01.2026. Con base en la Resolución 074 de 2026 del Ministerio de Hacienda, y de conformidad con la viabilidad ID 695197 y la solicitud ID 695522, mediante las cuales se autoriza la reducción del PMF, se emite el presente Concepto Técnico de Viabilidad del Programa Misional de Funcionamiento “Fondo para la Participación Ciudadana y el Fortalecimiento de la Democracia”, en el marco del artículo 96 de la Ley 1757 de 2015. En la primera actualización de la vigencia 2026, se realiza la reducción del presupuesto asignado a la actividad correspondiente.</t>
  </si>
  <si>
    <t>Diego Lechuga de la Hoz</t>
  </si>
  <si>
    <t>Dickson Gómez Lozano</t>
  </si>
  <si>
    <t>9. Plan Anticorrupción y de Atención al Ciudadano.
PTEP</t>
  </si>
  <si>
    <t xml:space="preserve">9. Plan Anticorrupción y de Atención al Ciudadano.
PTEP.
</t>
  </si>
  <si>
    <t>Plan Anual de Adquisiciones
PTEP</t>
  </si>
  <si>
    <t>Plan Anual de Adquisiciones.
PTEP</t>
  </si>
  <si>
    <t>Actualizar e Implementar las mejoras en los canales de denuncia de la Unidad de Recepción Inmediata para la Transparencia Electoral - URIEL</t>
  </si>
  <si>
    <t>Actividades Año 2026</t>
  </si>
  <si>
    <t>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</si>
</sst>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 #,##0;[Red]\-&quot;$&quot;\ #,##0"/>
    <numFmt numFmtId="8" formatCode="&quot;$&quot;\ #,##0.00;[Red]\-&quot;$&quot;\ #,##0.00"/>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240A]\ #,##0"/>
    <numFmt numFmtId="166" formatCode="_-&quot;$&quot;* #,##0_-;\-&quot;$&quot;* #,##0_-;_-&quot;$&quot;* &quot;-&quot;_-;_-@_-"/>
    <numFmt numFmtId="167" formatCode="0.0%"/>
    <numFmt numFmtId="168" formatCode="_-&quot;$&quot;\ * #,##0_-;\-&quot;$&quot;\ * #,##0_-;_-&quot;$&quot;\ * &quot;-&quot;??_-;_-@_-"/>
    <numFmt numFmtId="169" formatCode="&quot;$&quot;\ #,##0"/>
    <numFmt numFmtId="170" formatCode="#,##0_ ;\-#,##0\ "/>
    <numFmt numFmtId="171" formatCode="[$$-240A]\ #,##0.00"/>
    <numFmt numFmtId="172" formatCode="_(&quot;$&quot;\ * #,##0.00_);_(&quot;$&quot;\ * \(#,##0.00\);_(&quot;$&quot;\ * &quot;-&quot;??_);_(@_)"/>
    <numFmt numFmtId="173" formatCode="_(&quot;$&quot;\ * #,##0_);_(&quot;$&quot;\ * \(#,##0\);_(&quot;$&quot;\ * &quot;-&quot;??_);_(@_)"/>
    <numFmt numFmtId="174" formatCode="0;[Red]0"/>
    <numFmt numFmtId="175" formatCode="_-[$$-240A]\ * #,##0_-;\-[$$-240A]\ * #,##0_-;_-[$$-240A]\ * &quot;-&quot;??_-;_-@_-"/>
    <numFmt numFmtId="176" formatCode="_-[$$-240A]\ * #,##0.00_-;\-[$$-240A]\ * #,##0.00_-;_-[$$-240A]\ * &quot;-&quot;??_-;_-@_-"/>
    <numFmt numFmtId="177" formatCode="&quot;$&quot;\ #,##0.00"/>
    <numFmt numFmtId="178" formatCode="d\.m\."/>
    <numFmt numFmtId="179" formatCode="d/m/yyyy"/>
    <numFmt numFmtId="180" formatCode="_-* #,##0_-;\-* #,##0_-;_-* &quot;-&quot;??_-;_-@_-"/>
    <numFmt numFmtId="181" formatCode="&quot;$&quot;#,##0.00"/>
    <numFmt numFmtId="182" formatCode="_(&quot;$&quot;* #,##0_);_(&quot;$&quot;* \(#,##0\);_(&quot;$&quot;* &quot;-&quot;??_);_(@_)"/>
  </numFmts>
  <fonts count="107">
    <font>
      <sz val="11"/>
      <color theme="1"/>
      <name val="Aptos Narrow"/>
      <family val="2"/>
      <scheme val="minor"/>
    </font>
    <font>
      <sz val="11"/>
      <color theme="1"/>
      <name val="Aptos Narrow"/>
      <family val="2"/>
      <scheme val="minor"/>
    </font>
    <font>
      <b/>
      <sz val="28"/>
      <color theme="0"/>
      <name val="Aptos Narrow"/>
      <family val="2"/>
      <scheme val="minor"/>
    </font>
    <font>
      <b/>
      <sz val="14"/>
      <name val="Aptos Narrow"/>
      <family val="2"/>
      <scheme val="minor"/>
    </font>
    <font>
      <sz val="14"/>
      <name val="Aptos Narrow"/>
      <family val="2"/>
      <scheme val="minor"/>
    </font>
    <font>
      <b/>
      <sz val="18"/>
      <color theme="4" tint="-0.499984740745262"/>
      <name val="Aptos Narrow"/>
      <family val="2"/>
      <scheme val="minor"/>
    </font>
    <font>
      <b/>
      <sz val="18"/>
      <color theme="0"/>
      <name val="Aptos Narrow"/>
      <family val="2"/>
      <scheme val="minor"/>
    </font>
    <font>
      <b/>
      <sz val="12"/>
      <color theme="4" tint="-0.499984740745262"/>
      <name val="Aptos Narrow"/>
      <family val="2"/>
      <scheme val="minor"/>
    </font>
    <font>
      <b/>
      <sz val="10"/>
      <color theme="4" tint="-0.499984740745262"/>
      <name val="Aptos Narrow"/>
      <family val="2"/>
      <scheme val="minor"/>
    </font>
    <font>
      <b/>
      <sz val="10"/>
      <color theme="0"/>
      <name val="Aptos Narrow"/>
      <family val="2"/>
      <scheme val="minor"/>
    </font>
    <font>
      <b/>
      <sz val="14"/>
      <color theme="4" tint="-0.499984740745262"/>
      <name val="Aptos Narrow"/>
      <family val="2"/>
      <scheme val="minor"/>
    </font>
    <font>
      <b/>
      <sz val="10"/>
      <color rgb="FF002060"/>
      <name val="Aptos Narrow"/>
      <family val="2"/>
      <scheme val="minor"/>
    </font>
    <font>
      <sz val="11"/>
      <color theme="1"/>
      <name val="Arial"/>
      <family val="2"/>
    </font>
    <font>
      <sz val="12"/>
      <color theme="1"/>
      <name val="Aptos Narrow"/>
      <family val="2"/>
      <scheme val="minor"/>
    </font>
    <font>
      <sz val="10"/>
      <name val="Arial"/>
      <family val="2"/>
    </font>
    <font>
      <b/>
      <sz val="9"/>
      <color indexed="81"/>
      <name val="Tahoma"/>
      <family val="2"/>
    </font>
    <font>
      <sz val="9"/>
      <color indexed="81"/>
      <name val="Tahoma"/>
      <family val="2"/>
    </font>
    <font>
      <sz val="11"/>
      <color theme="1"/>
      <name val="Calibri"/>
      <family val="2"/>
    </font>
    <font>
      <b/>
      <sz val="12"/>
      <color theme="0"/>
      <name val="Calibri"/>
      <family val="2"/>
    </font>
    <font>
      <b/>
      <sz val="11"/>
      <color theme="1"/>
      <name val="Aptos Narrow"/>
      <scheme val="minor"/>
    </font>
    <font>
      <b/>
      <sz val="12"/>
      <color theme="1"/>
      <name val="Aptos Narrow"/>
      <scheme val="minor"/>
    </font>
    <font>
      <b/>
      <sz val="11"/>
      <color theme="0"/>
      <name val="Calibri"/>
      <family val="2"/>
    </font>
    <font>
      <b/>
      <sz val="11"/>
      <name val="Calibri"/>
      <family val="2"/>
    </font>
    <font>
      <sz val="10"/>
      <name val="Calibri"/>
      <family val="2"/>
    </font>
    <font>
      <b/>
      <sz val="14"/>
      <color theme="0"/>
      <name val="Calibri"/>
      <family val="2"/>
    </font>
    <font>
      <b/>
      <sz val="12"/>
      <color theme="1"/>
      <name val="Calibri"/>
      <family val="2"/>
    </font>
    <font>
      <b/>
      <sz val="18"/>
      <color theme="0"/>
      <name val="Calibri"/>
      <family val="2"/>
    </font>
    <font>
      <b/>
      <sz val="11"/>
      <color theme="1"/>
      <name val="Calibri"/>
      <family val="2"/>
    </font>
    <font>
      <sz val="12"/>
      <color theme="1"/>
      <name val="Calibri"/>
      <family val="2"/>
    </font>
    <font>
      <sz val="11"/>
      <name val="Calibri"/>
      <family val="2"/>
    </font>
    <font>
      <b/>
      <sz val="14"/>
      <color theme="1"/>
      <name val="Calibri"/>
      <family val="2"/>
    </font>
    <font>
      <sz val="11"/>
      <color theme="0"/>
      <name val="Calibri"/>
      <family val="2"/>
    </font>
    <font>
      <sz val="14"/>
      <color theme="1"/>
      <name val="Calibri"/>
      <family val="2"/>
    </font>
    <font>
      <sz val="8"/>
      <color theme="1"/>
      <name val="Aptos Narrow"/>
      <family val="2"/>
      <scheme val="minor"/>
    </font>
    <font>
      <u/>
      <sz val="11"/>
      <color theme="10"/>
      <name val="Aptos Narrow"/>
      <family val="2"/>
      <scheme val="minor"/>
    </font>
    <font>
      <sz val="9"/>
      <color theme="1"/>
      <name val="Arial"/>
      <family val="2"/>
    </font>
    <font>
      <b/>
      <sz val="9"/>
      <name val="Arial"/>
      <family val="2"/>
    </font>
    <font>
      <b/>
      <sz val="9"/>
      <color theme="1"/>
      <name val="Arial"/>
      <family val="2"/>
    </font>
    <font>
      <sz val="9"/>
      <name val="Arial"/>
      <family val="2"/>
    </font>
    <font>
      <sz val="9"/>
      <color theme="1"/>
      <name val="Aptos Narrow"/>
      <family val="2"/>
      <scheme val="minor"/>
    </font>
    <font>
      <u/>
      <sz val="9"/>
      <name val="Arial"/>
      <family val="2"/>
    </font>
    <font>
      <sz val="9"/>
      <color rgb="FF000000"/>
      <name val="Arial"/>
      <family val="2"/>
    </font>
    <font>
      <u/>
      <sz val="9"/>
      <color theme="10"/>
      <name val="Arial"/>
      <family val="2"/>
    </font>
    <font>
      <sz val="9"/>
      <name val="Aptos Narrow"/>
      <family val="2"/>
      <scheme val="minor"/>
    </font>
    <font>
      <sz val="9"/>
      <name val="Tahoma"/>
      <family val="2"/>
    </font>
    <font>
      <sz val="10"/>
      <color theme="1"/>
      <name val="Aptos Narrow"/>
      <family val="2"/>
      <scheme val="minor"/>
    </font>
    <font>
      <b/>
      <sz val="10"/>
      <color theme="1"/>
      <name val="Aptos Narrow"/>
      <family val="2"/>
      <scheme val="minor"/>
    </font>
    <font>
      <u/>
      <sz val="9"/>
      <color rgb="FF0563C1"/>
      <name val="Arial"/>
      <family val="2"/>
    </font>
    <font>
      <sz val="10"/>
      <color theme="1"/>
      <name val="Arial"/>
      <family val="2"/>
    </font>
    <font>
      <b/>
      <sz val="9"/>
      <color theme="1"/>
      <name val="Aptos Narrow"/>
      <scheme val="minor"/>
    </font>
    <font>
      <b/>
      <u/>
      <sz val="9"/>
      <color theme="1"/>
      <name val="Aptos Narrow"/>
      <family val="2"/>
      <scheme val="minor"/>
    </font>
    <font>
      <b/>
      <sz val="8"/>
      <color theme="1"/>
      <name val="Aptos Narrow"/>
      <family val="2"/>
      <scheme val="minor"/>
    </font>
    <font>
      <sz val="9"/>
      <color theme="1"/>
      <name val="Aptos Narrow"/>
      <family val="2"/>
      <charset val="1"/>
    </font>
    <font>
      <b/>
      <sz val="9"/>
      <color theme="1"/>
      <name val="Aptos Narrow"/>
    </font>
    <font>
      <b/>
      <sz val="9"/>
      <color theme="1"/>
      <name val="Aptos Narrow"/>
      <family val="2"/>
      <scheme val="minor"/>
    </font>
    <font>
      <sz val="9"/>
      <color theme="1"/>
      <name val="Aptos Narrow"/>
      <scheme val="minor"/>
    </font>
    <font>
      <u/>
      <sz val="9"/>
      <color theme="1"/>
      <name val="Aptos Narrow"/>
      <family val="2"/>
      <scheme val="minor"/>
    </font>
    <font>
      <sz val="9"/>
      <color theme="4" tint="-0.499984740745262"/>
      <name val="Arial"/>
      <family val="2"/>
    </font>
    <font>
      <sz val="8"/>
      <color theme="1"/>
      <name val="Aptos Narrow"/>
      <family val="2"/>
      <charset val="1"/>
    </font>
    <font>
      <sz val="8"/>
      <name val="Aptos Narrow"/>
      <family val="2"/>
      <scheme val="minor"/>
    </font>
    <font>
      <sz val="9"/>
      <color rgb="FF002060"/>
      <name val="Arial"/>
      <family val="2"/>
    </font>
    <font>
      <sz val="8"/>
      <name val="Aptos Narrow"/>
      <family val="2"/>
    </font>
    <font>
      <u/>
      <sz val="9"/>
      <color theme="10"/>
      <name val="Aptos Narrow"/>
      <family val="2"/>
      <scheme val="minor"/>
    </font>
    <font>
      <b/>
      <sz val="9"/>
      <color theme="1"/>
      <name val="Aptos Narrow"/>
      <family val="2"/>
    </font>
    <font>
      <b/>
      <sz val="9"/>
      <name val="Aptos Narrow"/>
      <family val="2"/>
      <scheme val="minor"/>
    </font>
    <font>
      <sz val="9"/>
      <color theme="1"/>
      <name val="Aptos Narrow"/>
      <family val="2"/>
    </font>
    <font>
      <sz val="8"/>
      <color rgb="FF000000"/>
      <name val="Aptos Narrow"/>
      <family val="2"/>
    </font>
    <font>
      <b/>
      <sz val="10"/>
      <color indexed="8"/>
      <name val="Arial"/>
      <family val="2"/>
    </font>
    <font>
      <sz val="10"/>
      <color indexed="8"/>
      <name val="Arial"/>
      <family val="2"/>
    </font>
    <font>
      <sz val="9"/>
      <color rgb="FF000000"/>
      <name val="Aptos Narrow"/>
      <family val="2"/>
      <scheme val="minor"/>
    </font>
    <font>
      <sz val="9"/>
      <color rgb="FF000000"/>
      <name val="Aptos Narrow"/>
      <family val="2"/>
    </font>
    <font>
      <sz val="9"/>
      <color rgb="FFFF0000"/>
      <name val="Aptos Narrow"/>
      <family val="2"/>
      <scheme val="minor"/>
    </font>
    <font>
      <sz val="9"/>
      <color rgb="FF000000"/>
      <name val="Calibri"/>
      <family val="2"/>
    </font>
    <font>
      <b/>
      <sz val="9"/>
      <color theme="9" tint="-0.249977111117893"/>
      <name val="Aptos Narrow"/>
      <family val="2"/>
      <scheme val="minor"/>
    </font>
    <font>
      <sz val="9"/>
      <color theme="1"/>
      <name val="Calibri"/>
      <family val="2"/>
    </font>
    <font>
      <sz val="9"/>
      <color rgb="FFFF0000"/>
      <name val="Arial"/>
      <family val="2"/>
    </font>
    <font>
      <b/>
      <sz val="8"/>
      <name val="Aptos Narrow"/>
      <family val="2"/>
      <scheme val="minor"/>
    </font>
    <font>
      <u/>
      <sz val="8"/>
      <color theme="10"/>
      <name val="Aptos Narrow"/>
      <family val="2"/>
      <scheme val="minor"/>
    </font>
    <font>
      <u/>
      <sz val="8"/>
      <color rgb="FF0000FF"/>
      <name val="Aptos Narrow"/>
      <family val="2"/>
      <scheme val="minor"/>
    </font>
    <font>
      <sz val="8"/>
      <color rgb="FF000000"/>
      <name val="Aptos Narrow"/>
      <family val="2"/>
      <scheme val="minor"/>
    </font>
    <font>
      <sz val="8"/>
      <color theme="1"/>
      <name val="Arial"/>
      <family val="2"/>
    </font>
    <font>
      <sz val="8"/>
      <color rgb="FF000000"/>
      <name val="Calibri"/>
      <family val="2"/>
    </font>
    <font>
      <sz val="8"/>
      <color theme="1"/>
      <name val="Calibri"/>
      <family val="2"/>
      <charset val="1"/>
    </font>
    <font>
      <sz val="9"/>
      <color indexed="10"/>
      <name val="Arial"/>
      <family val="2"/>
    </font>
    <font>
      <sz val="9"/>
      <color indexed="8"/>
      <name val="Arial"/>
      <family val="2"/>
    </font>
    <font>
      <sz val="12"/>
      <color rgb="FF4B4B4B"/>
      <name val="Work Sans Medium Roman"/>
    </font>
    <font>
      <sz val="8"/>
      <name val="Arial Narrow"/>
      <family val="2"/>
    </font>
    <font>
      <b/>
      <sz val="8"/>
      <name val="Arial Narrow"/>
      <family val="2"/>
    </font>
    <font>
      <b/>
      <u/>
      <sz val="8"/>
      <name val="Arial Narrow"/>
      <family val="2"/>
    </font>
    <font>
      <sz val="11"/>
      <color rgb="FF242424"/>
      <name val="Aptos Narrow"/>
      <family val="2"/>
      <scheme val="minor"/>
    </font>
    <font>
      <b/>
      <sz val="6"/>
      <color theme="1"/>
      <name val="Arial"/>
      <family val="2"/>
    </font>
    <font>
      <b/>
      <sz val="8"/>
      <color theme="1"/>
      <name val="Arial"/>
      <family val="2"/>
    </font>
    <font>
      <sz val="9"/>
      <color rgb="FF000000"/>
      <name val="Aptos"/>
      <family val="2"/>
    </font>
    <font>
      <b/>
      <sz val="9"/>
      <color theme="1" tint="0.34998626667073579"/>
      <name val="Arial"/>
      <family val="2"/>
    </font>
    <font>
      <sz val="9"/>
      <color theme="1" tint="0.34998626667073579"/>
      <name val="Arial"/>
      <family val="2"/>
    </font>
    <font>
      <b/>
      <u/>
      <sz val="9"/>
      <color rgb="FFFF0000"/>
      <name val="Arial"/>
      <family val="2"/>
    </font>
    <font>
      <sz val="7"/>
      <color theme="1"/>
      <name val="Aptos Narrow"/>
      <family val="2"/>
      <scheme val="minor"/>
    </font>
    <font>
      <sz val="10"/>
      <color rgb="FF000000"/>
      <name val="Calibri"/>
      <family val="2"/>
    </font>
    <font>
      <sz val="11"/>
      <name val="Aptos Narrow"/>
      <family val="2"/>
      <scheme val="minor"/>
    </font>
    <font>
      <b/>
      <sz val="9"/>
      <color rgb="FF000000"/>
      <name val="Calibri"/>
      <family val="2"/>
    </font>
    <font>
      <sz val="8"/>
      <color theme="1"/>
      <name val="Aptos Narrow"/>
      <scheme val="minor"/>
    </font>
    <font>
      <sz val="10"/>
      <color theme="1"/>
      <name val="Aptos Narrow"/>
      <scheme val="minor"/>
    </font>
    <font>
      <b/>
      <sz val="8"/>
      <color theme="1"/>
      <name val="Aptos Narrow"/>
      <scheme val="minor"/>
    </font>
    <font>
      <sz val="11"/>
      <color rgb="FF000000"/>
      <name val="Arial"/>
      <family val="2"/>
    </font>
    <font>
      <b/>
      <sz val="9"/>
      <color theme="0"/>
      <name val="Arial"/>
      <family val="2"/>
    </font>
    <font>
      <b/>
      <sz val="9"/>
      <color rgb="FF002060"/>
      <name val="Arial"/>
      <family val="2"/>
    </font>
    <font>
      <sz val="8"/>
      <color indexed="81"/>
      <name val="Tahoma"/>
      <family val="2"/>
    </font>
  </fonts>
  <fills count="26">
    <fill>
      <patternFill patternType="none"/>
    </fill>
    <fill>
      <patternFill patternType="gray125"/>
    </fill>
    <fill>
      <patternFill patternType="solid">
        <fgColor theme="2"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249977111117893"/>
        <bgColor rgb="FFC4BD97"/>
      </patternFill>
    </fill>
    <fill>
      <patternFill patternType="solid">
        <fgColor theme="2" tint="-0.249977111117893"/>
        <bgColor indexed="64"/>
      </patternFill>
    </fill>
    <fill>
      <patternFill patternType="solid">
        <fgColor theme="5" tint="0.39997558519241921"/>
        <bgColor rgb="FFC4BD97"/>
      </patternFill>
    </fill>
    <fill>
      <patternFill patternType="solid">
        <fgColor theme="0" tint="-0.14999847407452621"/>
        <bgColor indexed="64"/>
      </patternFill>
    </fill>
    <fill>
      <patternFill patternType="solid">
        <fgColor theme="0" tint="-0.34998626667073579"/>
        <bgColor theme="6"/>
      </patternFill>
    </fill>
    <fill>
      <patternFill patternType="solid">
        <fgColor theme="9" tint="0.79998168889431442"/>
        <bgColor indexed="64"/>
      </patternFill>
    </fill>
    <fill>
      <patternFill patternType="solid">
        <fgColor theme="3" tint="0.499984740745262"/>
        <bgColor rgb="FFC4BD97"/>
      </patternFill>
    </fill>
    <fill>
      <patternFill patternType="solid">
        <fgColor theme="3" tint="0.249977111117893"/>
        <bgColor rgb="FFC4BD97"/>
      </patternFill>
    </fill>
    <fill>
      <patternFill patternType="solid">
        <fgColor rgb="FFF6E392"/>
        <bgColor indexed="64"/>
      </patternFill>
    </fill>
    <fill>
      <patternFill patternType="solid">
        <fgColor rgb="FFF8CB5A"/>
        <bgColor indexed="64"/>
      </patternFill>
    </fill>
    <fill>
      <patternFill patternType="solid">
        <fgColor rgb="FFF8CB5A"/>
        <bgColor rgb="FFC4BD97"/>
      </patternFill>
    </fill>
    <fill>
      <patternFill patternType="solid">
        <fgColor theme="3" tint="0.249977111117893"/>
        <bgColor indexed="64"/>
      </patternFill>
    </fill>
    <fill>
      <patternFill patternType="solid">
        <fgColor rgb="FFC00000"/>
        <bgColor indexed="64"/>
      </patternFill>
    </fill>
    <fill>
      <patternFill patternType="solid">
        <fgColor rgb="FFC00000"/>
        <bgColor theme="8"/>
      </patternFill>
    </fill>
    <fill>
      <patternFill patternType="solid">
        <fgColor theme="0"/>
        <bgColor theme="5"/>
      </patternFill>
    </fill>
    <fill>
      <patternFill patternType="solid">
        <fgColor rgb="FFABB2D1"/>
        <bgColor theme="6"/>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9" tint="0.59999389629810485"/>
        <bgColor indexed="64"/>
      </patternFill>
    </fill>
    <fill>
      <patternFill patternType="solid">
        <fgColor theme="5" tint="0.59999389629810485"/>
        <bgColor rgb="FFFCE4D6"/>
      </patternFill>
    </fill>
    <fill>
      <patternFill patternType="solid">
        <fgColor theme="9" tint="0.59999389629810485"/>
        <bgColor rgb="FFFCE4D6"/>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4" tint="-0.499984740745262"/>
      </left>
      <right/>
      <top style="medium">
        <color theme="0"/>
      </top>
      <bottom style="medium">
        <color theme="0"/>
      </bottom>
      <diagonal/>
    </border>
    <border>
      <left/>
      <right/>
      <top style="medium">
        <color theme="0"/>
      </top>
      <bottom style="medium">
        <color theme="0"/>
      </bottom>
      <diagonal/>
    </border>
    <border>
      <left/>
      <right style="medium">
        <color theme="4" tint="-0.499984740745262"/>
      </right>
      <top style="medium">
        <color theme="0"/>
      </top>
      <bottom style="medium">
        <color theme="0"/>
      </bottom>
      <diagonal/>
    </border>
    <border>
      <left/>
      <right style="medium">
        <color indexed="64"/>
      </right>
      <top style="medium">
        <color theme="0"/>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theme="4" tint="-0.499984740745262"/>
      </left>
      <right style="medium">
        <color theme="4" tint="-0.499984740745262"/>
      </right>
      <top style="medium">
        <color theme="0"/>
      </top>
      <bottom/>
      <diagonal/>
    </border>
    <border>
      <left style="medium">
        <color theme="4" tint="-0.499984740745262"/>
      </left>
      <right style="medium">
        <color indexed="64"/>
      </right>
      <top style="medium">
        <color theme="0"/>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theme="4" tint="-0.499984740745262"/>
      </left>
      <right style="thin">
        <color indexed="64"/>
      </right>
      <top style="thin">
        <color indexed="64"/>
      </top>
      <bottom/>
      <diagonal/>
    </border>
    <border>
      <left style="medium">
        <color theme="4" tint="-0.499984740745262"/>
      </left>
      <right style="thin">
        <color indexed="64"/>
      </right>
      <top/>
      <bottom/>
      <diagonal/>
    </border>
    <border>
      <left style="medium">
        <color theme="4" tint="-0.499984740745262"/>
      </left>
      <right style="thin">
        <color indexed="64"/>
      </right>
      <top/>
      <bottom style="thin">
        <color indexed="64"/>
      </bottom>
      <diagonal/>
    </border>
    <border>
      <left style="medium">
        <color indexed="64"/>
      </left>
      <right style="medium">
        <color theme="4" tint="-0.499984740745262"/>
      </right>
      <top style="thin">
        <color indexed="64"/>
      </top>
      <bottom/>
      <diagonal/>
    </border>
    <border>
      <left style="medium">
        <color indexed="64"/>
      </left>
      <right style="medium">
        <color theme="4" tint="-0.499984740745262"/>
      </right>
      <top/>
      <bottom/>
      <diagonal/>
    </border>
    <border>
      <left style="medium">
        <color indexed="64"/>
      </left>
      <right style="medium">
        <color theme="4" tint="-0.499984740745262"/>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medium">
        <color indexed="64"/>
      </right>
      <top style="thin">
        <color indexed="64"/>
      </top>
      <bottom style="medium">
        <color theme="0"/>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s>
  <cellStyleXfs count="20">
    <xf numFmtId="0" fontId="0" fillId="0" borderId="0"/>
    <xf numFmtId="9" fontId="1" fillId="0" borderId="0" applyFont="0" applyFill="0" applyBorder="0" applyAlignment="0" applyProtection="0"/>
    <xf numFmtId="0" fontId="12" fillId="0" borderId="0"/>
    <xf numFmtId="166" fontId="1" fillId="0" borderId="0" applyFont="0" applyFill="0" applyBorder="0" applyAlignment="0" applyProtection="0"/>
    <xf numFmtId="0" fontId="13" fillId="0" borderId="0"/>
    <xf numFmtId="43" fontId="1" fillId="0" borderId="0" applyFont="0" applyFill="0" applyBorder="0" applyAlignment="0" applyProtection="0"/>
    <xf numFmtId="41" fontId="1" fillId="0" borderId="0" applyFont="0" applyFill="0" applyBorder="0" applyAlignment="0" applyProtection="0"/>
    <xf numFmtId="0" fontId="12" fillId="0" borderId="0"/>
    <xf numFmtId="43" fontId="1" fillId="0" borderId="0" applyFont="0" applyFill="0" applyBorder="0" applyAlignment="0" applyProtection="0"/>
    <xf numFmtId="0" fontId="14" fillId="0" borderId="0"/>
    <xf numFmtId="44" fontId="1" fillId="0" borderId="0" applyFont="0" applyFill="0" applyBorder="0" applyAlignment="0" applyProtection="0"/>
    <xf numFmtId="9" fontId="12" fillId="0" borderId="0" applyFont="0" applyFill="0" applyBorder="0" applyAlignment="0" applyProtection="0"/>
    <xf numFmtId="0" fontId="12" fillId="0" borderId="0"/>
    <xf numFmtId="43" fontId="1" fillId="0" borderId="0" applyFont="0" applyFill="0" applyBorder="0" applyAlignment="0" applyProtection="0"/>
    <xf numFmtId="44" fontId="1" fillId="0" borderId="0" applyFont="0" applyFill="0" applyBorder="0" applyAlignment="0" applyProtection="0"/>
    <xf numFmtId="0" fontId="34"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03" fillId="0" borderId="0"/>
    <xf numFmtId="164" fontId="1" fillId="0" borderId="0" applyFont="0" applyFill="0" applyBorder="0" applyAlignment="0" applyProtection="0"/>
  </cellStyleXfs>
  <cellXfs count="1033">
    <xf numFmtId="0" fontId="0" fillId="0" borderId="0" xfId="0"/>
    <xf numFmtId="0" fontId="0" fillId="0" borderId="0" xfId="0" applyAlignment="1">
      <alignment horizontal="center"/>
    </xf>
    <xf numFmtId="0" fontId="0" fillId="0" borderId="0" xfId="0" applyAlignment="1">
      <alignment horizontal="justify"/>
    </xf>
    <xf numFmtId="167" fontId="17" fillId="0" borderId="1" xfId="12" applyNumberFormat="1" applyFont="1" applyBorder="1" applyAlignment="1">
      <alignment horizontal="center" vertical="center"/>
    </xf>
    <xf numFmtId="167" fontId="17" fillId="0" borderId="2" xfId="12" applyNumberFormat="1" applyFont="1" applyBorder="1" applyAlignment="1">
      <alignment horizontal="center" vertical="center"/>
    </xf>
    <xf numFmtId="0" fontId="3" fillId="4"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justify" vertical="center"/>
    </xf>
    <xf numFmtId="0" fontId="4" fillId="0" borderId="0" xfId="0" applyFont="1"/>
    <xf numFmtId="10" fontId="21" fillId="18" borderId="29" xfId="0" applyNumberFormat="1" applyFont="1" applyFill="1" applyBorder="1" applyAlignment="1">
      <alignment horizontal="center" vertical="center" wrapText="1"/>
    </xf>
    <xf numFmtId="10" fontId="22" fillId="19" borderId="25" xfId="0" applyNumberFormat="1" applyFont="1" applyFill="1" applyBorder="1" applyAlignment="1">
      <alignment horizontal="center" vertical="center" wrapText="1"/>
    </xf>
    <xf numFmtId="167" fontId="17" fillId="4" borderId="0" xfId="0" applyNumberFormat="1" applyFont="1" applyFill="1" applyAlignment="1">
      <alignment horizontal="center" vertical="center"/>
    </xf>
    <xf numFmtId="10" fontId="21" fillId="20" borderId="26" xfId="0" applyNumberFormat="1" applyFont="1" applyFill="1" applyBorder="1" applyAlignment="1">
      <alignment horizontal="center" vertical="center" wrapText="1"/>
    </xf>
    <xf numFmtId="10" fontId="21" fillId="20" borderId="27" xfId="0" applyNumberFormat="1" applyFont="1" applyFill="1" applyBorder="1" applyAlignment="1">
      <alignment horizontal="center" vertical="center" wrapText="1"/>
    </xf>
    <xf numFmtId="10" fontId="21" fillId="20" borderId="30" xfId="0" applyNumberFormat="1" applyFont="1" applyFill="1" applyBorder="1" applyAlignment="1">
      <alignment horizontal="center" vertical="center" wrapText="1"/>
    </xf>
    <xf numFmtId="10" fontId="21" fillId="20" borderId="36" xfId="0" applyNumberFormat="1" applyFont="1" applyFill="1" applyBorder="1" applyAlignment="1">
      <alignment horizontal="center" vertical="center" wrapText="1"/>
    </xf>
    <xf numFmtId="10" fontId="21" fillId="9" borderId="25" xfId="0"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23" xfId="0" applyFont="1" applyBorder="1" applyAlignment="1">
      <alignment horizontal="center" vertical="center" wrapText="1"/>
    </xf>
    <xf numFmtId="167" fontId="17" fillId="0" borderId="32" xfId="12" applyNumberFormat="1" applyFont="1" applyBorder="1" applyAlignment="1">
      <alignment horizontal="center" vertical="center"/>
    </xf>
    <xf numFmtId="167" fontId="17" fillId="0" borderId="31" xfId="12" applyNumberFormat="1" applyFont="1" applyBorder="1" applyAlignment="1">
      <alignment horizontal="center" vertical="center"/>
    </xf>
    <xf numFmtId="167" fontId="17" fillId="0" borderId="23" xfId="12" applyNumberFormat="1" applyFont="1" applyBorder="1" applyAlignment="1">
      <alignment horizontal="center" vertical="center"/>
    </xf>
    <xf numFmtId="0" fontId="3" fillId="3" borderId="34" xfId="0" applyFont="1" applyFill="1" applyBorder="1" applyAlignment="1">
      <alignment horizontal="center" vertical="center"/>
    </xf>
    <xf numFmtId="9" fontId="17" fillId="0" borderId="1" xfId="12" applyNumberFormat="1" applyFont="1" applyBorder="1" applyAlignment="1">
      <alignment horizontal="center" vertical="center"/>
    </xf>
    <xf numFmtId="0" fontId="8" fillId="7" borderId="41" xfId="0" applyFont="1" applyFill="1" applyBorder="1" applyAlignment="1">
      <alignment horizontal="center" vertical="center" textRotation="90" wrapText="1"/>
    </xf>
    <xf numFmtId="0" fontId="8" fillId="7" borderId="42" xfId="0" applyFont="1" applyFill="1" applyBorder="1" applyAlignment="1">
      <alignment horizontal="center" vertical="center" textRotation="90" wrapText="1"/>
    </xf>
    <xf numFmtId="0" fontId="8" fillId="11" borderId="13" xfId="0" applyFont="1" applyFill="1" applyBorder="1" applyAlignment="1">
      <alignment horizontal="center" vertical="center" wrapText="1"/>
    </xf>
    <xf numFmtId="165" fontId="8" fillId="11" borderId="13" xfId="0" applyNumberFormat="1" applyFont="1" applyFill="1" applyBorder="1" applyAlignment="1">
      <alignment horizontal="center" vertical="center" wrapText="1"/>
    </xf>
    <xf numFmtId="0" fontId="8" fillId="13" borderId="22" xfId="0" applyFont="1" applyFill="1" applyBorder="1" applyAlignment="1">
      <alignment horizontal="center" vertical="center" wrapText="1"/>
    </xf>
    <xf numFmtId="10" fontId="21" fillId="18" borderId="12" xfId="0" applyNumberFormat="1" applyFont="1" applyFill="1" applyBorder="1" applyAlignment="1">
      <alignment horizontal="center" vertical="center" wrapText="1"/>
    </xf>
    <xf numFmtId="0" fontId="17" fillId="0" borderId="0" xfId="0" applyFont="1" applyAlignment="1">
      <alignment vertical="center"/>
    </xf>
    <xf numFmtId="0" fontId="17" fillId="0" borderId="0" xfId="0" applyFont="1"/>
    <xf numFmtId="0" fontId="26" fillId="17" borderId="0" xfId="0" applyFont="1" applyFill="1" applyAlignment="1">
      <alignment horizontal="center" vertical="center" wrapText="1"/>
    </xf>
    <xf numFmtId="0" fontId="17" fillId="0" borderId="0" xfId="0" applyFont="1" applyAlignment="1">
      <alignment horizontal="left" vertical="center" wrapText="1"/>
    </xf>
    <xf numFmtId="0" fontId="2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justify" vertical="center" wrapText="1"/>
    </xf>
    <xf numFmtId="0" fontId="17" fillId="0" borderId="0" xfId="0" applyFont="1" applyAlignment="1">
      <alignment horizontal="center" vertical="center" wrapText="1"/>
    </xf>
    <xf numFmtId="0" fontId="24" fillId="17" borderId="1" xfId="0" applyFont="1" applyFill="1" applyBorder="1" applyAlignment="1">
      <alignment horizontal="center" vertical="center" wrapText="1"/>
    </xf>
    <xf numFmtId="0" fontId="29" fillId="0" borderId="0" xfId="0" applyFont="1"/>
    <xf numFmtId="0" fontId="17" fillId="4" borderId="1" xfId="0" applyFont="1" applyFill="1" applyBorder="1" applyAlignment="1">
      <alignment vertical="center" wrapText="1"/>
    </xf>
    <xf numFmtId="167" fontId="17" fillId="4" borderId="31" xfId="0" applyNumberFormat="1" applyFont="1" applyFill="1" applyBorder="1" applyAlignment="1">
      <alignment horizontal="center" vertical="center"/>
    </xf>
    <xf numFmtId="167" fontId="17" fillId="4" borderId="1" xfId="0" applyNumberFormat="1" applyFont="1" applyFill="1" applyBorder="1" applyAlignment="1">
      <alignment horizontal="center" vertical="center"/>
    </xf>
    <xf numFmtId="167" fontId="17" fillId="4" borderId="23" xfId="0" applyNumberFormat="1" applyFont="1" applyFill="1" applyBorder="1" applyAlignment="1">
      <alignment horizontal="center" vertical="center"/>
    </xf>
    <xf numFmtId="0" fontId="17" fillId="4" borderId="0" xfId="0" applyFont="1" applyFill="1"/>
    <xf numFmtId="0" fontId="25" fillId="8" borderId="1" xfId="0" applyFont="1" applyFill="1" applyBorder="1" applyAlignment="1">
      <alignment horizontal="center" vertical="center" wrapText="1"/>
    </xf>
    <xf numFmtId="167" fontId="25" fillId="8" borderId="33" xfId="0" applyNumberFormat="1" applyFont="1" applyFill="1" applyBorder="1" applyAlignment="1">
      <alignment horizontal="center" vertical="center"/>
    </xf>
    <xf numFmtId="167" fontId="25" fillId="8" borderId="34" xfId="0" applyNumberFormat="1" applyFont="1" applyFill="1" applyBorder="1" applyAlignment="1">
      <alignment horizontal="center" vertical="center"/>
    </xf>
    <xf numFmtId="167" fontId="25" fillId="8" borderId="38" xfId="0" applyNumberFormat="1" applyFont="1" applyFill="1" applyBorder="1" applyAlignment="1">
      <alignment horizontal="center" vertical="center"/>
    </xf>
    <xf numFmtId="167" fontId="25" fillId="8" borderId="39" xfId="0" applyNumberFormat="1" applyFont="1" applyFill="1" applyBorder="1" applyAlignment="1">
      <alignment horizontal="center" vertical="center"/>
    </xf>
    <xf numFmtId="0" fontId="17" fillId="0" borderId="0" xfId="0" applyFont="1" applyAlignment="1">
      <alignment vertical="center" wrapText="1"/>
    </xf>
    <xf numFmtId="0" fontId="17" fillId="0" borderId="1" xfId="12" applyFont="1" applyBorder="1" applyAlignment="1">
      <alignment vertical="center" wrapText="1"/>
    </xf>
    <xf numFmtId="0" fontId="30" fillId="8" borderId="1" xfId="0" applyFont="1" applyFill="1" applyBorder="1" applyAlignment="1">
      <alignment horizontal="center" vertical="center" wrapText="1"/>
    </xf>
    <xf numFmtId="167" fontId="25" fillId="8" borderId="35" xfId="0" applyNumberFormat="1" applyFont="1" applyFill="1" applyBorder="1" applyAlignment="1">
      <alignment horizontal="center" vertical="center"/>
    </xf>
    <xf numFmtId="167" fontId="17" fillId="4" borderId="37" xfId="0" applyNumberFormat="1" applyFont="1" applyFill="1" applyBorder="1" applyAlignment="1">
      <alignment horizontal="center" vertical="center"/>
    </xf>
    <xf numFmtId="0" fontId="17" fillId="0" borderId="31" xfId="0" applyFont="1" applyBorder="1" applyAlignment="1">
      <alignment vertical="center" wrapText="1"/>
    </xf>
    <xf numFmtId="0" fontId="17" fillId="0" borderId="33" xfId="0" applyFont="1" applyBorder="1" applyAlignment="1">
      <alignment vertical="center" wrapText="1"/>
    </xf>
    <xf numFmtId="167" fontId="31" fillId="0" borderId="34" xfId="0" applyNumberFormat="1" applyFont="1" applyBorder="1" applyAlignment="1">
      <alignment vertical="center"/>
    </xf>
    <xf numFmtId="0" fontId="17" fillId="0" borderId="34" xfId="0" applyFont="1" applyBorder="1" applyAlignment="1">
      <alignment vertical="center"/>
    </xf>
    <xf numFmtId="0" fontId="27" fillId="0" borderId="50" xfId="0" applyFont="1" applyBorder="1" applyAlignment="1">
      <alignment horizontal="center" vertical="center" wrapText="1"/>
    </xf>
    <xf numFmtId="167" fontId="27" fillId="0" borderId="51" xfId="0" applyNumberFormat="1" applyFont="1" applyBorder="1" applyAlignment="1">
      <alignment horizontal="center" vertical="center"/>
    </xf>
    <xf numFmtId="167" fontId="27" fillId="0" borderId="52" xfId="0" applyNumberFormat="1" applyFont="1" applyBorder="1" applyAlignment="1">
      <alignment horizontal="center" vertical="center"/>
    </xf>
    <xf numFmtId="9" fontId="31" fillId="0" borderId="1" xfId="1" applyFont="1" applyBorder="1" applyAlignment="1">
      <alignment vertical="center"/>
    </xf>
    <xf numFmtId="9" fontId="17" fillId="0" borderId="1" xfId="1" applyFont="1" applyBorder="1" applyAlignment="1">
      <alignment vertical="center"/>
    </xf>
    <xf numFmtId="0" fontId="31" fillId="0" borderId="0" xfId="0" applyFont="1" applyAlignment="1">
      <alignment vertical="center"/>
    </xf>
    <xf numFmtId="0" fontId="31" fillId="4" borderId="0" xfId="0" applyFont="1" applyFill="1" applyAlignment="1">
      <alignment vertical="center"/>
    </xf>
    <xf numFmtId="0" fontId="21" fillId="0" borderId="0" xfId="0" applyFont="1" applyAlignment="1">
      <alignment horizontal="center" vertical="center" wrapText="1"/>
    </xf>
    <xf numFmtId="0" fontId="33" fillId="0" borderId="1" xfId="0" applyFont="1" applyBorder="1"/>
    <xf numFmtId="0" fontId="33" fillId="0" borderId="0" xfId="0" applyFont="1"/>
    <xf numFmtId="0" fontId="29" fillId="0" borderId="1" xfId="0" applyFont="1" applyBorder="1" applyAlignment="1">
      <alignment horizontal="center" vertical="center" wrapText="1"/>
    </xf>
    <xf numFmtId="0" fontId="0" fillId="0" borderId="0" xfId="0" applyAlignment="1">
      <alignment vertical="center"/>
    </xf>
    <xf numFmtId="0" fontId="0" fillId="4" borderId="0" xfId="0" applyFill="1" applyAlignment="1">
      <alignment vertical="center"/>
    </xf>
    <xf numFmtId="0" fontId="1" fillId="0" borderId="0" xfId="0" applyFont="1" applyAlignment="1">
      <alignment vertical="center"/>
    </xf>
    <xf numFmtId="0" fontId="35" fillId="21" borderId="1" xfId="0" applyFont="1" applyFill="1" applyBorder="1" applyAlignment="1">
      <alignment horizontal="center" vertical="center" wrapText="1"/>
    </xf>
    <xf numFmtId="9" fontId="35" fillId="21" borderId="1" xfId="0" applyNumberFormat="1" applyFont="1" applyFill="1" applyBorder="1" applyAlignment="1">
      <alignment horizontal="center" vertical="center" wrapText="1"/>
    </xf>
    <xf numFmtId="49" fontId="35" fillId="21" borderId="1" xfId="0" applyNumberFormat="1" applyFont="1" applyFill="1" applyBorder="1" applyAlignment="1">
      <alignment horizontal="center" vertical="center" wrapText="1"/>
    </xf>
    <xf numFmtId="0" fontId="36" fillId="21" borderId="1" xfId="0" applyFont="1" applyFill="1" applyBorder="1" applyAlignment="1">
      <alignment horizontal="center" vertical="center" wrapText="1"/>
    </xf>
    <xf numFmtId="0" fontId="37" fillId="21" borderId="1" xfId="0" applyFont="1" applyFill="1" applyBorder="1" applyAlignment="1">
      <alignment horizontal="center" vertical="center" wrapText="1"/>
    </xf>
    <xf numFmtId="9" fontId="37" fillId="21" borderId="1" xfId="0" applyNumberFormat="1" applyFont="1" applyFill="1" applyBorder="1" applyAlignment="1">
      <alignment horizontal="center" vertical="center" wrapText="1"/>
    </xf>
    <xf numFmtId="14" fontId="37" fillId="21" borderId="1" xfId="0" applyNumberFormat="1" applyFont="1" applyFill="1" applyBorder="1" applyAlignment="1">
      <alignment horizontal="center" vertical="center" wrapText="1"/>
    </xf>
    <xf numFmtId="14" fontId="35" fillId="21" borderId="1" xfId="0" applyNumberFormat="1" applyFont="1" applyFill="1" applyBorder="1" applyAlignment="1">
      <alignment horizontal="center" vertical="center" wrapText="1"/>
    </xf>
    <xf numFmtId="9" fontId="37" fillId="21" borderId="1" xfId="1" applyFont="1" applyFill="1" applyBorder="1" applyAlignment="1" applyProtection="1">
      <alignment horizontal="center" vertical="center" wrapText="1"/>
    </xf>
    <xf numFmtId="9" fontId="35" fillId="0" borderId="1" xfId="1" applyFont="1" applyFill="1" applyBorder="1" applyAlignment="1" applyProtection="1">
      <alignment horizontal="center" vertical="center" wrapText="1"/>
    </xf>
    <xf numFmtId="0" fontId="35" fillId="0" borderId="1" xfId="0" applyFont="1" applyBorder="1" applyAlignment="1">
      <alignment horizontal="center" vertical="center" wrapText="1"/>
    </xf>
    <xf numFmtId="9" fontId="35" fillId="0" borderId="1" xfId="0" applyNumberFormat="1" applyFont="1" applyBorder="1" applyAlignment="1">
      <alignment horizontal="center" vertical="center" wrapText="1"/>
    </xf>
    <xf numFmtId="0" fontId="35" fillId="0" borderId="1" xfId="0" applyFont="1" applyBorder="1" applyAlignment="1">
      <alignment horizontal="left" vertical="center" wrapText="1"/>
    </xf>
    <xf numFmtId="0" fontId="35" fillId="0" borderId="1" xfId="1" applyNumberFormat="1" applyFont="1" applyFill="1" applyBorder="1" applyAlignment="1" applyProtection="1">
      <alignment horizontal="left" vertical="center" wrapText="1"/>
    </xf>
    <xf numFmtId="44" fontId="35" fillId="0" borderId="1" xfId="14" applyFont="1" applyFill="1" applyBorder="1" applyAlignment="1" applyProtection="1">
      <alignment horizontal="center" vertical="center" wrapText="1"/>
    </xf>
    <xf numFmtId="9" fontId="38" fillId="0" borderId="1" xfId="1" applyFont="1" applyFill="1" applyBorder="1" applyAlignment="1" applyProtection="1">
      <alignment horizontal="center" vertical="center" wrapText="1"/>
    </xf>
    <xf numFmtId="14" fontId="35" fillId="0" borderId="1" xfId="0" applyNumberFormat="1" applyFont="1" applyBorder="1" applyAlignment="1">
      <alignment horizontal="center" vertical="center" wrapText="1"/>
    </xf>
    <xf numFmtId="9" fontId="35" fillId="0" borderId="10" xfId="1" applyFont="1" applyFill="1" applyBorder="1" applyAlignment="1" applyProtection="1">
      <alignment horizontal="center" vertical="center" wrapText="1"/>
    </xf>
    <xf numFmtId="9" fontId="38" fillId="0" borderId="10" xfId="15" applyNumberFormat="1" applyFont="1" applyFill="1" applyBorder="1" applyAlignment="1" applyProtection="1">
      <alignment horizontal="center" vertical="center" wrapText="1"/>
    </xf>
    <xf numFmtId="0" fontId="35" fillId="0" borderId="0" xfId="0" applyFont="1" applyAlignment="1">
      <alignment horizontal="center" vertical="center"/>
    </xf>
    <xf numFmtId="0" fontId="38" fillId="0" borderId="1" xfId="0" applyFont="1" applyBorder="1" applyAlignment="1">
      <alignment horizontal="center" vertical="center" wrapText="1"/>
    </xf>
    <xf numFmtId="9" fontId="40" fillId="0" borderId="1" xfId="15" applyNumberFormat="1" applyFont="1" applyFill="1" applyBorder="1" applyAlignment="1" applyProtection="1">
      <alignment horizontal="center" vertical="center" wrapText="1"/>
    </xf>
    <xf numFmtId="9" fontId="38" fillId="0" borderId="1" xfId="15" applyNumberFormat="1" applyFont="1" applyFill="1" applyBorder="1" applyAlignment="1" applyProtection="1">
      <alignment horizontal="center" vertical="center" wrapText="1"/>
    </xf>
    <xf numFmtId="9" fontId="38" fillId="0" borderId="1" xfId="0" applyNumberFormat="1" applyFont="1" applyBorder="1" applyAlignment="1">
      <alignment horizontal="center" vertical="center" wrapText="1"/>
    </xf>
    <xf numFmtId="0" fontId="38" fillId="21" borderId="1" xfId="0" applyFont="1" applyFill="1" applyBorder="1" applyAlignment="1">
      <alignment horizontal="center" vertical="center" wrapText="1"/>
    </xf>
    <xf numFmtId="9" fontId="38" fillId="21" borderId="1" xfId="0" applyNumberFormat="1" applyFont="1" applyFill="1" applyBorder="1" applyAlignment="1">
      <alignment horizontal="center" vertical="center" wrapText="1"/>
    </xf>
    <xf numFmtId="49" fontId="38" fillId="21" borderId="1" xfId="0" applyNumberFormat="1" applyFont="1" applyFill="1" applyBorder="1" applyAlignment="1">
      <alignment horizontal="center" vertical="center" wrapText="1"/>
    </xf>
    <xf numFmtId="14" fontId="36" fillId="21" borderId="1" xfId="0" applyNumberFormat="1" applyFont="1" applyFill="1" applyBorder="1" applyAlignment="1">
      <alignment horizontal="center" vertical="center" wrapText="1"/>
    </xf>
    <xf numFmtId="14" fontId="38" fillId="21" borderId="1" xfId="0" applyNumberFormat="1" applyFont="1" applyFill="1" applyBorder="1" applyAlignment="1">
      <alignment horizontal="center" vertical="center" wrapText="1"/>
    </xf>
    <xf numFmtId="9" fontId="36" fillId="21" borderId="1" xfId="0" applyNumberFormat="1" applyFont="1" applyFill="1" applyBorder="1" applyAlignment="1">
      <alignment horizontal="center" vertical="center" wrapText="1"/>
    </xf>
    <xf numFmtId="0" fontId="38" fillId="21" borderId="1" xfId="1" applyNumberFormat="1" applyFont="1" applyFill="1" applyBorder="1" applyAlignment="1" applyProtection="1">
      <alignment horizontal="center" vertical="center" wrapText="1"/>
    </xf>
    <xf numFmtId="0" fontId="36" fillId="21" borderId="1" xfId="1" applyNumberFormat="1" applyFont="1" applyFill="1" applyBorder="1" applyAlignment="1" applyProtection="1">
      <alignment horizontal="center" vertical="center" wrapText="1"/>
    </xf>
    <xf numFmtId="0" fontId="38" fillId="0" borderId="1" xfId="0" applyFont="1" applyBorder="1" applyAlignment="1">
      <alignment horizontal="left" vertical="center" wrapText="1"/>
    </xf>
    <xf numFmtId="0" fontId="38" fillId="0" borderId="1" xfId="1" applyNumberFormat="1" applyFont="1" applyFill="1" applyBorder="1" applyAlignment="1" applyProtection="1">
      <alignment horizontal="left" vertical="center" wrapText="1"/>
    </xf>
    <xf numFmtId="0" fontId="38" fillId="0" borderId="1" xfId="1" applyNumberFormat="1" applyFont="1" applyFill="1" applyBorder="1" applyAlignment="1" applyProtection="1">
      <alignment horizontal="center" vertical="center" wrapText="1"/>
    </xf>
    <xf numFmtId="44" fontId="38" fillId="0" borderId="1" xfId="14" applyFont="1" applyFill="1" applyBorder="1" applyAlignment="1" applyProtection="1">
      <alignment horizontal="center" vertical="center" wrapText="1"/>
    </xf>
    <xf numFmtId="0" fontId="38" fillId="0" borderId="1" xfId="8" applyNumberFormat="1" applyFont="1" applyFill="1" applyBorder="1" applyAlignment="1" applyProtection="1">
      <alignment horizontal="center" vertical="center" wrapText="1"/>
    </xf>
    <xf numFmtId="9" fontId="37" fillId="22" borderId="1" xfId="0" applyNumberFormat="1" applyFont="1" applyFill="1" applyBorder="1" applyAlignment="1">
      <alignment horizontal="center" vertical="center" wrapText="1"/>
    </xf>
    <xf numFmtId="9" fontId="36" fillId="21" borderId="1" xfId="1" applyFont="1" applyFill="1" applyBorder="1" applyAlignment="1" applyProtection="1">
      <alignment horizontal="center" vertical="center" wrapText="1"/>
    </xf>
    <xf numFmtId="10" fontId="35" fillId="21" borderId="1" xfId="0" applyNumberFormat="1" applyFont="1" applyFill="1" applyBorder="1" applyAlignment="1">
      <alignment horizontal="center" vertical="center" wrapText="1"/>
    </xf>
    <xf numFmtId="9" fontId="41" fillId="0" borderId="1" xfId="1" applyFont="1" applyFill="1" applyBorder="1" applyAlignment="1" applyProtection="1">
      <alignment horizontal="center" vertical="center" wrapText="1"/>
    </xf>
    <xf numFmtId="0" fontId="35" fillId="0" borderId="1" xfId="1" applyNumberFormat="1" applyFont="1" applyFill="1" applyBorder="1" applyAlignment="1" applyProtection="1">
      <alignment horizontal="center" vertical="center" wrapText="1"/>
    </xf>
    <xf numFmtId="0" fontId="42" fillId="0" borderId="1" xfId="15" applyNumberFormat="1" applyFont="1" applyFill="1" applyBorder="1" applyAlignment="1" applyProtection="1">
      <alignment horizontal="center" vertical="center" wrapText="1"/>
    </xf>
    <xf numFmtId="10" fontId="35" fillId="0" borderId="1" xfId="1" applyNumberFormat="1" applyFont="1" applyFill="1" applyBorder="1" applyAlignment="1" applyProtection="1">
      <alignment horizontal="center" vertical="center" wrapText="1"/>
    </xf>
    <xf numFmtId="0" fontId="43" fillId="0" borderId="1" xfId="15" applyNumberFormat="1" applyFont="1" applyFill="1" applyBorder="1" applyAlignment="1" applyProtection="1">
      <alignment horizontal="center" vertical="center" wrapText="1"/>
    </xf>
    <xf numFmtId="44" fontId="38" fillId="0" borderId="1" xfId="16" applyFont="1" applyFill="1" applyBorder="1" applyAlignment="1" applyProtection="1">
      <alignment horizontal="center" vertical="center" wrapText="1"/>
    </xf>
    <xf numFmtId="0" fontId="37" fillId="21" borderId="1" xfId="2" applyFont="1" applyFill="1" applyBorder="1" applyAlignment="1">
      <alignment horizontal="center" vertical="center" wrapText="1"/>
    </xf>
    <xf numFmtId="9" fontId="35" fillId="21" borderId="1" xfId="1" applyFont="1" applyFill="1" applyBorder="1" applyAlignment="1" applyProtection="1">
      <alignment horizontal="center" vertical="center" wrapText="1"/>
    </xf>
    <xf numFmtId="1" fontId="35" fillId="0" borderId="1" xfId="0" applyNumberFormat="1" applyFont="1" applyBorder="1" applyAlignment="1">
      <alignment horizontal="center" vertical="center" wrapText="1"/>
    </xf>
    <xf numFmtId="1" fontId="35" fillId="0" borderId="1" xfId="1" applyNumberFormat="1" applyFont="1" applyFill="1" applyBorder="1" applyAlignment="1" applyProtection="1">
      <alignment horizontal="center" vertical="center" wrapText="1"/>
    </xf>
    <xf numFmtId="0" fontId="35" fillId="0" borderId="1" xfId="2" applyFont="1" applyBorder="1" applyAlignment="1">
      <alignment horizontal="center" vertical="center" wrapText="1"/>
    </xf>
    <xf numFmtId="0" fontId="35" fillId="0" borderId="1" xfId="2" applyFont="1" applyBorder="1" applyAlignment="1">
      <alignment horizontal="center" vertical="center"/>
    </xf>
    <xf numFmtId="10" fontId="35" fillId="0" borderId="1" xfId="0" applyNumberFormat="1" applyFont="1" applyBorder="1" applyAlignment="1">
      <alignment horizontal="center" vertical="center" wrapText="1"/>
    </xf>
    <xf numFmtId="0" fontId="41" fillId="0" borderId="1" xfId="1" applyNumberFormat="1" applyFont="1" applyFill="1" applyBorder="1" applyAlignment="1" applyProtection="1">
      <alignment horizontal="center" vertical="center" wrapText="1"/>
    </xf>
    <xf numFmtId="167" fontId="35" fillId="21" borderId="1" xfId="0" applyNumberFormat="1" applyFont="1" applyFill="1" applyBorder="1" applyAlignment="1">
      <alignment horizontal="center" vertical="center" wrapText="1"/>
    </xf>
    <xf numFmtId="167" fontId="37" fillId="21" borderId="1" xfId="1" applyNumberFormat="1" applyFont="1" applyFill="1" applyBorder="1" applyAlignment="1" applyProtection="1">
      <alignment horizontal="center" vertical="center" wrapText="1"/>
    </xf>
    <xf numFmtId="167" fontId="35"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168" fontId="35" fillId="0" borderId="0" xfId="0" applyNumberFormat="1" applyFont="1" applyAlignment="1">
      <alignment horizontal="center" vertical="center"/>
    </xf>
    <xf numFmtId="0" fontId="35" fillId="0" borderId="13" xfId="0" applyFont="1" applyBorder="1" applyAlignment="1">
      <alignment horizontal="center" vertical="center" wrapText="1"/>
    </xf>
    <xf numFmtId="9" fontId="35"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4" fontId="35" fillId="0" borderId="13" xfId="0" applyNumberFormat="1" applyFont="1" applyBorder="1" applyAlignment="1">
      <alignment horizontal="center" vertical="center" wrapText="1"/>
    </xf>
    <xf numFmtId="0" fontId="35" fillId="0" borderId="13" xfId="0" applyFont="1" applyBorder="1" applyAlignment="1">
      <alignment horizontal="center" vertical="center"/>
    </xf>
    <xf numFmtId="9" fontId="35" fillId="0" borderId="13" xfId="1" applyFont="1" applyFill="1" applyBorder="1" applyAlignment="1" applyProtection="1">
      <alignment horizontal="center" vertical="center" wrapText="1"/>
    </xf>
    <xf numFmtId="14" fontId="35" fillId="0" borderId="1" xfId="0" applyNumberFormat="1" applyFont="1" applyBorder="1" applyAlignment="1">
      <alignment horizontal="center" vertical="center"/>
    </xf>
    <xf numFmtId="9" fontId="35" fillId="21" borderId="1" xfId="0" applyNumberFormat="1" applyFont="1" applyFill="1" applyBorder="1" applyAlignment="1">
      <alignment horizontal="left" vertical="center" wrapText="1"/>
    </xf>
    <xf numFmtId="14" fontId="37" fillId="21" borderId="1" xfId="0" applyNumberFormat="1" applyFont="1" applyFill="1" applyBorder="1" applyAlignment="1">
      <alignment horizontal="center" vertical="center"/>
    </xf>
    <xf numFmtId="9" fontId="35" fillId="21" borderId="1" xfId="0" applyNumberFormat="1" applyFont="1" applyFill="1" applyBorder="1" applyAlignment="1" applyProtection="1">
      <alignment horizontal="center" vertical="center" wrapText="1"/>
      <protection locked="0"/>
    </xf>
    <xf numFmtId="9" fontId="35" fillId="0" borderId="1" xfId="0" applyNumberFormat="1" applyFont="1" applyBorder="1" applyAlignment="1">
      <alignment horizontal="left" vertical="center" wrapText="1"/>
    </xf>
    <xf numFmtId="9" fontId="35" fillId="0" borderId="1" xfId="1" applyFont="1" applyFill="1" applyBorder="1" applyAlignment="1" applyProtection="1">
      <alignment horizontal="center" vertical="center"/>
    </xf>
    <xf numFmtId="0" fontId="35" fillId="0" borderId="1" xfId="0" applyFont="1" applyBorder="1" applyAlignment="1" applyProtection="1">
      <alignment horizontal="center" vertical="center" wrapText="1"/>
      <protection locked="0"/>
    </xf>
    <xf numFmtId="9" fontId="35" fillId="0" borderId="1" xfId="1" applyFont="1" applyFill="1" applyBorder="1" applyAlignment="1" applyProtection="1">
      <alignment horizontal="center" vertical="center" wrapText="1"/>
      <protection locked="0"/>
    </xf>
    <xf numFmtId="44" fontId="35" fillId="0" borderId="1" xfId="14" applyFont="1" applyFill="1" applyBorder="1" applyAlignment="1" applyProtection="1">
      <alignment horizontal="center" vertical="center" wrapText="1"/>
      <protection locked="0"/>
    </xf>
    <xf numFmtId="0" fontId="42" fillId="0" borderId="1" xfId="15" applyFont="1" applyFill="1" applyBorder="1" applyAlignment="1" applyProtection="1">
      <alignment horizontal="center" vertical="center" wrapText="1"/>
    </xf>
    <xf numFmtId="0" fontId="42" fillId="0" borderId="1" xfId="15" applyFont="1" applyFill="1" applyBorder="1" applyAlignment="1" applyProtection="1">
      <alignment horizontal="left" vertical="center" wrapText="1"/>
    </xf>
    <xf numFmtId="0" fontId="42" fillId="0" borderId="1" xfId="15" applyFont="1" applyFill="1" applyBorder="1" applyAlignment="1" applyProtection="1">
      <alignment horizontal="center" vertical="center"/>
    </xf>
    <xf numFmtId="0" fontId="35" fillId="0" borderId="1" xfId="0" applyFont="1" applyBorder="1" applyAlignment="1">
      <alignment wrapText="1"/>
    </xf>
    <xf numFmtId="165" fontId="35" fillId="0" borderId="1" xfId="0" applyNumberFormat="1" applyFont="1" applyBorder="1" applyAlignment="1">
      <alignment wrapText="1"/>
    </xf>
    <xf numFmtId="0" fontId="35" fillId="0" borderId="1" xfId="0" applyFont="1" applyBorder="1" applyAlignment="1">
      <alignment horizontal="left" vertical="center"/>
    </xf>
    <xf numFmtId="1" fontId="35" fillId="0" borderId="1" xfId="0" applyNumberFormat="1" applyFont="1" applyBorder="1" applyAlignment="1" applyProtection="1">
      <alignment horizontal="center" vertical="center" wrapText="1"/>
      <protection locked="0"/>
    </xf>
    <xf numFmtId="165" fontId="35" fillId="0" borderId="1" xfId="0" applyNumberFormat="1" applyFont="1" applyBorder="1" applyAlignment="1">
      <alignment horizontal="center" vertical="center" wrapText="1"/>
    </xf>
    <xf numFmtId="169" fontId="35" fillId="0" borderId="1" xfId="0" applyNumberFormat="1" applyFont="1" applyBorder="1" applyAlignment="1">
      <alignment horizontal="center" vertical="center" wrapText="1"/>
    </xf>
    <xf numFmtId="9" fontId="35" fillId="0" borderId="1" xfId="0" applyNumberFormat="1" applyFont="1" applyBorder="1" applyAlignment="1" applyProtection="1">
      <alignment horizontal="center" vertical="center" wrapText="1"/>
      <protection locked="0"/>
    </xf>
    <xf numFmtId="9" fontId="35" fillId="23" borderId="1" xfId="0" applyNumberFormat="1" applyFont="1" applyFill="1" applyBorder="1" applyAlignment="1">
      <alignment horizontal="center" vertical="center" wrapText="1"/>
    </xf>
    <xf numFmtId="0" fontId="35" fillId="23" borderId="1" xfId="0" applyFont="1" applyFill="1" applyBorder="1" applyAlignment="1">
      <alignment horizontal="center" vertical="center" wrapText="1"/>
    </xf>
    <xf numFmtId="9" fontId="35" fillId="23" borderId="1" xfId="1" applyFont="1" applyFill="1" applyBorder="1" applyAlignment="1" applyProtection="1">
      <alignment horizontal="center" vertical="center" wrapText="1"/>
    </xf>
    <xf numFmtId="14" fontId="35" fillId="23" borderId="1" xfId="0" applyNumberFormat="1" applyFont="1" applyFill="1" applyBorder="1" applyAlignment="1">
      <alignment horizontal="center" vertical="center"/>
    </xf>
    <xf numFmtId="14" fontId="35" fillId="23" borderId="1" xfId="0" applyNumberFormat="1" applyFont="1" applyFill="1" applyBorder="1" applyAlignment="1">
      <alignment horizontal="center" vertical="center" wrapText="1"/>
    </xf>
    <xf numFmtId="0" fontId="35" fillId="23" borderId="1" xfId="0" applyFont="1" applyFill="1" applyBorder="1" applyAlignment="1">
      <alignment horizontal="justify" vertical="center" wrapText="1"/>
    </xf>
    <xf numFmtId="0" fontId="35" fillId="23" borderId="1" xfId="0" applyFont="1" applyFill="1" applyBorder="1" applyAlignment="1">
      <alignment horizontal="left" vertical="center" wrapText="1"/>
    </xf>
    <xf numFmtId="0" fontId="35" fillId="23" borderId="1" xfId="0" applyFont="1" applyFill="1" applyBorder="1" applyAlignment="1" applyProtection="1">
      <alignment horizontal="center" vertical="center" wrapText="1"/>
      <protection locked="0"/>
    </xf>
    <xf numFmtId="0" fontId="35" fillId="23" borderId="1" xfId="0" applyFont="1" applyFill="1" applyBorder="1" applyAlignment="1" applyProtection="1">
      <alignment horizontal="left" vertical="center" wrapText="1"/>
      <protection locked="0"/>
    </xf>
    <xf numFmtId="0" fontId="45" fillId="23" borderId="1" xfId="0" applyFont="1" applyFill="1" applyBorder="1" applyAlignment="1">
      <alignment horizontal="left" vertical="center" wrapText="1"/>
    </xf>
    <xf numFmtId="170" fontId="35" fillId="0" borderId="1" xfId="8" applyNumberFormat="1" applyFont="1" applyFill="1" applyBorder="1" applyAlignment="1" applyProtection="1">
      <alignment horizontal="center" vertical="center" wrapText="1"/>
      <protection locked="0"/>
    </xf>
    <xf numFmtId="9" fontId="35" fillId="21" borderId="1" xfId="0" applyNumberFormat="1" applyFont="1" applyFill="1" applyBorder="1" applyAlignment="1">
      <alignment horizontal="center" wrapText="1"/>
    </xf>
    <xf numFmtId="0" fontId="39" fillId="0" borderId="1" xfId="0" applyFont="1" applyBorder="1" applyAlignment="1">
      <alignment horizontal="center" vertical="center" wrapText="1"/>
    </xf>
    <xf numFmtId="9" fontId="35" fillId="0" borderId="1" xfId="0" applyNumberFormat="1" applyFont="1" applyBorder="1" applyAlignment="1">
      <alignment horizontal="center" wrapText="1"/>
    </xf>
    <xf numFmtId="9" fontId="33" fillId="0" borderId="1" xfId="1" applyFont="1" applyFill="1" applyBorder="1" applyAlignment="1" applyProtection="1">
      <alignment horizontal="center" vertical="center" wrapText="1"/>
    </xf>
    <xf numFmtId="9" fontId="39" fillId="0" borderId="1" xfId="0" applyNumberFormat="1" applyFont="1" applyBorder="1" applyAlignment="1">
      <alignment horizontal="center" vertical="center" wrapText="1"/>
    </xf>
    <xf numFmtId="0" fontId="33" fillId="0" borderId="1" xfId="1" applyNumberFormat="1" applyFont="1" applyFill="1" applyBorder="1" applyAlignment="1" applyProtection="1">
      <alignment horizontal="center" vertical="center" wrapText="1"/>
    </xf>
    <xf numFmtId="9" fontId="39" fillId="0" borderId="1" xfId="1" applyFont="1" applyFill="1" applyBorder="1" applyAlignment="1" applyProtection="1">
      <alignment horizontal="center" vertical="center" wrapText="1"/>
    </xf>
    <xf numFmtId="1" fontId="37" fillId="21" borderId="1" xfId="0" applyNumberFormat="1" applyFont="1" applyFill="1" applyBorder="1" applyAlignment="1">
      <alignment horizontal="center" vertical="center" wrapText="1"/>
    </xf>
    <xf numFmtId="9" fontId="37" fillId="21" borderId="1" xfId="0" applyNumberFormat="1" applyFont="1" applyFill="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5" fillId="0" borderId="0" xfId="0" applyFont="1" applyAlignment="1" applyProtection="1">
      <alignment horizontal="center" vertical="center"/>
      <protection locked="0"/>
    </xf>
    <xf numFmtId="172" fontId="38" fillId="0" borderId="1" xfId="14" applyNumberFormat="1" applyFont="1" applyFill="1" applyBorder="1" applyAlignment="1" applyProtection="1">
      <alignment horizontal="center" vertical="center" wrapText="1"/>
      <protection locked="0"/>
    </xf>
    <xf numFmtId="0" fontId="0" fillId="0" borderId="1" xfId="15" applyFont="1" applyFill="1" applyBorder="1" applyAlignment="1" applyProtection="1">
      <alignment horizontal="center" vertical="center" wrapText="1"/>
    </xf>
    <xf numFmtId="0" fontId="35" fillId="21" borderId="1" xfId="0" applyFont="1" applyFill="1" applyBorder="1" applyAlignment="1">
      <alignment horizontal="center" vertical="center"/>
    </xf>
    <xf numFmtId="9" fontId="35" fillId="21" borderId="1" xfId="1" applyFont="1" applyFill="1" applyBorder="1" applyAlignment="1" applyProtection="1">
      <alignment horizontal="center" vertical="center"/>
    </xf>
    <xf numFmtId="9" fontId="37" fillId="21" borderId="1" xfId="1" applyFont="1" applyFill="1" applyBorder="1" applyAlignment="1" applyProtection="1">
      <alignment horizontal="center" vertical="center"/>
    </xf>
    <xf numFmtId="9" fontId="35" fillId="21" borderId="1" xfId="1" applyFont="1" applyFill="1" applyBorder="1" applyAlignment="1" applyProtection="1">
      <alignment horizontal="center" vertical="center"/>
      <protection locked="0"/>
    </xf>
    <xf numFmtId="9" fontId="38" fillId="0" borderId="1" xfId="1" applyFont="1" applyFill="1" applyBorder="1" applyAlignment="1" applyProtection="1">
      <alignment horizontal="center" vertical="center"/>
    </xf>
    <xf numFmtId="1" fontId="35" fillId="0" borderId="1" xfId="5" applyNumberFormat="1" applyFont="1" applyFill="1" applyBorder="1" applyAlignment="1" applyProtection="1">
      <alignment horizontal="center" vertical="center" wrapText="1"/>
      <protection locked="0"/>
    </xf>
    <xf numFmtId="9" fontId="35" fillId="0" borderId="1" xfId="1" applyFont="1" applyBorder="1" applyAlignment="1" applyProtection="1">
      <alignment horizontal="center" vertical="center" wrapText="1"/>
    </xf>
    <xf numFmtId="13" fontId="38" fillId="0" borderId="1" xfId="1" applyNumberFormat="1" applyFont="1" applyFill="1" applyBorder="1" applyAlignment="1" applyProtection="1">
      <alignment horizontal="center" vertical="center" wrapText="1"/>
    </xf>
    <xf numFmtId="1" fontId="35" fillId="0" borderId="1" xfId="8" applyNumberFormat="1" applyFont="1" applyFill="1" applyBorder="1" applyAlignment="1" applyProtection="1">
      <alignment horizontal="center" vertical="center" wrapText="1"/>
      <protection locked="0"/>
    </xf>
    <xf numFmtId="1" fontId="38" fillId="0" borderId="1" xfId="8" applyNumberFormat="1" applyFont="1" applyFill="1" applyBorder="1" applyAlignment="1" applyProtection="1">
      <alignment horizontal="center" vertical="center" wrapText="1"/>
      <protection locked="0"/>
    </xf>
    <xf numFmtId="1" fontId="35" fillId="21" borderId="1" xfId="0" applyNumberFormat="1" applyFont="1" applyFill="1" applyBorder="1" applyAlignment="1">
      <alignment horizontal="center" vertical="center" wrapText="1"/>
    </xf>
    <xf numFmtId="1" fontId="36" fillId="21" borderId="1" xfId="0" applyNumberFormat="1" applyFont="1" applyFill="1" applyBorder="1" applyAlignment="1">
      <alignment horizontal="center" vertical="center" wrapText="1"/>
    </xf>
    <xf numFmtId="1" fontId="38" fillId="21" borderId="1" xfId="0" applyNumberFormat="1" applyFont="1" applyFill="1" applyBorder="1" applyAlignment="1" applyProtection="1">
      <alignment horizontal="center" vertical="center" wrapText="1"/>
      <protection locked="0"/>
    </xf>
    <xf numFmtId="1" fontId="36" fillId="21" borderId="1" xfId="0" applyNumberFormat="1" applyFont="1" applyFill="1" applyBorder="1" applyAlignment="1" applyProtection="1">
      <alignment horizontal="center" vertical="center" wrapText="1"/>
      <protection locked="0"/>
    </xf>
    <xf numFmtId="173" fontId="38" fillId="0" borderId="1" xfId="14" applyNumberFormat="1" applyFont="1" applyFill="1" applyBorder="1" applyAlignment="1" applyProtection="1">
      <alignment horizontal="center" vertical="center" wrapText="1"/>
      <protection locked="0"/>
    </xf>
    <xf numFmtId="0" fontId="36" fillId="22" borderId="1" xfId="0" applyFont="1" applyFill="1" applyBorder="1" applyAlignment="1">
      <alignment horizontal="center" vertical="center" wrapText="1"/>
    </xf>
    <xf numFmtId="9" fontId="35" fillId="21" borderId="1" xfId="0" applyNumberFormat="1" applyFont="1" applyFill="1" applyBorder="1" applyAlignment="1">
      <alignment horizontal="center" vertical="center"/>
    </xf>
    <xf numFmtId="9" fontId="35" fillId="0" borderId="1" xfId="0" applyNumberFormat="1" applyFont="1" applyBorder="1" applyAlignment="1">
      <alignment horizontal="center" vertical="center"/>
    </xf>
    <xf numFmtId="0" fontId="8" fillId="15" borderId="22" xfId="0" applyFont="1" applyFill="1" applyBorder="1" applyAlignment="1">
      <alignment horizontal="center" vertical="center" wrapText="1"/>
    </xf>
    <xf numFmtId="0" fontId="43" fillId="21" borderId="1" xfId="0" applyFont="1" applyFill="1" applyBorder="1" applyAlignment="1">
      <alignment horizontal="center" vertical="center" wrapText="1"/>
    </xf>
    <xf numFmtId="9" fontId="39" fillId="21" borderId="1" xfId="0" applyNumberFormat="1" applyFont="1" applyFill="1" applyBorder="1" applyAlignment="1">
      <alignment horizontal="center" vertical="center" wrapText="1"/>
    </xf>
    <xf numFmtId="0" fontId="39" fillId="21" borderId="1" xfId="0" applyFont="1" applyFill="1" applyBorder="1" applyAlignment="1">
      <alignment horizontal="center" vertical="center" wrapText="1"/>
    </xf>
    <xf numFmtId="0" fontId="49" fillId="21" borderId="1" xfId="0" applyFont="1" applyFill="1" applyBorder="1" applyAlignment="1">
      <alignment horizontal="center" vertical="center" wrapText="1"/>
    </xf>
    <xf numFmtId="9" fontId="49" fillId="21" borderId="1" xfId="0" applyNumberFormat="1" applyFont="1" applyFill="1" applyBorder="1" applyAlignment="1">
      <alignment horizontal="center" vertical="center" wrapText="1"/>
    </xf>
    <xf numFmtId="14" fontId="49" fillId="21" borderId="1" xfId="0" applyNumberFormat="1" applyFont="1" applyFill="1" applyBorder="1" applyAlignment="1">
      <alignment horizontal="center" vertical="center" wrapText="1"/>
    </xf>
    <xf numFmtId="9" fontId="49" fillId="21" borderId="1" xfId="0" applyNumberFormat="1" applyFont="1" applyFill="1" applyBorder="1" applyAlignment="1" applyProtection="1">
      <alignment horizontal="center" vertical="center" wrapText="1"/>
      <protection locked="0"/>
    </xf>
    <xf numFmtId="9" fontId="49" fillId="21" borderId="1" xfId="1" applyFont="1" applyFill="1" applyBorder="1" applyAlignment="1" applyProtection="1">
      <alignment horizontal="center" vertical="center" wrapText="1"/>
      <protection locked="0"/>
    </xf>
    <xf numFmtId="9" fontId="52" fillId="0" borderId="1" xfId="1" applyFont="1" applyFill="1" applyBorder="1" applyAlignment="1" applyProtection="1">
      <alignment horizontal="center" vertical="center"/>
    </xf>
    <xf numFmtId="9" fontId="53" fillId="0" borderId="1" xfId="1" applyFont="1" applyFill="1" applyBorder="1" applyAlignment="1" applyProtection="1">
      <alignment horizontal="center" vertical="center"/>
    </xf>
    <xf numFmtId="9" fontId="52" fillId="0" borderId="1" xfId="1" applyFont="1" applyFill="1" applyBorder="1" applyAlignment="1" applyProtection="1">
      <alignment horizontal="center" vertical="center" wrapText="1"/>
    </xf>
    <xf numFmtId="165" fontId="54" fillId="0" borderId="1" xfId="14" applyNumberFormat="1" applyFont="1" applyFill="1" applyBorder="1" applyAlignment="1" applyProtection="1">
      <alignment horizontal="center" vertical="center" wrapText="1"/>
    </xf>
    <xf numFmtId="44" fontId="39" fillId="0" borderId="1" xfId="14" applyFont="1" applyFill="1" applyBorder="1" applyAlignment="1" applyProtection="1">
      <alignment horizontal="center" vertical="center" wrapText="1"/>
    </xf>
    <xf numFmtId="0" fontId="43" fillId="0" borderId="1" xfId="0" applyFont="1" applyBorder="1" applyAlignment="1">
      <alignment horizontal="center" vertical="center" wrapText="1"/>
    </xf>
    <xf numFmtId="44" fontId="43" fillId="0" borderId="1" xfId="14" applyFont="1" applyFill="1" applyBorder="1" applyAlignment="1" applyProtection="1">
      <alignment horizontal="center" vertical="center" wrapText="1"/>
    </xf>
    <xf numFmtId="0" fontId="55" fillId="0" borderId="1" xfId="0" applyFont="1" applyBorder="1" applyAlignment="1">
      <alignment horizontal="center" vertical="center" wrapText="1"/>
    </xf>
    <xf numFmtId="14" fontId="39" fillId="0" borderId="1" xfId="0" applyNumberFormat="1" applyFont="1" applyBorder="1" applyAlignment="1">
      <alignment horizontal="center" vertical="center" wrapText="1"/>
    </xf>
    <xf numFmtId="9" fontId="39" fillId="0" borderId="1" xfId="1" applyFont="1" applyFill="1" applyBorder="1" applyAlignment="1" applyProtection="1">
      <alignment horizontal="center" vertical="center" wrapText="1"/>
      <protection locked="0"/>
    </xf>
    <xf numFmtId="9" fontId="39" fillId="0" borderId="1" xfId="0" applyNumberFormat="1" applyFont="1" applyBorder="1" applyAlignment="1">
      <alignment horizontal="center" vertical="center"/>
    </xf>
    <xf numFmtId="0" fontId="33" fillId="23" borderId="49" xfId="0" applyFont="1" applyFill="1" applyBorder="1" applyAlignment="1">
      <alignment horizontal="center" vertical="center" wrapText="1"/>
    </xf>
    <xf numFmtId="9" fontId="33" fillId="23" borderId="10" xfId="0" applyNumberFormat="1" applyFont="1" applyFill="1" applyBorder="1" applyAlignment="1">
      <alignment horizontal="center" vertical="center" wrapText="1"/>
    </xf>
    <xf numFmtId="0" fontId="33" fillId="23" borderId="10" xfId="0" applyFont="1" applyFill="1" applyBorder="1" applyAlignment="1">
      <alignment horizontal="center" vertical="center" wrapText="1"/>
    </xf>
    <xf numFmtId="0" fontId="51" fillId="23" borderId="10" xfId="0" applyFont="1" applyFill="1" applyBorder="1" applyAlignment="1">
      <alignment horizontal="center" vertical="center"/>
    </xf>
    <xf numFmtId="0" fontId="51" fillId="23" borderId="10" xfId="0" applyFont="1" applyFill="1" applyBorder="1" applyAlignment="1">
      <alignment horizontal="left" vertical="center" wrapText="1"/>
    </xf>
    <xf numFmtId="0" fontId="51" fillId="23" borderId="10" xfId="0" applyFont="1" applyFill="1" applyBorder="1" applyAlignment="1">
      <alignment horizontal="center" vertical="center" wrapText="1"/>
    </xf>
    <xf numFmtId="14" fontId="51" fillId="23" borderId="10" xfId="0" applyNumberFormat="1" applyFont="1" applyFill="1" applyBorder="1" applyAlignment="1">
      <alignment horizontal="center" vertical="center"/>
    </xf>
    <xf numFmtId="0" fontId="57" fillId="23" borderId="1" xfId="0" applyFont="1" applyFill="1" applyBorder="1" applyAlignment="1">
      <alignment horizontal="center" vertical="center" textRotation="90" wrapText="1"/>
    </xf>
    <xf numFmtId="0" fontId="38" fillId="23" borderId="1" xfId="0" applyFont="1" applyFill="1" applyBorder="1" applyAlignment="1">
      <alignment horizontal="center" vertical="center" textRotation="90" wrapText="1"/>
    </xf>
    <xf numFmtId="0" fontId="38" fillId="23" borderId="1" xfId="0" applyFont="1" applyFill="1" applyBorder="1" applyAlignment="1">
      <alignment horizontal="center" vertical="center" wrapText="1"/>
    </xf>
    <xf numFmtId="0" fontId="57" fillId="23" borderId="1" xfId="0" applyFont="1" applyFill="1" applyBorder="1" applyAlignment="1">
      <alignment horizontal="center" vertical="center" wrapText="1"/>
    </xf>
    <xf numFmtId="2" fontId="58" fillId="23" borderId="10" xfId="0" applyNumberFormat="1" applyFont="1" applyFill="1" applyBorder="1" applyAlignment="1">
      <alignment horizontal="center" vertical="center" wrapText="1"/>
    </xf>
    <xf numFmtId="0" fontId="58" fillId="23" borderId="10" xfId="0" applyFont="1" applyFill="1" applyBorder="1" applyAlignment="1">
      <alignment horizontal="left" vertical="center" wrapText="1"/>
    </xf>
    <xf numFmtId="0" fontId="58" fillId="23" borderId="10" xfId="0" applyFont="1" applyFill="1" applyBorder="1" applyAlignment="1">
      <alignment horizontal="center" vertical="center" wrapText="1"/>
    </xf>
    <xf numFmtId="0" fontId="58" fillId="23" borderId="10" xfId="0" applyFont="1" applyFill="1" applyBorder="1" applyAlignment="1">
      <alignment horizontal="center" vertical="center"/>
    </xf>
    <xf numFmtId="2" fontId="58" fillId="23" borderId="10" xfId="1" applyNumberFormat="1" applyFont="1" applyFill="1" applyBorder="1" applyAlignment="1" applyProtection="1">
      <alignment horizontal="center" vertical="center"/>
    </xf>
    <xf numFmtId="0" fontId="59" fillId="23" borderId="10" xfId="0" applyFont="1" applyFill="1" applyBorder="1" applyAlignment="1">
      <alignment horizontal="center" vertical="center" wrapText="1"/>
    </xf>
    <xf numFmtId="0" fontId="60" fillId="23" borderId="1" xfId="0" applyFont="1" applyFill="1" applyBorder="1" applyAlignment="1">
      <alignment horizontal="center" vertical="center" wrapText="1"/>
    </xf>
    <xf numFmtId="165" fontId="38" fillId="23" borderId="1" xfId="0" applyNumberFormat="1" applyFont="1" applyFill="1" applyBorder="1" applyAlignment="1">
      <alignment horizontal="center" vertical="center" wrapText="1"/>
    </xf>
    <xf numFmtId="0" fontId="33" fillId="23" borderId="1" xfId="0" applyFont="1" applyFill="1" applyBorder="1" applyAlignment="1">
      <alignment vertical="center" wrapText="1"/>
    </xf>
    <xf numFmtId="9" fontId="33" fillId="23" borderId="1" xfId="0" applyNumberFormat="1" applyFont="1" applyFill="1" applyBorder="1" applyAlignment="1">
      <alignment horizontal="center" vertical="center" wrapText="1"/>
    </xf>
    <xf numFmtId="0" fontId="33" fillId="23" borderId="1" xfId="0" applyFont="1" applyFill="1" applyBorder="1" applyAlignment="1">
      <alignment horizontal="center" vertical="center" wrapText="1"/>
    </xf>
    <xf numFmtId="0" fontId="51" fillId="23" borderId="1" xfId="0" applyFont="1" applyFill="1" applyBorder="1" applyAlignment="1">
      <alignment horizontal="center" vertical="center"/>
    </xf>
    <xf numFmtId="0" fontId="51" fillId="23" borderId="1" xfId="0" applyFont="1" applyFill="1" applyBorder="1" applyAlignment="1">
      <alignment horizontal="left" vertical="center" wrapText="1"/>
    </xf>
    <xf numFmtId="0" fontId="51" fillId="23" borderId="1" xfId="0" applyFont="1" applyFill="1" applyBorder="1" applyAlignment="1">
      <alignment horizontal="center" vertical="center" wrapText="1"/>
    </xf>
    <xf numFmtId="14" fontId="51" fillId="23" borderId="1" xfId="0" applyNumberFormat="1" applyFont="1" applyFill="1" applyBorder="1" applyAlignment="1">
      <alignment horizontal="center" vertical="center"/>
    </xf>
    <xf numFmtId="0" fontId="58" fillId="23" borderId="1" xfId="0" applyFont="1" applyFill="1" applyBorder="1" applyAlignment="1">
      <alignment horizontal="left" vertical="center" wrapText="1"/>
    </xf>
    <xf numFmtId="0" fontId="58" fillId="23" borderId="1" xfId="0" applyFont="1" applyFill="1" applyBorder="1" applyAlignment="1">
      <alignment horizontal="center" vertical="center" wrapText="1"/>
    </xf>
    <xf numFmtId="1" fontId="58" fillId="23" borderId="1" xfId="0" applyNumberFormat="1" applyFont="1" applyFill="1" applyBorder="1" applyAlignment="1">
      <alignment horizontal="center" vertical="center"/>
    </xf>
    <xf numFmtId="1" fontId="58" fillId="23" borderId="1" xfId="0" applyNumberFormat="1" applyFont="1" applyFill="1" applyBorder="1" applyAlignment="1">
      <alignment horizontal="center" vertical="center" wrapText="1"/>
    </xf>
    <xf numFmtId="1" fontId="33" fillId="23" borderId="1" xfId="0" applyNumberFormat="1" applyFont="1" applyFill="1" applyBorder="1" applyAlignment="1">
      <alignment horizontal="center" vertical="center" wrapText="1"/>
    </xf>
    <xf numFmtId="9" fontId="61" fillId="23" borderId="1" xfId="1" applyFont="1" applyFill="1" applyBorder="1" applyAlignment="1" applyProtection="1">
      <alignment horizontal="justify" vertical="center" wrapText="1"/>
    </xf>
    <xf numFmtId="0" fontId="54" fillId="24" borderId="1" xfId="0" applyFont="1" applyFill="1" applyBorder="1" applyAlignment="1">
      <alignment horizontal="center" vertical="center"/>
    </xf>
    <xf numFmtId="0" fontId="54" fillId="24" borderId="1" xfId="0" applyFont="1" applyFill="1" applyBorder="1" applyAlignment="1">
      <alignment horizontal="center" vertical="center" wrapText="1"/>
    </xf>
    <xf numFmtId="14" fontId="54" fillId="24" borderId="1" xfId="0" applyNumberFormat="1" applyFont="1" applyFill="1" applyBorder="1" applyAlignment="1">
      <alignment horizontal="center" vertical="center"/>
    </xf>
    <xf numFmtId="0" fontId="54" fillId="21" borderId="1" xfId="0" applyFont="1" applyFill="1" applyBorder="1" applyAlignment="1">
      <alignment horizontal="center" vertical="center" wrapText="1"/>
    </xf>
    <xf numFmtId="165" fontId="39" fillId="0" borderId="1" xfId="0" applyNumberFormat="1" applyFont="1" applyBorder="1" applyAlignment="1">
      <alignment horizontal="center" vertical="center" wrapText="1"/>
    </xf>
    <xf numFmtId="14" fontId="39" fillId="0" borderId="1" xfId="0" applyNumberFormat="1" applyFont="1" applyBorder="1" applyAlignment="1">
      <alignment horizontal="center" vertical="center"/>
    </xf>
    <xf numFmtId="1" fontId="39" fillId="0" borderId="1" xfId="0" applyNumberFormat="1" applyFont="1" applyBorder="1" applyAlignment="1">
      <alignment horizontal="center" vertical="center"/>
    </xf>
    <xf numFmtId="0" fontId="62" fillId="0" borderId="10" xfId="15" applyFont="1" applyFill="1" applyBorder="1" applyAlignment="1" applyProtection="1">
      <alignment horizontal="center" vertical="center"/>
    </xf>
    <xf numFmtId="0" fontId="54" fillId="21" borderId="1" xfId="0" applyFont="1" applyFill="1" applyBorder="1" applyAlignment="1">
      <alignment horizontal="center" vertical="center"/>
    </xf>
    <xf numFmtId="14" fontId="54" fillId="21" borderId="1" xfId="0" applyNumberFormat="1" applyFont="1" applyFill="1" applyBorder="1" applyAlignment="1">
      <alignment horizontal="center" vertical="center"/>
    </xf>
    <xf numFmtId="0" fontId="39" fillId="0" borderId="1" xfId="0" applyFont="1" applyBorder="1" applyAlignment="1">
      <alignment horizontal="center" vertical="center"/>
    </xf>
    <xf numFmtId="0" fontId="62" fillId="0" borderId="1" xfId="15" applyFont="1" applyFill="1" applyBorder="1" applyAlignment="1" applyProtection="1">
      <alignment horizontal="center" vertical="center"/>
    </xf>
    <xf numFmtId="9" fontId="39" fillId="23" borderId="1" xfId="0" applyNumberFormat="1" applyFont="1" applyFill="1" applyBorder="1" applyAlignment="1">
      <alignment horizontal="center" vertical="center" wrapText="1"/>
    </xf>
    <xf numFmtId="0" fontId="39" fillId="23" borderId="1" xfId="0" applyFont="1" applyFill="1" applyBorder="1" applyAlignment="1">
      <alignment horizontal="center" vertical="center" wrapText="1"/>
    </xf>
    <xf numFmtId="0" fontId="63" fillId="25" borderId="1" xfId="0" applyFont="1" applyFill="1" applyBorder="1" applyAlignment="1">
      <alignment horizontal="center" vertical="center"/>
    </xf>
    <xf numFmtId="0" fontId="63" fillId="25" borderId="1" xfId="0" applyFont="1" applyFill="1" applyBorder="1" applyAlignment="1">
      <alignment horizontal="center" vertical="center" wrapText="1"/>
    </xf>
    <xf numFmtId="14" fontId="63" fillId="25" borderId="1" xfId="0" applyNumberFormat="1" applyFont="1" applyFill="1" applyBorder="1" applyAlignment="1">
      <alignment horizontal="center" vertical="center"/>
    </xf>
    <xf numFmtId="9" fontId="39" fillId="23" borderId="1" xfId="0" applyNumberFormat="1" applyFont="1" applyFill="1" applyBorder="1" applyAlignment="1">
      <alignment horizontal="center" vertical="center"/>
    </xf>
    <xf numFmtId="9" fontId="54" fillId="23" borderId="1" xfId="0" applyNumberFormat="1" applyFont="1" applyFill="1" applyBorder="1" applyAlignment="1">
      <alignment horizontal="center" vertical="center"/>
    </xf>
    <xf numFmtId="9" fontId="39" fillId="23" borderId="1" xfId="1" applyFont="1" applyFill="1" applyBorder="1" applyAlignment="1" applyProtection="1">
      <alignment horizontal="center" vertical="center"/>
    </xf>
    <xf numFmtId="9" fontId="54" fillId="23" borderId="1" xfId="1" applyFont="1" applyFill="1" applyBorder="1" applyAlignment="1" applyProtection="1">
      <alignment horizontal="center" vertical="center"/>
    </xf>
    <xf numFmtId="9" fontId="64" fillId="23" borderId="1" xfId="0" applyNumberFormat="1" applyFont="1" applyFill="1" applyBorder="1" applyAlignment="1">
      <alignment horizontal="center" vertical="center"/>
    </xf>
    <xf numFmtId="0" fontId="39" fillId="23" borderId="1" xfId="0" applyFont="1" applyFill="1" applyBorder="1" applyAlignment="1">
      <alignment horizontal="center" vertical="center"/>
    </xf>
    <xf numFmtId="0" fontId="39" fillId="23" borderId="1" xfId="0" applyFont="1" applyFill="1" applyBorder="1" applyAlignment="1">
      <alignment horizontal="left" vertical="center"/>
    </xf>
    <xf numFmtId="9" fontId="65" fillId="23" borderId="1" xfId="1" applyFont="1" applyFill="1" applyBorder="1" applyAlignment="1" applyProtection="1">
      <alignment horizontal="center" vertical="center" wrapText="1"/>
    </xf>
    <xf numFmtId="0" fontId="65" fillId="23" borderId="1" xfId="0" applyFont="1" applyFill="1" applyBorder="1" applyAlignment="1">
      <alignment horizontal="center" vertical="center" wrapText="1"/>
    </xf>
    <xf numFmtId="9" fontId="65" fillId="23" borderId="1" xfId="1" applyFont="1" applyFill="1" applyBorder="1" applyAlignment="1" applyProtection="1">
      <alignment horizontal="center" vertical="center"/>
    </xf>
    <xf numFmtId="0" fontId="65" fillId="23" borderId="1" xfId="0" applyFont="1" applyFill="1" applyBorder="1" applyAlignment="1">
      <alignment horizontal="left" vertical="center" wrapText="1"/>
    </xf>
    <xf numFmtId="0" fontId="39" fillId="23" borderId="1" xfId="0" applyFont="1" applyFill="1" applyBorder="1" applyAlignment="1">
      <alignment horizontal="left" vertical="center" wrapText="1"/>
    </xf>
    <xf numFmtId="9" fontId="39" fillId="23" borderId="1" xfId="1" applyFont="1" applyFill="1" applyBorder="1" applyAlignment="1" applyProtection="1">
      <alignment horizontal="center" vertical="center" wrapText="1"/>
    </xf>
    <xf numFmtId="165" fontId="39" fillId="23" borderId="1" xfId="0" applyNumberFormat="1" applyFont="1" applyFill="1" applyBorder="1" applyAlignment="1">
      <alignment horizontal="center" vertical="center" wrapText="1"/>
    </xf>
    <xf numFmtId="14" fontId="39" fillId="23" borderId="1" xfId="0" applyNumberFormat="1" applyFont="1" applyFill="1" applyBorder="1" applyAlignment="1">
      <alignment horizontal="center" vertical="center"/>
    </xf>
    <xf numFmtId="0" fontId="43" fillId="23" borderId="1" xfId="0" applyFont="1" applyFill="1" applyBorder="1" applyAlignment="1">
      <alignment horizontal="left" vertical="center" wrapText="1"/>
    </xf>
    <xf numFmtId="0" fontId="62" fillId="23" borderId="1" xfId="15" applyFont="1" applyFill="1" applyBorder="1" applyAlignment="1" applyProtection="1">
      <alignment horizontal="center" vertical="center"/>
    </xf>
    <xf numFmtId="0" fontId="1" fillId="0" borderId="0" xfId="0" applyFont="1"/>
    <xf numFmtId="9" fontId="38" fillId="21" borderId="1" xfId="1" applyFont="1" applyFill="1" applyBorder="1" applyAlignment="1" applyProtection="1">
      <alignment horizontal="center" vertical="center" wrapText="1"/>
    </xf>
    <xf numFmtId="9" fontId="38" fillId="21" borderId="1" xfId="1" applyFont="1" applyFill="1" applyBorder="1" applyAlignment="1" applyProtection="1">
      <alignment horizontal="center" vertical="center" wrapText="1"/>
      <protection locked="0"/>
    </xf>
    <xf numFmtId="9" fontId="35" fillId="21" borderId="1" xfId="1" applyFont="1" applyFill="1" applyBorder="1" applyAlignment="1" applyProtection="1">
      <alignment horizontal="center" vertical="center" wrapText="1"/>
      <protection locked="0"/>
    </xf>
    <xf numFmtId="168" fontId="38" fillId="0" borderId="1" xfId="14" applyNumberFormat="1" applyFont="1" applyFill="1" applyBorder="1" applyAlignment="1" applyProtection="1">
      <alignment horizontal="center" vertical="center" wrapText="1"/>
      <protection locked="0"/>
    </xf>
    <xf numFmtId="9" fontId="38" fillId="0" borderId="1" xfId="1" applyFont="1" applyFill="1" applyBorder="1" applyAlignment="1" applyProtection="1">
      <alignment horizontal="center" vertical="center" wrapText="1"/>
      <protection locked="0"/>
    </xf>
    <xf numFmtId="1" fontId="41" fillId="0" borderId="1" xfId="1" applyNumberFormat="1" applyFont="1" applyFill="1" applyBorder="1" applyAlignment="1" applyProtection="1">
      <alignment horizontal="center" vertical="center" wrapText="1"/>
      <protection locked="0"/>
    </xf>
    <xf numFmtId="0" fontId="42" fillId="0" borderId="1" xfId="15" applyFont="1" applyFill="1" applyBorder="1" applyAlignment="1" applyProtection="1">
      <alignment horizontal="center" vertical="center" wrapText="1"/>
      <protection locked="0"/>
    </xf>
    <xf numFmtId="0" fontId="37" fillId="21" borderId="1" xfId="0" applyFont="1" applyFill="1" applyBorder="1" applyAlignment="1">
      <alignment horizontal="center" vertical="center"/>
    </xf>
    <xf numFmtId="1" fontId="35" fillId="0" borderId="1" xfId="14" applyNumberFormat="1" applyFont="1" applyFill="1" applyBorder="1" applyAlignment="1" applyProtection="1">
      <alignment horizontal="center" vertical="center" wrapText="1"/>
      <protection locked="0"/>
    </xf>
    <xf numFmtId="1" fontId="35" fillId="21" borderId="1" xfId="0" applyNumberFormat="1" applyFont="1" applyFill="1" applyBorder="1" applyAlignment="1" applyProtection="1">
      <alignment horizontal="center" vertical="center" wrapText="1"/>
      <protection locked="0"/>
    </xf>
    <xf numFmtId="1" fontId="37" fillId="21" borderId="1" xfId="0" applyNumberFormat="1" applyFont="1" applyFill="1" applyBorder="1" applyAlignment="1" applyProtection="1">
      <alignment horizontal="center" vertical="center" wrapText="1"/>
      <protection locked="0"/>
    </xf>
    <xf numFmtId="0" fontId="35" fillId="4" borderId="1" xfId="0" applyFont="1" applyFill="1" applyBorder="1" applyAlignment="1">
      <alignment horizontal="center" vertical="center" wrapText="1"/>
    </xf>
    <xf numFmtId="165" fontId="35" fillId="4" borderId="1" xfId="0" applyNumberFormat="1" applyFont="1" applyFill="1" applyBorder="1" applyAlignment="1">
      <alignment horizontal="center" vertical="center" wrapText="1"/>
    </xf>
    <xf numFmtId="44" fontId="35" fillId="4" borderId="1" xfId="14" applyFont="1" applyFill="1" applyBorder="1" applyAlignment="1" applyProtection="1">
      <alignment horizontal="center" vertical="center" wrapText="1"/>
    </xf>
    <xf numFmtId="9" fontId="35" fillId="4" borderId="1" xfId="1" applyFont="1" applyFill="1" applyBorder="1" applyAlignment="1" applyProtection="1">
      <alignment horizontal="center" vertical="center" wrapText="1"/>
    </xf>
    <xf numFmtId="0" fontId="37" fillId="21" borderId="1" xfId="7" applyFont="1" applyFill="1" applyBorder="1" applyAlignment="1">
      <alignment horizontal="center" vertical="center" wrapText="1"/>
    </xf>
    <xf numFmtId="0" fontId="42" fillId="0" borderId="1" xfId="15" applyNumberFormat="1" applyFont="1" applyFill="1" applyBorder="1" applyAlignment="1" applyProtection="1">
      <alignment horizontal="left" vertical="center"/>
    </xf>
    <xf numFmtId="0" fontId="67" fillId="21" borderId="10" xfId="0" applyFont="1" applyFill="1" applyBorder="1" applyAlignment="1" applyProtection="1">
      <alignment horizontal="left" vertical="center" wrapText="1"/>
      <protection locked="0"/>
    </xf>
    <xf numFmtId="0" fontId="67" fillId="21" borderId="10" xfId="0" applyFont="1" applyFill="1" applyBorder="1" applyAlignment="1" applyProtection="1">
      <alignment horizontal="center" vertical="center" wrapText="1"/>
      <protection locked="0"/>
    </xf>
    <xf numFmtId="0" fontId="35" fillId="4" borderId="0" xfId="0" applyFont="1" applyFill="1" applyAlignment="1">
      <alignment horizontal="center" vertical="center"/>
    </xf>
    <xf numFmtId="0" fontId="69" fillId="21" borderId="1" xfId="0" applyFont="1" applyFill="1" applyBorder="1" applyAlignment="1">
      <alignment horizontal="center" vertical="center" wrapText="1"/>
    </xf>
    <xf numFmtId="14" fontId="54" fillId="21" borderId="1" xfId="0" applyNumberFormat="1" applyFont="1" applyFill="1" applyBorder="1" applyAlignment="1">
      <alignment horizontal="center" vertical="center" wrapText="1"/>
    </xf>
    <xf numFmtId="9" fontId="39" fillId="21" borderId="1" xfId="0" applyNumberFormat="1" applyFont="1" applyFill="1" applyBorder="1" applyAlignment="1">
      <alignment horizontal="center" vertical="center"/>
    </xf>
    <xf numFmtId="9" fontId="54" fillId="21" borderId="1" xfId="0" applyNumberFormat="1" applyFont="1" applyFill="1" applyBorder="1" applyAlignment="1">
      <alignment horizontal="center" vertical="center"/>
    </xf>
    <xf numFmtId="9" fontId="54" fillId="21" borderId="1" xfId="1" applyFont="1" applyFill="1" applyBorder="1" applyAlignment="1" applyProtection="1">
      <alignment horizontal="center" vertical="center" wrapText="1"/>
    </xf>
    <xf numFmtId="9" fontId="39" fillId="21" borderId="1" xfId="1" applyFont="1" applyFill="1" applyBorder="1" applyAlignment="1" applyProtection="1">
      <alignment horizontal="center" vertical="center" wrapText="1"/>
      <protection locked="0"/>
    </xf>
    <xf numFmtId="9" fontId="54" fillId="21" borderId="1" xfId="0" applyNumberFormat="1" applyFont="1" applyFill="1" applyBorder="1" applyAlignment="1" applyProtection="1">
      <alignment horizontal="center" vertical="center"/>
      <protection locked="0"/>
    </xf>
    <xf numFmtId="9" fontId="54" fillId="21" borderId="1" xfId="1" applyFont="1" applyFill="1" applyBorder="1" applyAlignment="1" applyProtection="1">
      <alignment horizontal="center" vertical="center" wrapText="1"/>
      <protection locked="0"/>
    </xf>
    <xf numFmtId="0" fontId="39" fillId="0" borderId="1" xfId="1" applyNumberFormat="1" applyFont="1" applyFill="1" applyBorder="1" applyAlignment="1" applyProtection="1">
      <alignment horizontal="left" vertical="center" wrapText="1"/>
    </xf>
    <xf numFmtId="171" fontId="39" fillId="0" borderId="1" xfId="14" applyNumberFormat="1" applyFont="1" applyFill="1" applyBorder="1" applyAlignment="1" applyProtection="1">
      <alignment horizontal="center" vertical="center" wrapText="1"/>
      <protection locked="0"/>
    </xf>
    <xf numFmtId="0" fontId="69" fillId="0" borderId="1" xfId="0" applyFont="1" applyBorder="1" applyAlignment="1">
      <alignment horizontal="center" vertical="center" wrapText="1"/>
    </xf>
    <xf numFmtId="9" fontId="39" fillId="0" borderId="1" xfId="0" applyNumberFormat="1" applyFont="1" applyBorder="1" applyAlignment="1" applyProtection="1">
      <alignment horizontal="center" vertical="center"/>
      <protection locked="0"/>
    </xf>
    <xf numFmtId="44" fontId="39" fillId="0" borderId="1" xfId="14" applyFont="1" applyFill="1" applyBorder="1" applyAlignment="1" applyProtection="1">
      <alignment horizontal="center" vertical="center" wrapText="1"/>
      <protection locked="0"/>
    </xf>
    <xf numFmtId="10" fontId="39" fillId="22" borderId="1" xfId="0" applyNumberFormat="1" applyFont="1" applyFill="1" applyBorder="1" applyAlignment="1">
      <alignment horizontal="center" vertical="center" wrapText="1"/>
    </xf>
    <xf numFmtId="9" fontId="39" fillId="22" borderId="1" xfId="0" applyNumberFormat="1" applyFont="1" applyFill="1" applyBorder="1" applyAlignment="1">
      <alignment horizontal="center" vertical="center" wrapText="1"/>
    </xf>
    <xf numFmtId="167" fontId="39" fillId="21" borderId="1" xfId="0" applyNumberFormat="1" applyFont="1" applyFill="1" applyBorder="1" applyAlignment="1">
      <alignment horizontal="center" vertical="center" wrapText="1"/>
    </xf>
    <xf numFmtId="9" fontId="43" fillId="0" borderId="1" xfId="1" applyFont="1" applyFill="1" applyBorder="1" applyAlignment="1" applyProtection="1">
      <alignment horizontal="center" vertical="center" wrapText="1"/>
      <protection locked="0"/>
    </xf>
    <xf numFmtId="167" fontId="39" fillId="0" borderId="1" xfId="0" applyNumberFormat="1" applyFont="1" applyBorder="1" applyAlignment="1">
      <alignment horizontal="center" vertical="center" wrapText="1"/>
    </xf>
    <xf numFmtId="168" fontId="69" fillId="0" borderId="1" xfId="14" applyNumberFormat="1" applyFont="1" applyFill="1" applyBorder="1" applyAlignment="1" applyProtection="1">
      <alignment horizontal="center" vertical="center" wrapText="1"/>
      <protection locked="0"/>
    </xf>
    <xf numFmtId="9" fontId="54" fillId="22" borderId="1" xfId="0" applyNumberFormat="1" applyFont="1" applyFill="1" applyBorder="1" applyAlignment="1">
      <alignment horizontal="center" vertical="center" wrapText="1"/>
    </xf>
    <xf numFmtId="2" fontId="54" fillId="21" borderId="1" xfId="0" applyNumberFormat="1" applyFont="1" applyFill="1" applyBorder="1" applyAlignment="1">
      <alignment horizontal="center" vertical="center"/>
    </xf>
    <xf numFmtId="0" fontId="39" fillId="22" borderId="1" xfId="0" applyFont="1" applyFill="1" applyBorder="1" applyAlignment="1">
      <alignment horizontal="center" vertical="center"/>
    </xf>
    <xf numFmtId="1" fontId="39" fillId="21" borderId="1" xfId="0" applyNumberFormat="1" applyFont="1" applyFill="1" applyBorder="1" applyAlignment="1">
      <alignment horizontal="center" vertical="center"/>
    </xf>
    <xf numFmtId="1" fontId="39" fillId="21" borderId="1" xfId="0" applyNumberFormat="1" applyFont="1" applyFill="1" applyBorder="1" applyAlignment="1">
      <alignment horizontal="center" vertical="center" wrapText="1"/>
    </xf>
    <xf numFmtId="174" fontId="54" fillId="21" borderId="1" xfId="0" applyNumberFormat="1" applyFont="1" applyFill="1" applyBorder="1" applyAlignment="1">
      <alignment horizontal="center" vertical="center"/>
    </xf>
    <xf numFmtId="174" fontId="39" fillId="21" borderId="1" xfId="0" applyNumberFormat="1" applyFont="1" applyFill="1" applyBorder="1" applyAlignment="1" applyProtection="1">
      <alignment horizontal="center" vertical="center"/>
      <protection locked="0"/>
    </xf>
    <xf numFmtId="174" fontId="54" fillId="21" borderId="1" xfId="0" applyNumberFormat="1" applyFont="1" applyFill="1" applyBorder="1" applyAlignment="1" applyProtection="1">
      <alignment horizontal="center" vertical="center"/>
      <protection locked="0"/>
    </xf>
    <xf numFmtId="174" fontId="54" fillId="21" borderId="1" xfId="1" applyNumberFormat="1" applyFont="1" applyFill="1" applyBorder="1" applyAlignment="1" applyProtection="1">
      <alignment horizontal="center" vertical="center" wrapText="1"/>
      <protection locked="0"/>
    </xf>
    <xf numFmtId="1" fontId="39" fillId="0" borderId="1" xfId="1" applyNumberFormat="1" applyFont="1" applyFill="1" applyBorder="1" applyAlignment="1" applyProtection="1">
      <alignment horizontal="center" vertical="center" wrapText="1"/>
    </xf>
    <xf numFmtId="0" fontId="39" fillId="0" borderId="1" xfId="1" applyNumberFormat="1" applyFont="1" applyFill="1" applyBorder="1" applyAlignment="1" applyProtection="1">
      <alignment horizontal="center" vertical="center" wrapText="1"/>
    </xf>
    <xf numFmtId="2" fontId="39" fillId="0" borderId="1" xfId="0" applyNumberFormat="1" applyFont="1" applyBorder="1" applyAlignment="1">
      <alignment horizontal="center" vertical="center"/>
    </xf>
    <xf numFmtId="1" fontId="39" fillId="0" borderId="1" xfId="0" applyNumberFormat="1" applyFont="1" applyBorder="1" applyAlignment="1">
      <alignment horizontal="center" vertical="center" wrapText="1"/>
    </xf>
    <xf numFmtId="174" fontId="39" fillId="0" borderId="1" xfId="0" applyNumberFormat="1" applyFont="1" applyBorder="1" applyAlignment="1">
      <alignment horizontal="center" vertical="center"/>
    </xf>
    <xf numFmtId="174" fontId="39" fillId="0" borderId="1" xfId="0" applyNumberFormat="1" applyFont="1" applyBorder="1" applyAlignment="1" applyProtection="1">
      <alignment horizontal="center" vertical="center"/>
      <protection locked="0"/>
    </xf>
    <xf numFmtId="174" fontId="39" fillId="0" borderId="1" xfId="1" applyNumberFormat="1" applyFont="1" applyFill="1" applyBorder="1" applyAlignment="1" applyProtection="1">
      <alignment horizontal="center" vertical="center" wrapText="1"/>
      <protection locked="0"/>
    </xf>
    <xf numFmtId="0" fontId="38" fillId="21" borderId="1" xfId="0" applyFont="1" applyFill="1" applyBorder="1" applyAlignment="1" applyProtection="1">
      <alignment horizontal="center" vertical="center" wrapText="1"/>
      <protection locked="0"/>
    </xf>
    <xf numFmtId="9" fontId="35" fillId="21" borderId="1" xfId="6" applyNumberFormat="1" applyFont="1" applyFill="1" applyBorder="1" applyAlignment="1" applyProtection="1">
      <alignment horizontal="center" vertical="center" wrapText="1"/>
    </xf>
    <xf numFmtId="9" fontId="37" fillId="21" borderId="1" xfId="6" applyNumberFormat="1" applyFont="1" applyFill="1" applyBorder="1" applyAlignment="1" applyProtection="1">
      <alignment horizontal="center" vertical="center" wrapText="1"/>
    </xf>
    <xf numFmtId="9" fontId="35" fillId="21" borderId="1" xfId="6" applyNumberFormat="1" applyFont="1" applyFill="1" applyBorder="1" applyAlignment="1" applyProtection="1">
      <alignment horizontal="center" vertical="center" wrapText="1"/>
      <protection locked="0"/>
    </xf>
    <xf numFmtId="9" fontId="37" fillId="21" borderId="1" xfId="6" applyNumberFormat="1" applyFont="1" applyFill="1" applyBorder="1" applyAlignment="1" applyProtection="1">
      <alignment horizontal="center" vertical="center" wrapText="1"/>
      <protection locked="0"/>
    </xf>
    <xf numFmtId="41" fontId="35" fillId="0" borderId="1" xfId="6" applyFont="1" applyFill="1" applyBorder="1" applyAlignment="1" applyProtection="1">
      <alignment horizontal="center" vertical="center" wrapText="1"/>
    </xf>
    <xf numFmtId="9" fontId="35" fillId="0" borderId="1" xfId="6" applyNumberFormat="1" applyFont="1" applyFill="1" applyBorder="1" applyAlignment="1" applyProtection="1">
      <alignment horizontal="center" vertical="center" wrapText="1"/>
    </xf>
    <xf numFmtId="9" fontId="35" fillId="0" borderId="1" xfId="6" applyNumberFormat="1" applyFont="1" applyFill="1" applyBorder="1" applyAlignment="1" applyProtection="1">
      <alignment horizontal="center" vertical="center" wrapText="1"/>
      <protection locked="0"/>
    </xf>
    <xf numFmtId="10" fontId="38" fillId="0" borderId="1" xfId="1" applyNumberFormat="1" applyFont="1" applyFill="1" applyBorder="1" applyAlignment="1" applyProtection="1">
      <alignment horizontal="center" vertical="center" wrapText="1"/>
    </xf>
    <xf numFmtId="0" fontId="34" fillId="0" borderId="1" xfId="15" applyFill="1" applyBorder="1" applyAlignment="1" applyProtection="1">
      <alignment horizontal="center" vertical="center" wrapText="1"/>
    </xf>
    <xf numFmtId="10" fontId="35" fillId="0" borderId="1" xfId="6" applyNumberFormat="1" applyFont="1" applyFill="1" applyBorder="1" applyAlignment="1" applyProtection="1">
      <alignment horizontal="center" vertical="center" wrapText="1"/>
    </xf>
    <xf numFmtId="1" fontId="35" fillId="0" borderId="1" xfId="1" applyNumberFormat="1" applyFont="1" applyFill="1" applyBorder="1" applyAlignment="1" applyProtection="1">
      <alignment horizontal="center" vertical="center" wrapText="1"/>
      <protection locked="0"/>
    </xf>
    <xf numFmtId="9" fontId="60" fillId="0" borderId="1" xfId="1" applyFont="1" applyFill="1" applyBorder="1" applyAlignment="1" applyProtection="1">
      <alignment horizontal="center" vertical="center" wrapText="1"/>
    </xf>
    <xf numFmtId="168" fontId="60" fillId="0" borderId="1" xfId="1" applyNumberFormat="1" applyFont="1" applyFill="1" applyBorder="1" applyAlignment="1" applyProtection="1">
      <alignment horizontal="center" vertical="center" wrapText="1"/>
    </xf>
    <xf numFmtId="0" fontId="60" fillId="0" borderId="1" xfId="1" applyNumberFormat="1" applyFont="1" applyFill="1" applyBorder="1" applyAlignment="1" applyProtection="1">
      <alignment horizontal="left" vertical="center" wrapText="1"/>
    </xf>
    <xf numFmtId="1" fontId="38" fillId="0" borderId="1" xfId="6" applyNumberFormat="1" applyFont="1" applyFill="1" applyBorder="1" applyAlignment="1" applyProtection="1">
      <alignment horizontal="center" vertical="center" wrapText="1"/>
      <protection locked="0"/>
    </xf>
    <xf numFmtId="41" fontId="38" fillId="0" borderId="1" xfId="6" applyFont="1" applyFill="1" applyBorder="1" applyAlignment="1" applyProtection="1">
      <alignment horizontal="center" vertical="center" wrapText="1"/>
      <protection locked="0"/>
    </xf>
    <xf numFmtId="44" fontId="35" fillId="0" borderId="1" xfId="17" applyFont="1" applyFill="1" applyBorder="1" applyAlignment="1" applyProtection="1">
      <alignment horizontal="center" vertical="center"/>
      <protection locked="0"/>
    </xf>
    <xf numFmtId="10" fontId="35" fillId="21" borderId="1" xfId="0" applyNumberFormat="1" applyFont="1" applyFill="1" applyBorder="1" applyAlignment="1" applyProtection="1">
      <alignment horizontal="center" vertical="center" wrapText="1"/>
      <protection locked="0"/>
    </xf>
    <xf numFmtId="9" fontId="37" fillId="21" borderId="1" xfId="1" applyFont="1" applyFill="1" applyBorder="1" applyAlignment="1" applyProtection="1">
      <alignment horizontal="center" vertical="center" wrapText="1"/>
      <protection locked="0"/>
    </xf>
    <xf numFmtId="168" fontId="35" fillId="0" borderId="1" xfId="17" applyNumberFormat="1" applyFont="1" applyFill="1" applyBorder="1" applyAlignment="1" applyProtection="1">
      <alignment horizontal="center" vertical="center" wrapText="1"/>
    </xf>
    <xf numFmtId="44" fontId="35" fillId="0" borderId="1" xfId="17" applyFont="1" applyFill="1" applyBorder="1" applyAlignment="1" applyProtection="1">
      <alignment horizontal="center" vertical="center"/>
    </xf>
    <xf numFmtId="0" fontId="34" fillId="0" borderId="1" xfId="15" applyFill="1" applyBorder="1" applyAlignment="1" applyProtection="1">
      <alignment horizontal="center" vertical="center" wrapText="1"/>
      <protection locked="0"/>
    </xf>
    <xf numFmtId="10" fontId="35" fillId="0" borderId="1" xfId="0" applyNumberFormat="1" applyFont="1" applyBorder="1" applyAlignment="1" applyProtection="1">
      <alignment horizontal="center" vertical="center" wrapText="1"/>
      <protection locked="0"/>
    </xf>
    <xf numFmtId="1" fontId="37" fillId="21" borderId="1" xfId="1" applyNumberFormat="1" applyFont="1" applyFill="1" applyBorder="1" applyAlignment="1" applyProtection="1">
      <alignment horizontal="center" vertical="center" wrapText="1"/>
    </xf>
    <xf numFmtId="0" fontId="37" fillId="21" borderId="1" xfId="1" applyNumberFormat="1" applyFont="1" applyFill="1" applyBorder="1" applyAlignment="1" applyProtection="1">
      <alignment horizontal="center" vertical="center" wrapText="1"/>
    </xf>
    <xf numFmtId="1" fontId="35" fillId="21" borderId="1" xfId="1" applyNumberFormat="1" applyFont="1" applyFill="1" applyBorder="1" applyAlignment="1" applyProtection="1">
      <alignment horizontal="center" vertical="center" wrapText="1"/>
    </xf>
    <xf numFmtId="1" fontId="37" fillId="21" borderId="1" xfId="1" applyNumberFormat="1" applyFont="1" applyFill="1" applyBorder="1" applyAlignment="1" applyProtection="1">
      <alignment horizontal="center" vertical="center" wrapText="1"/>
      <protection locked="0"/>
    </xf>
    <xf numFmtId="9" fontId="39" fillId="0" borderId="1" xfId="1" applyFont="1" applyFill="1" applyBorder="1" applyAlignment="1" applyProtection="1">
      <alignment horizontal="left" vertical="center" wrapText="1"/>
    </xf>
    <xf numFmtId="6" fontId="35" fillId="0" borderId="1" xfId="17" applyNumberFormat="1" applyFont="1" applyFill="1" applyBorder="1" applyAlignment="1" applyProtection="1">
      <alignment horizontal="center" vertical="center" wrapText="1"/>
    </xf>
    <xf numFmtId="44" fontId="35" fillId="0" borderId="1" xfId="17" applyFont="1" applyFill="1" applyBorder="1" applyAlignment="1" applyProtection="1">
      <alignment horizontal="center" vertical="center" wrapText="1"/>
    </xf>
    <xf numFmtId="1" fontId="37" fillId="0" borderId="1" xfId="0" applyNumberFormat="1" applyFont="1" applyBorder="1" applyAlignment="1">
      <alignment horizontal="center" vertical="center" wrapText="1"/>
    </xf>
    <xf numFmtId="1" fontId="37" fillId="21" borderId="1" xfId="0" applyNumberFormat="1" applyFont="1" applyFill="1" applyBorder="1" applyAlignment="1">
      <alignment horizontal="center" vertical="center"/>
    </xf>
    <xf numFmtId="1" fontId="35" fillId="0" borderId="1" xfId="0" applyNumberFormat="1" applyFont="1" applyBorder="1" applyAlignment="1">
      <alignment horizontal="center" vertical="center"/>
    </xf>
    <xf numFmtId="9" fontId="37" fillId="21" borderId="1" xfId="0" applyNumberFormat="1" applyFont="1" applyFill="1" applyBorder="1" applyAlignment="1">
      <alignment horizontal="center" vertical="center"/>
    </xf>
    <xf numFmtId="0" fontId="33" fillId="21" borderId="1" xfId="0" applyFont="1" applyFill="1" applyBorder="1" applyAlignment="1">
      <alignment horizontal="center" vertical="center" wrapText="1"/>
    </xf>
    <xf numFmtId="9" fontId="33" fillId="21" borderId="1" xfId="0" applyNumberFormat="1" applyFont="1" applyFill="1" applyBorder="1" applyAlignment="1">
      <alignment horizontal="center" vertical="center" wrapText="1"/>
    </xf>
    <xf numFmtId="9" fontId="59" fillId="21" borderId="1" xfId="0" applyNumberFormat="1" applyFont="1" applyFill="1" applyBorder="1" applyAlignment="1">
      <alignment horizontal="center" vertical="center" wrapText="1"/>
    </xf>
    <xf numFmtId="9" fontId="59" fillId="21" borderId="1" xfId="0" applyNumberFormat="1" applyFont="1" applyFill="1" applyBorder="1" applyAlignment="1">
      <alignment horizontal="left" vertical="center" wrapText="1"/>
    </xf>
    <xf numFmtId="9" fontId="33" fillId="21" borderId="1" xfId="0" applyNumberFormat="1" applyFont="1" applyFill="1" applyBorder="1" applyAlignment="1">
      <alignment horizontal="left" vertical="center" wrapText="1"/>
    </xf>
    <xf numFmtId="0" fontId="51" fillId="21" borderId="1" xfId="0" applyFont="1" applyFill="1" applyBorder="1" applyAlignment="1">
      <alignment horizontal="center" vertical="center" wrapText="1"/>
    </xf>
    <xf numFmtId="9" fontId="51" fillId="21" borderId="1" xfId="0" applyNumberFormat="1" applyFont="1" applyFill="1" applyBorder="1" applyAlignment="1">
      <alignment horizontal="center" vertical="center" wrapText="1"/>
    </xf>
    <xf numFmtId="14" fontId="51" fillId="21" borderId="1" xfId="0" applyNumberFormat="1" applyFont="1" applyFill="1" applyBorder="1" applyAlignment="1">
      <alignment horizontal="center" vertical="center"/>
    </xf>
    <xf numFmtId="1" fontId="33" fillId="21" borderId="1" xfId="1" applyNumberFormat="1" applyFont="1" applyFill="1" applyBorder="1" applyAlignment="1" applyProtection="1">
      <alignment horizontal="center" vertical="center" wrapText="1"/>
    </xf>
    <xf numFmtId="1" fontId="33" fillId="21" borderId="1" xfId="0" applyNumberFormat="1" applyFont="1" applyFill="1" applyBorder="1" applyAlignment="1">
      <alignment horizontal="center" vertical="center" wrapText="1"/>
    </xf>
    <xf numFmtId="1" fontId="33" fillId="21" borderId="1" xfId="1" applyNumberFormat="1" applyFont="1" applyFill="1" applyBorder="1" applyAlignment="1" applyProtection="1">
      <alignment horizontal="center" vertical="center" wrapText="1"/>
      <protection locked="0"/>
    </xf>
    <xf numFmtId="1" fontId="33" fillId="21" borderId="1" xfId="0" applyNumberFormat="1" applyFont="1" applyFill="1" applyBorder="1" applyAlignment="1" applyProtection="1">
      <alignment horizontal="center" vertical="center" wrapText="1"/>
      <protection locked="0"/>
    </xf>
    <xf numFmtId="0" fontId="33" fillId="0" borderId="1" xfId="0" applyFont="1" applyBorder="1" applyAlignment="1">
      <alignment horizontal="justify" vertical="center" wrapText="1"/>
    </xf>
    <xf numFmtId="0" fontId="33" fillId="0" borderId="1" xfId="0" applyFont="1" applyBorder="1" applyAlignment="1">
      <alignment horizontal="center" vertical="center" wrapText="1"/>
    </xf>
    <xf numFmtId="1" fontId="33" fillId="0" borderId="1" xfId="0" applyNumberFormat="1" applyFont="1" applyBorder="1" applyAlignment="1">
      <alignment horizontal="center" vertical="center" wrapText="1"/>
    </xf>
    <xf numFmtId="44" fontId="51" fillId="0" borderId="1" xfId="17" applyFont="1" applyFill="1" applyBorder="1" applyAlignment="1" applyProtection="1">
      <alignment horizontal="center" vertical="center" wrapText="1"/>
      <protection locked="0"/>
    </xf>
    <xf numFmtId="44" fontId="33" fillId="0" borderId="1" xfId="17" applyFont="1" applyFill="1" applyBorder="1" applyAlignment="1" applyProtection="1">
      <alignment horizontal="center" vertical="center" wrapText="1"/>
    </xf>
    <xf numFmtId="0" fontId="33" fillId="0" borderId="1" xfId="0" applyFont="1" applyBorder="1" applyAlignment="1" applyProtection="1">
      <alignment horizontal="center" vertical="center" wrapText="1"/>
      <protection locked="0"/>
    </xf>
    <xf numFmtId="14" fontId="33" fillId="0" borderId="1" xfId="0" applyNumberFormat="1" applyFont="1" applyBorder="1" applyAlignment="1" applyProtection="1">
      <alignment horizontal="center" vertical="center" wrapText="1"/>
      <protection locked="0"/>
    </xf>
    <xf numFmtId="1" fontId="33" fillId="0" borderId="1" xfId="0" applyNumberFormat="1" applyFont="1" applyBorder="1" applyAlignment="1" applyProtection="1">
      <alignment horizontal="center" vertical="center" wrapText="1"/>
      <protection locked="0"/>
    </xf>
    <xf numFmtId="168" fontId="51" fillId="0" borderId="1" xfId="17" applyNumberFormat="1" applyFont="1" applyFill="1" applyBorder="1" applyAlignment="1" applyProtection="1">
      <alignment horizontal="center" vertical="center" wrapText="1"/>
      <protection locked="0"/>
    </xf>
    <xf numFmtId="9" fontId="33" fillId="0" borderId="1" xfId="0" applyNumberFormat="1" applyFont="1" applyBorder="1" applyAlignment="1">
      <alignment horizontal="center" vertical="center" wrapText="1"/>
    </xf>
    <xf numFmtId="9" fontId="59" fillId="0" borderId="1" xfId="0" applyNumberFormat="1" applyFont="1" applyBorder="1" applyAlignment="1">
      <alignment horizontal="center" vertical="center" wrapText="1"/>
    </xf>
    <xf numFmtId="9" fontId="59" fillId="0" borderId="1" xfId="0" applyNumberFormat="1" applyFont="1" applyBorder="1" applyAlignment="1">
      <alignment horizontal="left" vertical="center" wrapText="1"/>
    </xf>
    <xf numFmtId="9" fontId="33" fillId="0" borderId="1" xfId="0" applyNumberFormat="1" applyFont="1" applyBorder="1" applyAlignment="1">
      <alignment horizontal="left" vertical="center" wrapText="1"/>
    </xf>
    <xf numFmtId="0" fontId="51" fillId="0" borderId="1" xfId="0" applyFont="1" applyBorder="1" applyAlignment="1">
      <alignment horizontal="center" vertical="center" wrapText="1"/>
    </xf>
    <xf numFmtId="14" fontId="33" fillId="0" borderId="1" xfId="0" applyNumberFormat="1" applyFont="1" applyBorder="1" applyAlignment="1">
      <alignment horizontal="center" vertical="center"/>
    </xf>
    <xf numFmtId="1" fontId="33" fillId="0" borderId="1" xfId="1" applyNumberFormat="1" applyFont="1" applyFill="1" applyBorder="1" applyAlignment="1" applyProtection="1">
      <alignment horizontal="center" vertical="center" wrapText="1"/>
    </xf>
    <xf numFmtId="1" fontId="33" fillId="0" borderId="1" xfId="1" applyNumberFormat="1" applyFont="1" applyFill="1" applyBorder="1" applyAlignment="1" applyProtection="1">
      <alignment horizontal="center" vertical="center" wrapText="1"/>
      <protection locked="0"/>
    </xf>
    <xf numFmtId="0" fontId="77" fillId="0" borderId="1" xfId="15" applyFont="1" applyFill="1" applyBorder="1" applyAlignment="1" applyProtection="1">
      <alignment horizontal="center" vertical="center" wrapText="1"/>
    </xf>
    <xf numFmtId="9" fontId="33" fillId="21" borderId="1" xfId="1" applyFont="1" applyFill="1" applyBorder="1" applyAlignment="1" applyProtection="1">
      <alignment horizontal="center" vertical="center" wrapText="1"/>
    </xf>
    <xf numFmtId="9" fontId="33" fillId="21" borderId="1" xfId="1" applyFont="1" applyFill="1" applyBorder="1" applyAlignment="1" applyProtection="1">
      <alignment horizontal="center" vertical="center" wrapText="1"/>
      <protection locked="0"/>
    </xf>
    <xf numFmtId="9" fontId="33" fillId="21" borderId="1" xfId="0" applyNumberFormat="1" applyFont="1" applyFill="1" applyBorder="1" applyAlignment="1" applyProtection="1">
      <alignment horizontal="center" vertical="center" wrapText="1"/>
      <protection locked="0"/>
    </xf>
    <xf numFmtId="9" fontId="59" fillId="0" borderId="1" xfId="1" applyFont="1" applyFill="1" applyBorder="1" applyAlignment="1" applyProtection="1">
      <alignment horizontal="center" vertical="center" wrapText="1"/>
    </xf>
    <xf numFmtId="44" fontId="66" fillId="0" borderId="1" xfId="17" applyFont="1" applyFill="1" applyBorder="1" applyAlignment="1" applyProtection="1">
      <alignment horizontal="center" vertical="center" wrapText="1"/>
    </xf>
    <xf numFmtId="44" fontId="66" fillId="0" borderId="3" xfId="17" applyFont="1" applyFill="1" applyBorder="1" applyAlignment="1" applyProtection="1">
      <alignment horizontal="center" vertical="center" wrapText="1"/>
    </xf>
    <xf numFmtId="9" fontId="33" fillId="0" borderId="1" xfId="1" applyFont="1" applyFill="1" applyBorder="1" applyAlignment="1" applyProtection="1">
      <alignment horizontal="center" vertical="center" wrapText="1"/>
      <protection locked="0"/>
    </xf>
    <xf numFmtId="9" fontId="33" fillId="0" borderId="1" xfId="0" applyNumberFormat="1" applyFont="1" applyBorder="1" applyAlignment="1" applyProtection="1">
      <alignment horizontal="center" vertical="center" wrapText="1"/>
      <protection locked="0"/>
    </xf>
    <xf numFmtId="0" fontId="33" fillId="0" borderId="1" xfId="1" applyNumberFormat="1" applyFont="1" applyFill="1" applyBorder="1" applyAlignment="1" applyProtection="1">
      <alignment horizontal="center" vertical="center" wrapText="1"/>
      <protection locked="0"/>
    </xf>
    <xf numFmtId="0" fontId="33" fillId="23" borderId="1" xfId="0" applyFont="1" applyFill="1" applyBorder="1" applyAlignment="1">
      <alignment horizontal="left" vertical="center" wrapText="1"/>
    </xf>
    <xf numFmtId="9" fontId="33" fillId="23" borderId="1" xfId="0" applyNumberFormat="1" applyFont="1" applyFill="1" applyBorder="1" applyAlignment="1">
      <alignment horizontal="left" vertical="center" wrapText="1"/>
    </xf>
    <xf numFmtId="0" fontId="33" fillId="23" borderId="1" xfId="0" applyFont="1" applyFill="1" applyBorder="1" applyAlignment="1">
      <alignment horizontal="center" vertical="center"/>
    </xf>
    <xf numFmtId="14" fontId="33" fillId="23" borderId="1" xfId="0" applyNumberFormat="1" applyFont="1" applyFill="1" applyBorder="1" applyAlignment="1">
      <alignment horizontal="center" vertical="center"/>
    </xf>
    <xf numFmtId="0" fontId="33" fillId="23" borderId="1" xfId="1" applyNumberFormat="1" applyFont="1" applyFill="1" applyBorder="1" applyAlignment="1" applyProtection="1">
      <alignment horizontal="center" vertical="center" wrapText="1"/>
    </xf>
    <xf numFmtId="0" fontId="33" fillId="23" borderId="1" xfId="1" applyNumberFormat="1" applyFont="1" applyFill="1" applyBorder="1" applyAlignment="1" applyProtection="1">
      <alignment horizontal="center" vertical="center" wrapText="1"/>
      <protection locked="0"/>
    </xf>
    <xf numFmtId="0" fontId="33" fillId="23" borderId="1" xfId="0" applyFont="1" applyFill="1" applyBorder="1" applyAlignment="1" applyProtection="1">
      <alignment horizontal="center" vertical="center" wrapText="1"/>
      <protection locked="0"/>
    </xf>
    <xf numFmtId="0" fontId="33" fillId="23" borderId="1" xfId="0" applyFont="1" applyFill="1" applyBorder="1" applyAlignment="1">
      <alignment horizontal="justify" vertical="center" wrapText="1"/>
    </xf>
    <xf numFmtId="0" fontId="59" fillId="23" borderId="1" xfId="0" applyFont="1" applyFill="1" applyBorder="1" applyAlignment="1">
      <alignment horizontal="justify" vertical="center" wrapText="1"/>
    </xf>
    <xf numFmtId="1" fontId="59" fillId="23" borderId="1" xfId="0" applyNumberFormat="1" applyFont="1" applyFill="1" applyBorder="1" applyAlignment="1">
      <alignment horizontal="center" vertical="center" wrapText="1"/>
    </xf>
    <xf numFmtId="0" fontId="33" fillId="23" borderId="1" xfId="0" applyFont="1" applyFill="1" applyBorder="1" applyAlignment="1">
      <alignment wrapText="1"/>
    </xf>
    <xf numFmtId="44" fontId="33" fillId="23" borderId="1" xfId="17" applyFont="1" applyFill="1" applyBorder="1" applyAlignment="1" applyProtection="1">
      <alignment horizontal="center" vertical="center" wrapText="1"/>
    </xf>
    <xf numFmtId="0" fontId="59" fillId="23" borderId="1" xfId="0" applyFont="1" applyFill="1" applyBorder="1" applyAlignment="1" applyProtection="1">
      <alignment horizontal="center" vertical="center" wrapText="1"/>
      <protection locked="0"/>
    </xf>
    <xf numFmtId="0" fontId="59" fillId="23" borderId="1" xfId="7" applyFont="1" applyFill="1" applyBorder="1" applyAlignment="1" applyProtection="1">
      <alignment horizontal="left" vertical="center" wrapText="1"/>
      <protection locked="0"/>
    </xf>
    <xf numFmtId="0" fontId="59" fillId="23" borderId="1" xfId="7" applyFont="1" applyFill="1" applyBorder="1" applyAlignment="1" applyProtection="1">
      <alignment horizontal="center" vertical="center" wrapText="1"/>
      <protection locked="0"/>
    </xf>
    <xf numFmtId="1" fontId="59" fillId="23" borderId="1" xfId="0" applyNumberFormat="1" applyFont="1" applyFill="1" applyBorder="1" applyAlignment="1" applyProtection="1">
      <alignment horizontal="center" vertical="center" wrapText="1"/>
      <protection locked="0"/>
    </xf>
    <xf numFmtId="14" fontId="33" fillId="23" borderId="1" xfId="0" applyNumberFormat="1" applyFont="1" applyFill="1" applyBorder="1" applyAlignment="1" applyProtection="1">
      <alignment horizontal="center" vertical="center" wrapText="1"/>
      <protection locked="0"/>
    </xf>
    <xf numFmtId="1" fontId="33" fillId="23" borderId="1" xfId="17" applyNumberFormat="1" applyFont="1" applyFill="1" applyBorder="1" applyAlignment="1" applyProtection="1">
      <alignment horizontal="center" vertical="center" wrapText="1"/>
      <protection locked="0"/>
    </xf>
    <xf numFmtId="0" fontId="33" fillId="23" borderId="1" xfId="0" applyFont="1" applyFill="1" applyBorder="1"/>
    <xf numFmtId="9" fontId="33" fillId="23" borderId="1" xfId="1" applyFont="1" applyFill="1" applyBorder="1" applyAlignment="1" applyProtection="1">
      <alignment horizontal="center" vertical="center" wrapText="1"/>
    </xf>
    <xf numFmtId="14" fontId="51" fillId="21" borderId="1" xfId="0" applyNumberFormat="1" applyFont="1" applyFill="1" applyBorder="1" applyAlignment="1">
      <alignment horizontal="center" vertical="center" wrapText="1"/>
    </xf>
    <xf numFmtId="14" fontId="33" fillId="0" borderId="1" xfId="0" applyNumberFormat="1" applyFont="1" applyBorder="1" applyAlignment="1">
      <alignment horizontal="center" vertical="center" wrapText="1"/>
    </xf>
    <xf numFmtId="9" fontId="33" fillId="0" borderId="1" xfId="1" applyFont="1" applyFill="1" applyBorder="1" applyAlignment="1">
      <alignment horizontal="center" vertical="center" wrapText="1"/>
    </xf>
    <xf numFmtId="0" fontId="59" fillId="21" borderId="1" xfId="0" applyFont="1" applyFill="1" applyBorder="1" applyAlignment="1">
      <alignment horizontal="center" vertical="center" wrapText="1"/>
    </xf>
    <xf numFmtId="0" fontId="76" fillId="21" borderId="1" xfId="0" applyFont="1" applyFill="1" applyBorder="1" applyAlignment="1">
      <alignment horizontal="center" vertical="center" wrapText="1"/>
    </xf>
    <xf numFmtId="14" fontId="33" fillId="23" borderId="1" xfId="0" applyNumberFormat="1" applyFont="1" applyFill="1" applyBorder="1" applyAlignment="1">
      <alignment horizontal="center" vertical="center" wrapText="1"/>
    </xf>
    <xf numFmtId="1" fontId="33" fillId="23" borderId="1" xfId="0" applyNumberFormat="1" applyFont="1" applyFill="1" applyBorder="1" applyAlignment="1" applyProtection="1">
      <alignment horizontal="center" vertical="center" wrapText="1"/>
      <protection locked="0"/>
    </xf>
    <xf numFmtId="9" fontId="33" fillId="23" borderId="1" xfId="0" applyNumberFormat="1" applyFont="1" applyFill="1" applyBorder="1" applyAlignment="1" applyProtection="1">
      <alignment horizontal="center" vertical="center" wrapText="1"/>
      <protection locked="0"/>
    </xf>
    <xf numFmtId="9" fontId="59" fillId="23" borderId="1" xfId="1" applyFont="1" applyFill="1" applyBorder="1" applyAlignment="1" applyProtection="1">
      <alignment horizontal="center" vertical="center"/>
    </xf>
    <xf numFmtId="168" fontId="76" fillId="0" borderId="1" xfId="17" applyNumberFormat="1" applyFont="1" applyFill="1" applyBorder="1" applyAlignment="1" applyProtection="1">
      <alignment horizontal="center" vertical="center" wrapText="1"/>
      <protection locked="0"/>
    </xf>
    <xf numFmtId="0" fontId="33" fillId="0" borderId="1" xfId="0" applyFont="1" applyBorder="1" applyAlignment="1">
      <alignment horizontal="center" vertical="center"/>
    </xf>
    <xf numFmtId="0" fontId="33" fillId="0" borderId="1" xfId="0" applyFont="1" applyBorder="1" applyAlignment="1" applyProtection="1">
      <alignment horizontal="center" vertical="center"/>
      <protection locked="0"/>
    </xf>
    <xf numFmtId="44" fontId="33" fillId="0" borderId="1" xfId="17" applyFont="1" applyFill="1" applyBorder="1" applyAlignment="1" applyProtection="1">
      <alignment horizontal="center" vertical="center"/>
    </xf>
    <xf numFmtId="9" fontId="33" fillId="0" borderId="1" xfId="1" applyFont="1" applyFill="1" applyBorder="1" applyAlignment="1" applyProtection="1">
      <alignment horizontal="center" vertical="center"/>
    </xf>
    <xf numFmtId="44" fontId="51" fillId="0" borderId="1" xfId="17" applyFont="1" applyFill="1" applyBorder="1" applyAlignment="1" applyProtection="1">
      <alignment horizontal="center" vertical="center"/>
      <protection locked="0"/>
    </xf>
    <xf numFmtId="9" fontId="51" fillId="21" borderId="1" xfId="1" applyFont="1" applyFill="1" applyBorder="1" applyAlignment="1" applyProtection="1">
      <alignment horizontal="center" vertical="center" wrapText="1"/>
    </xf>
    <xf numFmtId="0" fontId="33" fillId="21" borderId="1" xfId="0" applyFont="1" applyFill="1" applyBorder="1" applyAlignment="1">
      <alignment horizontal="center" vertical="center"/>
    </xf>
    <xf numFmtId="1" fontId="33" fillId="21" borderId="1" xfId="0" applyNumberFormat="1" applyFont="1" applyFill="1" applyBorder="1" applyAlignment="1">
      <alignment horizontal="center" vertical="center"/>
    </xf>
    <xf numFmtId="1" fontId="33" fillId="21" borderId="1" xfId="0" applyNumberFormat="1" applyFont="1" applyFill="1" applyBorder="1" applyAlignment="1" applyProtection="1">
      <alignment horizontal="center" vertical="center"/>
      <protection locked="0"/>
    </xf>
    <xf numFmtId="9" fontId="59" fillId="0" borderId="1" xfId="1" applyFont="1" applyFill="1" applyBorder="1" applyAlignment="1" applyProtection="1">
      <alignment horizontal="center" vertical="center" wrapText="1"/>
      <protection locked="0"/>
    </xf>
    <xf numFmtId="14" fontId="51" fillId="23" borderId="1" xfId="0" applyNumberFormat="1" applyFont="1" applyFill="1" applyBorder="1" applyAlignment="1">
      <alignment horizontal="center" vertical="center" wrapText="1"/>
    </xf>
    <xf numFmtId="0" fontId="33" fillId="23" borderId="1" xfId="0" applyFont="1" applyFill="1" applyBorder="1" applyAlignment="1" applyProtection="1">
      <alignment horizontal="center" vertical="center"/>
      <protection locked="0"/>
    </xf>
    <xf numFmtId="2" fontId="33" fillId="23" borderId="1" xfId="0" applyNumberFormat="1" applyFont="1" applyFill="1" applyBorder="1" applyAlignment="1">
      <alignment horizontal="center" vertical="center" wrapText="1"/>
    </xf>
    <xf numFmtId="0" fontId="59" fillId="23" borderId="1" xfId="0" applyFont="1" applyFill="1" applyBorder="1" applyAlignment="1">
      <alignment horizontal="center" vertical="center"/>
    </xf>
    <xf numFmtId="44" fontId="33" fillId="23" borderId="1" xfId="17" applyFont="1" applyFill="1" applyBorder="1" applyAlignment="1" applyProtection="1">
      <alignment horizontal="center" vertical="center"/>
    </xf>
    <xf numFmtId="0" fontId="33" fillId="23" borderId="1" xfId="0" applyFont="1" applyFill="1" applyBorder="1" applyProtection="1">
      <protection locked="0"/>
    </xf>
    <xf numFmtId="0" fontId="33" fillId="23" borderId="1" xfId="0" applyFont="1" applyFill="1" applyBorder="1" applyAlignment="1">
      <alignment horizontal="justify" vertical="center"/>
    </xf>
    <xf numFmtId="1" fontId="33" fillId="23" borderId="1" xfId="0" applyNumberFormat="1" applyFont="1" applyFill="1" applyBorder="1" applyAlignment="1">
      <alignment horizontal="center" vertical="center"/>
    </xf>
    <xf numFmtId="0" fontId="35" fillId="0" borderId="1" xfId="1" applyNumberFormat="1" applyFont="1" applyFill="1" applyBorder="1" applyAlignment="1" applyProtection="1">
      <alignment horizontal="left" vertical="top" wrapText="1"/>
    </xf>
    <xf numFmtId="44" fontId="35" fillId="0" borderId="1" xfId="17" applyFont="1" applyFill="1" applyBorder="1" applyAlignment="1" applyProtection="1">
      <alignment horizontal="center" vertical="center" wrapText="1"/>
      <protection locked="0"/>
    </xf>
    <xf numFmtId="168" fontId="35" fillId="0" borderId="1" xfId="17" applyNumberFormat="1" applyFont="1" applyFill="1" applyBorder="1" applyAlignment="1" applyProtection="1">
      <alignment horizontal="center" vertical="center" wrapText="1"/>
      <protection locked="0"/>
    </xf>
    <xf numFmtId="0" fontId="38" fillId="0" borderId="1" xfId="15" applyFont="1" applyFill="1" applyBorder="1" applyAlignment="1" applyProtection="1">
      <alignment horizontal="center" vertical="center" wrapText="1"/>
    </xf>
    <xf numFmtId="165" fontId="35" fillId="0" borderId="1" xfId="17" applyNumberFormat="1" applyFont="1" applyFill="1" applyBorder="1" applyAlignment="1" applyProtection="1">
      <alignment horizontal="center" vertical="center" wrapText="1"/>
    </xf>
    <xf numFmtId="1" fontId="35" fillId="23" borderId="1" xfId="0" applyNumberFormat="1" applyFont="1" applyFill="1" applyBorder="1" applyAlignment="1">
      <alignment horizontal="center" vertical="center" wrapText="1"/>
    </xf>
    <xf numFmtId="165" fontId="35" fillId="23" borderId="1" xfId="17" applyNumberFormat="1" applyFont="1" applyFill="1" applyBorder="1" applyAlignment="1" applyProtection="1">
      <alignment horizontal="center" vertical="center" wrapText="1"/>
    </xf>
    <xf numFmtId="44" fontId="35" fillId="23" borderId="1" xfId="17" applyFont="1" applyFill="1" applyBorder="1" applyAlignment="1" applyProtection="1">
      <alignment horizontal="center" vertical="center" wrapText="1"/>
    </xf>
    <xf numFmtId="14" fontId="35" fillId="23" borderId="1" xfId="0" applyNumberFormat="1" applyFont="1" applyFill="1" applyBorder="1" applyAlignment="1" applyProtection="1">
      <alignment horizontal="center" vertical="center" wrapText="1"/>
      <protection locked="0"/>
    </xf>
    <xf numFmtId="1" fontId="35" fillId="23" borderId="1" xfId="0" applyNumberFormat="1" applyFont="1" applyFill="1" applyBorder="1" applyAlignment="1" applyProtection="1">
      <alignment horizontal="center" vertical="center" wrapText="1"/>
      <protection locked="0"/>
    </xf>
    <xf numFmtId="168" fontId="35" fillId="23" borderId="1" xfId="17" applyNumberFormat="1" applyFont="1" applyFill="1" applyBorder="1" applyAlignment="1" applyProtection="1">
      <alignment horizontal="center" vertical="center" wrapText="1"/>
      <protection locked="0"/>
    </xf>
    <xf numFmtId="168" fontId="35" fillId="0" borderId="1" xfId="17" applyNumberFormat="1" applyFont="1" applyFill="1" applyBorder="1" applyAlignment="1" applyProtection="1">
      <alignment horizontal="center" vertical="center"/>
      <protection locked="0"/>
    </xf>
    <xf numFmtId="0" fontId="35" fillId="23" borderId="1" xfId="1" applyNumberFormat="1" applyFont="1" applyFill="1" applyBorder="1" applyAlignment="1" applyProtection="1">
      <alignment horizontal="center" vertical="center" wrapText="1"/>
    </xf>
    <xf numFmtId="9" fontId="35" fillId="23" borderId="1" xfId="0" applyNumberFormat="1" applyFont="1" applyFill="1" applyBorder="1" applyAlignment="1" applyProtection="1">
      <alignment horizontal="center" vertical="center" wrapText="1"/>
      <protection locked="0"/>
    </xf>
    <xf numFmtId="9" fontId="35" fillId="23" borderId="1" xfId="1" applyFont="1" applyFill="1" applyBorder="1" applyAlignment="1" applyProtection="1">
      <alignment horizontal="center" vertical="center" wrapText="1"/>
      <protection locked="0"/>
    </xf>
    <xf numFmtId="168" fontId="35" fillId="23" borderId="1" xfId="17" applyNumberFormat="1" applyFont="1" applyFill="1" applyBorder="1" applyAlignment="1" applyProtection="1">
      <alignment horizontal="center" vertical="center"/>
      <protection locked="0"/>
    </xf>
    <xf numFmtId="181" fontId="35" fillId="23" borderId="1" xfId="17" applyNumberFormat="1" applyFont="1" applyFill="1" applyBorder="1" applyAlignment="1" applyProtection="1">
      <alignment horizontal="center" vertical="center" wrapText="1"/>
    </xf>
    <xf numFmtId="9" fontId="37" fillId="21" borderId="1" xfId="1" applyFont="1" applyFill="1" applyBorder="1" applyAlignment="1" applyProtection="1">
      <alignment horizontal="center" vertical="center"/>
      <protection locked="0"/>
    </xf>
    <xf numFmtId="1" fontId="38" fillId="0" borderId="1" xfId="15" applyNumberFormat="1" applyFont="1" applyFill="1" applyBorder="1" applyAlignment="1" applyProtection="1">
      <alignment horizontal="center" vertical="center" wrapText="1"/>
    </xf>
    <xf numFmtId="168" fontId="35" fillId="23" borderId="1" xfId="17" applyNumberFormat="1" applyFont="1" applyFill="1" applyBorder="1" applyAlignment="1" applyProtection="1">
      <alignment horizontal="center" vertical="center" wrapText="1"/>
    </xf>
    <xf numFmtId="0" fontId="35" fillId="21" borderId="1" xfId="1" applyNumberFormat="1" applyFont="1" applyFill="1" applyBorder="1" applyAlignment="1" applyProtection="1">
      <alignment horizontal="center" vertical="center" wrapText="1"/>
    </xf>
    <xf numFmtId="2" fontId="38" fillId="0" borderId="1" xfId="15" applyNumberFormat="1" applyFont="1" applyFill="1" applyBorder="1" applyAlignment="1" applyProtection="1">
      <alignment horizontal="center" vertical="center" wrapText="1"/>
    </xf>
    <xf numFmtId="1" fontId="35" fillId="23" borderId="1" xfId="1" applyNumberFormat="1" applyFont="1" applyFill="1" applyBorder="1" applyAlignment="1" applyProtection="1">
      <alignment horizontal="center" vertical="center" wrapText="1"/>
    </xf>
    <xf numFmtId="2" fontId="35" fillId="23" borderId="1" xfId="0" applyNumberFormat="1" applyFont="1" applyFill="1" applyBorder="1" applyAlignment="1">
      <alignment horizontal="center" vertical="center" wrapText="1"/>
    </xf>
    <xf numFmtId="9" fontId="37" fillId="0" borderId="1" xfId="1" applyFont="1" applyFill="1" applyBorder="1" applyAlignment="1" applyProtection="1">
      <alignment horizontal="center" vertical="center" wrapText="1"/>
    </xf>
    <xf numFmtId="1" fontId="37" fillId="0" borderId="1" xfId="1" applyNumberFormat="1" applyFont="1" applyFill="1" applyBorder="1" applyAlignment="1" applyProtection="1">
      <alignment horizontal="center" vertical="center" wrapText="1"/>
    </xf>
    <xf numFmtId="2" fontId="42" fillId="0" borderId="1" xfId="15" applyNumberFormat="1" applyFont="1" applyFill="1" applyBorder="1" applyAlignment="1" applyProtection="1">
      <alignment horizontal="center" vertical="center" wrapText="1"/>
    </xf>
    <xf numFmtId="9" fontId="37" fillId="22" borderId="1" xfId="1" applyFont="1" applyFill="1" applyBorder="1" applyAlignment="1" applyProtection="1">
      <alignment horizontal="center" vertical="center" wrapText="1"/>
    </xf>
    <xf numFmtId="0" fontId="37" fillId="21" borderId="1" xfId="8" applyNumberFormat="1" applyFont="1" applyFill="1" applyBorder="1" applyAlignment="1" applyProtection="1">
      <alignment horizontal="center" vertical="center" wrapText="1"/>
    </xf>
    <xf numFmtId="0" fontId="35" fillId="21" borderId="1" xfId="8" applyNumberFormat="1" applyFont="1" applyFill="1" applyBorder="1" applyAlignment="1" applyProtection="1">
      <alignment horizontal="center" vertical="center" wrapText="1"/>
    </xf>
    <xf numFmtId="0" fontId="35" fillId="0" borderId="1" xfId="8" applyNumberFormat="1" applyFont="1" applyFill="1" applyBorder="1" applyAlignment="1" applyProtection="1">
      <alignment horizontal="center" vertical="center" wrapText="1"/>
    </xf>
    <xf numFmtId="0" fontId="36" fillId="21" borderId="1" xfId="8" applyNumberFormat="1" applyFont="1" applyFill="1" applyBorder="1" applyAlignment="1" applyProtection="1">
      <alignment horizontal="center" vertical="center" wrapText="1"/>
    </xf>
    <xf numFmtId="44" fontId="35" fillId="4" borderId="1" xfId="17" applyFont="1" applyFill="1" applyBorder="1" applyAlignment="1" applyProtection="1">
      <alignment horizontal="center" vertical="center"/>
      <protection locked="0"/>
    </xf>
    <xf numFmtId="165" fontId="35" fillId="0" borderId="1" xfId="17" applyNumberFormat="1" applyFont="1" applyFill="1" applyBorder="1" applyAlignment="1" applyProtection="1">
      <alignment horizontal="center" vertical="center" wrapText="1"/>
      <protection locked="0"/>
    </xf>
    <xf numFmtId="44" fontId="35" fillId="4" borderId="1" xfId="17" applyFont="1" applyFill="1" applyBorder="1" applyAlignment="1" applyProtection="1">
      <alignment horizontal="center" vertical="center"/>
    </xf>
    <xf numFmtId="167" fontId="35" fillId="21" borderId="1" xfId="1" applyNumberFormat="1" applyFont="1" applyFill="1" applyBorder="1" applyAlignment="1" applyProtection="1">
      <alignment horizontal="center" vertical="center" wrapText="1"/>
    </xf>
    <xf numFmtId="10" fontId="39" fillId="0" borderId="1" xfId="1" applyNumberFormat="1" applyFont="1" applyFill="1" applyBorder="1" applyAlignment="1" applyProtection="1">
      <alignment horizontal="center" vertical="center" wrapText="1"/>
    </xf>
    <xf numFmtId="44" fontId="85" fillId="0" borderId="1" xfId="17" applyFont="1" applyFill="1" applyBorder="1" applyAlignment="1" applyProtection="1">
      <alignment horizontal="center" vertical="center" wrapText="1"/>
    </xf>
    <xf numFmtId="0" fontId="35" fillId="21" borderId="1" xfId="0" applyFont="1" applyFill="1" applyBorder="1" applyAlignment="1" applyProtection="1">
      <alignment horizontal="center" vertical="center" wrapText="1"/>
      <protection locked="0"/>
    </xf>
    <xf numFmtId="1" fontId="38" fillId="0" borderId="1" xfId="11" applyNumberFormat="1" applyFont="1" applyFill="1" applyBorder="1" applyAlignment="1" applyProtection="1">
      <alignment horizontal="center" vertical="center" wrapText="1"/>
      <protection locked="0"/>
    </xf>
    <xf numFmtId="9" fontId="38" fillId="0" borderId="1" xfId="11" applyFont="1" applyFill="1" applyBorder="1" applyAlignment="1" applyProtection="1">
      <alignment horizontal="center" vertical="center" wrapText="1"/>
      <protection locked="0"/>
    </xf>
    <xf numFmtId="9" fontId="39" fillId="21" borderId="10" xfId="0" applyNumberFormat="1" applyFont="1" applyFill="1" applyBorder="1" applyAlignment="1">
      <alignment horizontal="center" vertical="center" wrapText="1"/>
    </xf>
    <xf numFmtId="0" fontId="39" fillId="21" borderId="10" xfId="0" applyFont="1" applyFill="1" applyBorder="1" applyAlignment="1">
      <alignment horizontal="center" vertical="center" wrapText="1"/>
    </xf>
    <xf numFmtId="0" fontId="54" fillId="21" borderId="10" xfId="0" applyFont="1" applyFill="1" applyBorder="1" applyAlignment="1">
      <alignment horizontal="center" vertical="center" wrapText="1"/>
    </xf>
    <xf numFmtId="14" fontId="37" fillId="21" borderId="10" xfId="0" applyNumberFormat="1" applyFont="1" applyFill="1" applyBorder="1" applyAlignment="1">
      <alignment horizontal="center" vertical="center" wrapText="1"/>
    </xf>
    <xf numFmtId="0" fontId="39" fillId="21" borderId="29" xfId="0" applyFont="1" applyFill="1" applyBorder="1" applyAlignment="1">
      <alignment horizontal="center" vertical="center" wrapText="1"/>
    </xf>
    <xf numFmtId="0" fontId="39" fillId="21" borderId="25" xfId="0" applyFont="1" applyFill="1" applyBorder="1" applyAlignment="1">
      <alignment horizontal="center" vertical="center" wrapText="1"/>
    </xf>
    <xf numFmtId="0" fontId="39" fillId="21" borderId="27" xfId="0" applyFont="1" applyFill="1" applyBorder="1" applyAlignment="1">
      <alignment horizontal="center" vertical="center" wrapText="1"/>
    </xf>
    <xf numFmtId="9" fontId="37" fillId="21" borderId="10" xfId="0" applyNumberFormat="1" applyFont="1" applyFill="1" applyBorder="1" applyAlignment="1">
      <alignment horizontal="center" vertical="center" wrapText="1"/>
    </xf>
    <xf numFmtId="9" fontId="35" fillId="21" borderId="10" xfId="0" applyNumberFormat="1" applyFont="1" applyFill="1" applyBorder="1" applyAlignment="1">
      <alignment horizontal="center" vertical="center" wrapText="1"/>
    </xf>
    <xf numFmtId="9" fontId="35" fillId="21" borderId="10" xfId="0" applyNumberFormat="1" applyFont="1" applyFill="1" applyBorder="1" applyAlignment="1" applyProtection="1">
      <alignment horizontal="center" vertical="center" wrapText="1"/>
      <protection locked="0"/>
    </xf>
    <xf numFmtId="44" fontId="39" fillId="0" borderId="1" xfId="17" applyFont="1" applyFill="1" applyBorder="1" applyAlignment="1" applyProtection="1">
      <alignment horizontal="center" vertical="center" wrapText="1"/>
    </xf>
    <xf numFmtId="44" fontId="72" fillId="0" borderId="1" xfId="17" applyFont="1" applyFill="1" applyBorder="1" applyAlignment="1" applyProtection="1">
      <alignment horizontal="center" vertical="center" wrapText="1"/>
    </xf>
    <xf numFmtId="9" fontId="39" fillId="0" borderId="10" xfId="0" applyNumberFormat="1" applyFont="1" applyBorder="1" applyAlignment="1">
      <alignment horizontal="center" vertical="center" wrapText="1"/>
    </xf>
    <xf numFmtId="0" fontId="39" fillId="0" borderId="31" xfId="0" applyFont="1" applyBorder="1" applyAlignment="1">
      <alignment horizontal="center" vertical="center" wrapText="1"/>
    </xf>
    <xf numFmtId="0" fontId="39" fillId="0" borderId="2" xfId="0" applyFont="1" applyBorder="1" applyAlignment="1">
      <alignment horizontal="center" vertical="center" wrapText="1"/>
    </xf>
    <xf numFmtId="13" fontId="39" fillId="0" borderId="1" xfId="1" applyNumberFormat="1" applyFont="1" applyFill="1" applyBorder="1" applyAlignment="1" applyProtection="1">
      <alignment horizontal="center" vertical="center" wrapText="1"/>
      <protection locked="0"/>
    </xf>
    <xf numFmtId="0" fontId="0" fillId="4" borderId="0" xfId="0" applyFill="1"/>
    <xf numFmtId="0" fontId="39" fillId="21" borderId="31" xfId="0" applyFont="1" applyFill="1" applyBorder="1" applyAlignment="1">
      <alignment horizontal="center" vertical="center" wrapText="1"/>
    </xf>
    <xf numFmtId="0" fontId="39" fillId="21" borderId="2" xfId="0" applyFont="1" applyFill="1" applyBorder="1" applyAlignment="1">
      <alignment horizontal="center" vertical="center" wrapText="1"/>
    </xf>
    <xf numFmtId="2" fontId="39" fillId="0" borderId="1" xfId="1" applyNumberFormat="1" applyFont="1" applyFill="1" applyBorder="1" applyAlignment="1" applyProtection="1">
      <alignment horizontal="center" vertical="center"/>
      <protection locked="0"/>
    </xf>
    <xf numFmtId="9" fontId="39" fillId="0" borderId="1" xfId="1" applyFont="1" applyFill="1" applyBorder="1" applyAlignment="1" applyProtection="1">
      <alignment horizontal="center" vertical="center"/>
      <protection locked="0"/>
    </xf>
    <xf numFmtId="0" fontId="39" fillId="0" borderId="13" xfId="0" applyFont="1" applyBorder="1" applyAlignment="1">
      <alignment horizontal="center" vertical="center" wrapText="1"/>
    </xf>
    <xf numFmtId="0" fontId="39" fillId="0" borderId="13" xfId="0" applyFont="1" applyBorder="1" applyAlignment="1">
      <alignment horizontal="center" vertical="center"/>
    </xf>
    <xf numFmtId="0" fontId="39" fillId="0" borderId="57" xfId="0" applyFont="1" applyBorder="1" applyAlignment="1">
      <alignment horizontal="center" vertical="center" wrapText="1"/>
    </xf>
    <xf numFmtId="0" fontId="39" fillId="0" borderId="4" xfId="0" applyFont="1" applyBorder="1" applyAlignment="1">
      <alignment horizontal="center" vertical="center" wrapText="1"/>
    </xf>
    <xf numFmtId="9" fontId="35" fillId="0" borderId="13" xfId="0" applyNumberFormat="1" applyFont="1" applyBorder="1" applyAlignment="1" applyProtection="1">
      <alignment horizontal="center" vertical="center" wrapText="1"/>
      <protection locked="0"/>
    </xf>
    <xf numFmtId="0" fontId="39" fillId="21" borderId="1" xfId="0" applyFont="1" applyFill="1" applyBorder="1" applyAlignment="1">
      <alignment horizontal="center" vertical="center"/>
    </xf>
    <xf numFmtId="0" fontId="79" fillId="21" borderId="1" xfId="0" applyFont="1" applyFill="1" applyBorder="1" applyAlignment="1">
      <alignment horizontal="center" vertical="center" wrapText="1" readingOrder="1"/>
    </xf>
    <xf numFmtId="0" fontId="33" fillId="21" borderId="1" xfId="0" applyFont="1" applyFill="1" applyBorder="1" applyAlignment="1" applyProtection="1">
      <alignment horizontal="center" vertical="center" wrapText="1"/>
      <protection locked="0"/>
    </xf>
    <xf numFmtId="0" fontId="33" fillId="21" borderId="1" xfId="0" applyFont="1" applyFill="1" applyBorder="1" applyAlignment="1">
      <alignment horizontal="justify" vertical="center" wrapText="1"/>
    </xf>
    <xf numFmtId="49" fontId="51" fillId="21" borderId="1" xfId="8" applyNumberFormat="1" applyFont="1" applyFill="1" applyBorder="1" applyAlignment="1" applyProtection="1">
      <alignment horizontal="center" vertical="center" wrapText="1"/>
    </xf>
    <xf numFmtId="2" fontId="51" fillId="21" borderId="1" xfId="8" applyNumberFormat="1" applyFont="1" applyFill="1" applyBorder="1" applyAlignment="1" applyProtection="1">
      <alignment horizontal="center" vertical="center" wrapText="1"/>
    </xf>
    <xf numFmtId="9" fontId="96" fillId="0" borderId="1" xfId="1" applyFont="1" applyFill="1" applyBorder="1" applyAlignment="1" applyProtection="1">
      <alignment horizontal="justify" vertical="center" wrapText="1"/>
    </xf>
    <xf numFmtId="1" fontId="33" fillId="0" borderId="1" xfId="1" applyNumberFormat="1" applyFont="1" applyFill="1" applyBorder="1" applyAlignment="1" applyProtection="1">
      <alignment horizontal="justify" vertical="center" wrapText="1"/>
    </xf>
    <xf numFmtId="171" fontId="51" fillId="0" borderId="1" xfId="17" applyNumberFormat="1" applyFont="1" applyFill="1" applyBorder="1" applyAlignment="1" applyProtection="1">
      <alignment horizontal="center" vertical="center" wrapText="1"/>
    </xf>
    <xf numFmtId="177" fontId="33" fillId="0" borderId="1" xfId="17" applyNumberFormat="1" applyFont="1" applyFill="1" applyBorder="1" applyAlignment="1" applyProtection="1">
      <alignment horizontal="center" vertical="center" wrapText="1"/>
    </xf>
    <xf numFmtId="1" fontId="59" fillId="0" borderId="1" xfId="3" applyNumberFormat="1" applyFont="1" applyFill="1" applyBorder="1" applyAlignment="1" applyProtection="1">
      <alignment horizontal="center" vertical="center" wrapText="1"/>
      <protection locked="0"/>
    </xf>
    <xf numFmtId="0" fontId="79" fillId="0" borderId="1" xfId="0" applyFont="1" applyBorder="1" applyAlignment="1">
      <alignment horizontal="center" vertical="center" wrapText="1" readingOrder="1"/>
    </xf>
    <xf numFmtId="49" fontId="33" fillId="0" borderId="1" xfId="8" applyNumberFormat="1" applyFont="1" applyFill="1" applyBorder="1" applyAlignment="1" applyProtection="1">
      <alignment horizontal="center" vertical="center" wrapText="1"/>
    </xf>
    <xf numFmtId="49" fontId="33" fillId="0" borderId="1" xfId="8" applyNumberFormat="1" applyFont="1" applyFill="1" applyBorder="1" applyAlignment="1" applyProtection="1">
      <alignment horizontal="center" vertical="center" wrapText="1"/>
      <protection locked="0"/>
    </xf>
    <xf numFmtId="1" fontId="51" fillId="0" borderId="1" xfId="8" applyNumberFormat="1" applyFont="1" applyFill="1" applyBorder="1" applyAlignment="1" applyProtection="1">
      <alignment horizontal="center" vertical="center" wrapText="1"/>
    </xf>
    <xf numFmtId="0" fontId="45" fillId="0" borderId="1" xfId="0" applyFont="1" applyBorder="1" applyAlignment="1">
      <alignment wrapText="1"/>
    </xf>
    <xf numFmtId="44" fontId="51" fillId="0" borderId="1" xfId="17" applyFont="1" applyFill="1" applyBorder="1" applyAlignment="1" applyProtection="1">
      <alignment horizontal="center" vertical="center" wrapText="1"/>
    </xf>
    <xf numFmtId="177" fontId="45" fillId="0" borderId="1" xfId="0" applyNumberFormat="1" applyFont="1" applyBorder="1" applyAlignment="1">
      <alignment wrapText="1"/>
    </xf>
    <xf numFmtId="1" fontId="59" fillId="0" borderId="10" xfId="3" applyNumberFormat="1" applyFont="1" applyFill="1" applyBorder="1" applyAlignment="1" applyProtection="1">
      <alignment horizontal="center" vertical="center" wrapText="1"/>
      <protection locked="0"/>
    </xf>
    <xf numFmtId="0" fontId="34" fillId="0" borderId="10" xfId="15" applyFill="1" applyBorder="1" applyAlignment="1" applyProtection="1">
      <alignment vertical="center" wrapText="1"/>
      <protection locked="0"/>
    </xf>
    <xf numFmtId="0" fontId="34" fillId="0" borderId="10" xfId="15" applyFill="1" applyBorder="1" applyAlignment="1" applyProtection="1">
      <alignment horizontal="justify" vertical="center" wrapText="1"/>
      <protection locked="0"/>
    </xf>
    <xf numFmtId="0" fontId="34" fillId="0" borderId="1" xfId="15" applyFill="1" applyBorder="1" applyAlignment="1" applyProtection="1">
      <alignment horizontal="justify" vertical="center" wrapText="1"/>
      <protection locked="0"/>
    </xf>
    <xf numFmtId="0" fontId="34" fillId="0" borderId="1" xfId="15" applyFill="1" applyBorder="1" applyAlignment="1" applyProtection="1">
      <alignment vertical="center" wrapText="1"/>
      <protection locked="0"/>
    </xf>
    <xf numFmtId="9" fontId="33" fillId="0" borderId="1" xfId="1" applyFont="1" applyFill="1" applyBorder="1" applyAlignment="1" applyProtection="1">
      <alignment horizontal="justify" vertical="center" wrapText="1"/>
    </xf>
    <xf numFmtId="177" fontId="45" fillId="0" borderId="1" xfId="17" applyNumberFormat="1" applyFont="1" applyFill="1" applyBorder="1" applyAlignment="1" applyProtection="1">
      <alignment horizontal="center" vertical="center" wrapText="1"/>
    </xf>
    <xf numFmtId="0" fontId="33" fillId="0" borderId="1" xfId="8" applyNumberFormat="1" applyFont="1" applyFill="1" applyBorder="1" applyAlignment="1" applyProtection="1">
      <alignment horizontal="center" vertical="center" wrapText="1"/>
      <protection locked="0"/>
    </xf>
    <xf numFmtId="44" fontId="33" fillId="0" borderId="1" xfId="17" applyFont="1" applyFill="1" applyBorder="1" applyAlignment="1" applyProtection="1">
      <alignment horizontal="right" vertical="center" wrapText="1"/>
      <protection locked="0"/>
    </xf>
    <xf numFmtId="0" fontId="51" fillId="21" borderId="1" xfId="0" applyFont="1" applyFill="1" applyBorder="1" applyAlignment="1">
      <alignment horizontal="justify" vertical="center" wrapText="1"/>
    </xf>
    <xf numFmtId="9" fontId="51" fillId="21" borderId="1" xfId="0" applyNumberFormat="1" applyFont="1" applyFill="1" applyBorder="1" applyAlignment="1" applyProtection="1">
      <alignment horizontal="center" vertical="center" wrapText="1"/>
      <protection locked="0"/>
    </xf>
    <xf numFmtId="9" fontId="45" fillId="0" borderId="1" xfId="1" applyFont="1" applyFill="1" applyBorder="1" applyAlignment="1" applyProtection="1">
      <alignment horizontal="center" vertical="center" wrapText="1"/>
      <protection locked="0"/>
    </xf>
    <xf numFmtId="0" fontId="51" fillId="0" borderId="1" xfId="0" applyFont="1" applyBorder="1" applyAlignment="1">
      <alignment horizontal="justify" vertical="center" wrapText="1"/>
    </xf>
    <xf numFmtId="9" fontId="51" fillId="21" borderId="1" xfId="1" applyFont="1" applyFill="1" applyBorder="1" applyAlignment="1" applyProtection="1">
      <alignment horizontal="center" vertical="center" wrapText="1"/>
      <protection locked="0"/>
    </xf>
    <xf numFmtId="9" fontId="45" fillId="0" borderId="1" xfId="1" applyFont="1" applyFill="1" applyBorder="1" applyAlignment="1" applyProtection="1">
      <alignment horizontal="center" vertical="center" wrapText="1"/>
    </xf>
    <xf numFmtId="1" fontId="51" fillId="21" borderId="1" xfId="3" applyNumberFormat="1" applyFont="1" applyFill="1" applyBorder="1" applyAlignment="1" applyProtection="1">
      <alignment horizontal="center" vertical="center" wrapText="1"/>
    </xf>
    <xf numFmtId="1" fontId="51" fillId="21" borderId="1" xfId="3" applyNumberFormat="1" applyFont="1" applyFill="1" applyBorder="1" applyAlignment="1" applyProtection="1">
      <alignment horizontal="center" vertical="center" wrapText="1"/>
      <protection locked="0"/>
    </xf>
    <xf numFmtId="49" fontId="33" fillId="0" borderId="1" xfId="0" applyNumberFormat="1" applyFont="1" applyBorder="1" applyAlignment="1">
      <alignment horizontal="center" vertical="center" wrapText="1"/>
    </xf>
    <xf numFmtId="1" fontId="33" fillId="0" borderId="1" xfId="3" applyNumberFormat="1" applyFont="1" applyFill="1" applyBorder="1" applyAlignment="1" applyProtection="1">
      <alignment horizontal="center" vertical="center" wrapText="1"/>
    </xf>
    <xf numFmtId="1" fontId="33" fillId="0" borderId="1" xfId="3" applyNumberFormat="1" applyFont="1" applyFill="1" applyBorder="1" applyAlignment="1" applyProtection="1">
      <alignment horizontal="center" vertical="center" wrapText="1"/>
      <protection locked="0"/>
    </xf>
    <xf numFmtId="0" fontId="33" fillId="0" borderId="1" xfId="6" applyNumberFormat="1" applyFont="1" applyFill="1" applyBorder="1" applyAlignment="1" applyProtection="1">
      <alignment horizontal="center" vertical="center" wrapText="1"/>
      <protection locked="0"/>
    </xf>
    <xf numFmtId="1" fontId="51" fillId="21" borderId="1" xfId="0" applyNumberFormat="1" applyFont="1" applyFill="1" applyBorder="1" applyAlignment="1">
      <alignment horizontal="center" vertical="center" wrapText="1"/>
    </xf>
    <xf numFmtId="1" fontId="51" fillId="21" borderId="1" xfId="0" applyNumberFormat="1" applyFont="1" applyFill="1" applyBorder="1" applyAlignment="1" applyProtection="1">
      <alignment horizontal="center" vertical="center" wrapText="1"/>
      <protection locked="0"/>
    </xf>
    <xf numFmtId="165" fontId="51" fillId="0" borderId="1" xfId="17" applyNumberFormat="1" applyFont="1" applyFill="1" applyBorder="1" applyAlignment="1" applyProtection="1">
      <alignment horizontal="center" vertical="center" wrapText="1"/>
    </xf>
    <xf numFmtId="10" fontId="45" fillId="0" borderId="1" xfId="1" applyNumberFormat="1" applyFont="1" applyFill="1" applyBorder="1" applyAlignment="1" applyProtection="1">
      <alignment horizontal="center" vertical="center" wrapText="1"/>
    </xf>
    <xf numFmtId="44" fontId="45" fillId="0" borderId="1" xfId="17" applyFont="1" applyFill="1" applyBorder="1" applyAlignment="1" applyProtection="1">
      <alignment horizontal="center" vertical="center" wrapText="1"/>
      <protection locked="0"/>
    </xf>
    <xf numFmtId="0" fontId="33" fillId="4" borderId="1" xfId="0" applyFont="1" applyFill="1" applyBorder="1" applyAlignment="1" applyProtection="1">
      <alignment horizontal="center" vertical="center" wrapText="1"/>
      <protection locked="0"/>
    </xf>
    <xf numFmtId="9" fontId="51" fillId="0" borderId="1" xfId="1" applyFont="1" applyFill="1" applyBorder="1" applyAlignment="1" applyProtection="1">
      <alignment horizontal="center" vertical="center" wrapText="1"/>
    </xf>
    <xf numFmtId="10" fontId="51" fillId="0" borderId="1" xfId="0" applyNumberFormat="1" applyFont="1" applyBorder="1" applyAlignment="1">
      <alignment horizontal="center" vertical="center" wrapText="1"/>
    </xf>
    <xf numFmtId="14" fontId="51" fillId="0" borderId="1" xfId="0" applyNumberFormat="1" applyFont="1" applyBorder="1" applyAlignment="1">
      <alignment horizontal="center" vertical="center" wrapText="1"/>
    </xf>
    <xf numFmtId="14" fontId="51" fillId="0" borderId="1" xfId="0" applyNumberFormat="1" applyFont="1" applyBorder="1" applyAlignment="1" applyProtection="1">
      <alignment horizontal="center" vertical="center" wrapText="1"/>
      <protection locked="0"/>
    </xf>
    <xf numFmtId="9" fontId="45" fillId="0" borderId="1" xfId="1" applyFont="1" applyFill="1" applyBorder="1" applyAlignment="1" applyProtection="1">
      <alignment wrapText="1"/>
    </xf>
    <xf numFmtId="44" fontId="51" fillId="0" borderId="13" xfId="17" applyFont="1" applyFill="1" applyBorder="1" applyAlignment="1" applyProtection="1">
      <alignment horizontal="center" vertical="center" wrapText="1"/>
    </xf>
    <xf numFmtId="0" fontId="38" fillId="21" borderId="1" xfId="0" applyFont="1" applyFill="1" applyBorder="1" applyAlignment="1">
      <alignment horizontal="center" vertical="center"/>
    </xf>
    <xf numFmtId="0" fontId="38" fillId="21" borderId="1" xfId="0" applyFont="1" applyFill="1" applyBorder="1" applyAlignment="1">
      <alignment horizontal="left" vertical="center" wrapText="1"/>
    </xf>
    <xf numFmtId="0" fontId="38" fillId="21" borderId="1" xfId="0" applyFont="1" applyFill="1" applyBorder="1" applyAlignment="1">
      <alignment horizontal="left" vertical="center"/>
    </xf>
    <xf numFmtId="0" fontId="35" fillId="21" borderId="1" xfId="0" applyFont="1" applyFill="1" applyBorder="1" applyAlignment="1">
      <alignment horizontal="left" vertical="center" wrapText="1"/>
    </xf>
    <xf numFmtId="0" fontId="35" fillId="21" borderId="1" xfId="0" applyFont="1" applyFill="1" applyBorder="1" applyAlignment="1">
      <alignment horizontal="left" vertical="center"/>
    </xf>
    <xf numFmtId="0" fontId="37" fillId="21" borderId="1" xfId="0" applyFont="1" applyFill="1" applyBorder="1" applyAlignment="1">
      <alignment horizontal="left" vertical="center" wrapText="1"/>
    </xf>
    <xf numFmtId="0" fontId="37" fillId="21" borderId="1" xfId="0" applyFont="1" applyFill="1" applyBorder="1" applyAlignment="1">
      <alignment horizontal="left" vertical="center"/>
    </xf>
    <xf numFmtId="0" fontId="38" fillId="0" borderId="1" xfId="0" applyFont="1" applyBorder="1" applyAlignment="1">
      <alignment horizontal="left" vertical="center"/>
    </xf>
    <xf numFmtId="0" fontId="38" fillId="0" borderId="1" xfId="0" applyFont="1" applyBorder="1" applyAlignment="1">
      <alignment horizontal="center" vertical="center"/>
    </xf>
    <xf numFmtId="169" fontId="35" fillId="0" borderId="1" xfId="0" applyNumberFormat="1" applyFont="1" applyBorder="1" applyAlignment="1">
      <alignment horizontal="center" vertical="center"/>
    </xf>
    <xf numFmtId="0" fontId="36" fillId="21" borderId="1" xfId="0" applyFont="1" applyFill="1" applyBorder="1" applyAlignment="1">
      <alignment horizontal="left" vertical="center" wrapText="1"/>
    </xf>
    <xf numFmtId="167" fontId="37" fillId="21" borderId="1" xfId="0" applyNumberFormat="1" applyFont="1" applyFill="1" applyBorder="1" applyAlignment="1">
      <alignment horizontal="center" vertical="center"/>
    </xf>
    <xf numFmtId="10" fontId="35" fillId="0" borderId="1" xfId="1" applyNumberFormat="1" applyFont="1" applyFill="1" applyBorder="1" applyAlignment="1" applyProtection="1">
      <alignment horizontal="center" vertical="center"/>
    </xf>
    <xf numFmtId="167" fontId="35" fillId="0" borderId="1" xfId="1" applyNumberFormat="1" applyFont="1" applyFill="1" applyBorder="1" applyAlignment="1" applyProtection="1">
      <alignment horizontal="center" vertical="center"/>
    </xf>
    <xf numFmtId="167" fontId="35" fillId="0" borderId="1" xfId="1" applyNumberFormat="1" applyFont="1" applyBorder="1" applyAlignment="1">
      <alignment horizontal="center" vertical="center"/>
    </xf>
    <xf numFmtId="2" fontId="37" fillId="21" borderId="1" xfId="0" applyNumberFormat="1" applyFont="1" applyFill="1" applyBorder="1" applyAlignment="1">
      <alignment horizontal="center" vertical="center"/>
    </xf>
    <xf numFmtId="2" fontId="35" fillId="21" borderId="1" xfId="1" applyNumberFormat="1" applyFont="1" applyFill="1" applyBorder="1" applyAlignment="1" applyProtection="1">
      <alignment horizontal="center" vertical="center"/>
    </xf>
    <xf numFmtId="1" fontId="35" fillId="21" borderId="1" xfId="0" applyNumberFormat="1" applyFont="1" applyFill="1" applyBorder="1" applyAlignment="1">
      <alignment horizontal="center" vertical="center"/>
    </xf>
    <xf numFmtId="2" fontId="35" fillId="0" borderId="1" xfId="0" applyNumberFormat="1" applyFont="1" applyBorder="1" applyAlignment="1">
      <alignment horizontal="center" vertical="center"/>
    </xf>
    <xf numFmtId="2" fontId="35" fillId="0" borderId="1" xfId="1" applyNumberFormat="1" applyFont="1" applyFill="1" applyBorder="1" applyAlignment="1" applyProtection="1">
      <alignment horizontal="center" vertical="center"/>
    </xf>
    <xf numFmtId="0" fontId="36" fillId="21" borderId="1" xfId="0" applyFont="1" applyFill="1" applyBorder="1" applyAlignment="1">
      <alignment horizontal="center" vertical="center"/>
    </xf>
    <xf numFmtId="6" fontId="35" fillId="0" borderId="1" xfId="17" applyNumberFormat="1" applyFont="1" applyFill="1" applyBorder="1" applyAlignment="1" applyProtection="1">
      <alignment horizontal="center" vertical="center" wrapText="1"/>
      <protection locked="0"/>
    </xf>
    <xf numFmtId="44" fontId="38" fillId="0" borderId="1" xfId="17" applyFont="1" applyFill="1" applyBorder="1" applyAlignment="1" applyProtection="1">
      <alignment horizontal="center" vertical="center" wrapText="1"/>
      <protection locked="0"/>
    </xf>
    <xf numFmtId="0" fontId="0" fillId="0" borderId="0" xfId="0" applyAlignment="1">
      <alignment wrapText="1"/>
    </xf>
    <xf numFmtId="0" fontId="98" fillId="0" borderId="0" xfId="0" applyFont="1" applyAlignment="1">
      <alignment wrapText="1"/>
    </xf>
    <xf numFmtId="10" fontId="21" fillId="18" borderId="13" xfId="0" applyNumberFormat="1" applyFont="1" applyFill="1" applyBorder="1" applyAlignment="1">
      <alignment horizontal="center" vertical="center" wrapText="1"/>
    </xf>
    <xf numFmtId="10" fontId="21" fillId="18" borderId="67" xfId="0" applyNumberFormat="1" applyFont="1" applyFill="1" applyBorder="1" applyAlignment="1">
      <alignment horizontal="center" vertical="center" wrapText="1"/>
    </xf>
    <xf numFmtId="0" fontId="17" fillId="0" borderId="29" xfId="0" applyFont="1" applyBorder="1" applyAlignment="1">
      <alignment vertical="center" wrapText="1"/>
    </xf>
    <xf numFmtId="167" fontId="17" fillId="0" borderId="25" xfId="12" applyNumberFormat="1" applyFont="1" applyBorder="1" applyAlignment="1">
      <alignment horizontal="center" vertical="center"/>
    </xf>
    <xf numFmtId="9" fontId="31" fillId="0" borderId="25" xfId="1" applyFont="1" applyBorder="1" applyAlignment="1">
      <alignment vertical="center"/>
    </xf>
    <xf numFmtId="9" fontId="17" fillId="0" borderId="25" xfId="1" applyFont="1" applyBorder="1" applyAlignment="1">
      <alignment vertical="center"/>
    </xf>
    <xf numFmtId="167" fontId="17" fillId="0" borderId="34" xfId="12" applyNumberFormat="1" applyFont="1" applyBorder="1" applyAlignment="1">
      <alignment horizontal="center" vertical="center"/>
    </xf>
    <xf numFmtId="167" fontId="35" fillId="21" borderId="1" xfId="1" applyNumberFormat="1" applyFont="1" applyFill="1" applyBorder="1" applyAlignment="1" applyProtection="1">
      <alignment horizontal="center" vertical="center" wrapText="1"/>
      <protection locked="0"/>
    </xf>
    <xf numFmtId="44" fontId="39" fillId="0" borderId="10" xfId="17" applyFont="1" applyFill="1" applyBorder="1" applyAlignment="1" applyProtection="1">
      <alignment horizontal="center" vertical="center"/>
    </xf>
    <xf numFmtId="44" fontId="39" fillId="0" borderId="1" xfId="17" applyFont="1" applyFill="1" applyBorder="1" applyAlignment="1" applyProtection="1">
      <alignment horizontal="center" vertical="center"/>
    </xf>
    <xf numFmtId="44" fontId="39" fillId="23" borderId="1" xfId="17" applyFont="1" applyFill="1" applyBorder="1" applyAlignment="1" applyProtection="1">
      <alignment horizontal="center" vertical="center"/>
    </xf>
    <xf numFmtId="0" fontId="39" fillId="23" borderId="23" xfId="0" applyFont="1" applyFill="1" applyBorder="1" applyAlignment="1">
      <alignment horizontal="left" vertical="center"/>
    </xf>
    <xf numFmtId="44" fontId="38" fillId="0" borderId="1" xfId="17" applyFont="1" applyFill="1" applyBorder="1" applyAlignment="1" applyProtection="1">
      <alignment horizontal="center" vertical="center" wrapText="1"/>
    </xf>
    <xf numFmtId="168" fontId="38" fillId="0" borderId="1" xfId="17" applyNumberFormat="1" applyFont="1" applyFill="1" applyBorder="1" applyAlignment="1" applyProtection="1">
      <alignment horizontal="center" vertical="center" wrapText="1"/>
    </xf>
    <xf numFmtId="168" fontId="35" fillId="0" borderId="13" xfId="17" applyNumberFormat="1" applyFont="1" applyFill="1" applyBorder="1" applyAlignment="1" applyProtection="1">
      <alignment horizontal="center" vertical="center"/>
    </xf>
    <xf numFmtId="168" fontId="35" fillId="0" borderId="1" xfId="17" applyNumberFormat="1" applyFont="1" applyFill="1" applyBorder="1" applyAlignment="1" applyProtection="1">
      <alignment horizontal="center" vertical="center"/>
    </xf>
    <xf numFmtId="177" fontId="38" fillId="0" borderId="1" xfId="17" applyNumberFormat="1" applyFont="1" applyFill="1" applyBorder="1" applyAlignment="1" applyProtection="1">
      <alignment horizontal="center" vertical="center" wrapText="1"/>
      <protection locked="0"/>
    </xf>
    <xf numFmtId="177" fontId="35" fillId="0" borderId="1" xfId="17" applyNumberFormat="1" applyFont="1" applyFill="1" applyBorder="1" applyAlignment="1" applyProtection="1">
      <alignment horizontal="center" vertical="center" wrapText="1"/>
    </xf>
    <xf numFmtId="177" fontId="35" fillId="0" borderId="1" xfId="17" applyNumberFormat="1" applyFont="1" applyFill="1" applyBorder="1" applyAlignment="1" applyProtection="1">
      <alignment horizontal="center" vertical="center" wrapText="1"/>
      <protection locked="0"/>
    </xf>
    <xf numFmtId="8" fontId="38" fillId="0" borderId="1" xfId="17" applyNumberFormat="1" applyFont="1" applyFill="1" applyBorder="1" applyAlignment="1" applyProtection="1">
      <alignment horizontal="center" vertical="center" wrapText="1"/>
      <protection locked="0"/>
    </xf>
    <xf numFmtId="177" fontId="35" fillId="0" borderId="1" xfId="17" applyNumberFormat="1" applyFont="1" applyFill="1" applyBorder="1" applyAlignment="1" applyProtection="1">
      <alignment horizontal="center" vertical="center"/>
      <protection locked="0"/>
    </xf>
    <xf numFmtId="170" fontId="33" fillId="21" borderId="1" xfId="8" applyNumberFormat="1" applyFont="1" applyFill="1" applyBorder="1" applyAlignment="1" applyProtection="1">
      <alignment horizontal="center" vertical="center" wrapText="1"/>
    </xf>
    <xf numFmtId="180" fontId="33" fillId="21" borderId="1" xfId="8" applyNumberFormat="1" applyFont="1" applyFill="1" applyBorder="1" applyAlignment="1" applyProtection="1">
      <alignment horizontal="center" vertical="center" wrapText="1"/>
    </xf>
    <xf numFmtId="177" fontId="35" fillId="0" borderId="1" xfId="0" applyNumberFormat="1" applyFont="1" applyBorder="1" applyAlignment="1">
      <alignment horizontal="center" vertical="center" wrapText="1"/>
    </xf>
    <xf numFmtId="173" fontId="38" fillId="0" borderId="1" xfId="17" applyNumberFormat="1" applyFont="1" applyFill="1" applyBorder="1" applyAlignment="1" applyProtection="1">
      <alignment horizontal="center" vertical="center" wrapText="1"/>
      <protection locked="0"/>
    </xf>
    <xf numFmtId="10" fontId="45" fillId="0" borderId="1" xfId="1" applyNumberFormat="1" applyFont="1" applyFill="1" applyBorder="1" applyAlignment="1" applyProtection="1">
      <alignment horizontal="center" vertical="center" wrapText="1"/>
      <protection locked="0"/>
    </xf>
    <xf numFmtId="165" fontId="45" fillId="0" borderId="1" xfId="0" applyNumberFormat="1" applyFont="1" applyBorder="1" applyAlignment="1">
      <alignment wrapText="1"/>
    </xf>
    <xf numFmtId="165" fontId="45" fillId="0" borderId="13" xfId="0" applyNumberFormat="1" applyFont="1" applyBorder="1" applyAlignment="1">
      <alignment wrapText="1"/>
    </xf>
    <xf numFmtId="0" fontId="45" fillId="0" borderId="13" xfId="0" applyFont="1" applyBorder="1" applyAlignment="1">
      <alignment wrapText="1"/>
    </xf>
    <xf numFmtId="0" fontId="59" fillId="23" borderId="1" xfId="0" applyFont="1" applyFill="1" applyBorder="1" applyAlignment="1">
      <alignment horizontal="center" vertical="center" wrapText="1"/>
    </xf>
    <xf numFmtId="9" fontId="54" fillId="21" borderId="10" xfId="1" applyFont="1" applyFill="1" applyBorder="1" applyAlignment="1">
      <alignment horizontal="center" vertical="center" wrapText="1"/>
    </xf>
    <xf numFmtId="9" fontId="37" fillId="21" borderId="1" xfId="1" applyFont="1" applyFill="1" applyBorder="1" applyAlignment="1">
      <alignment horizontal="center" vertical="center" wrapText="1"/>
    </xf>
    <xf numFmtId="9" fontId="54" fillId="21" borderId="1" xfId="1" applyFont="1" applyFill="1" applyBorder="1" applyAlignment="1">
      <alignment horizontal="center" vertical="center" wrapText="1"/>
    </xf>
    <xf numFmtId="2" fontId="51" fillId="21" borderId="1" xfId="8" applyNumberFormat="1" applyFont="1" applyFill="1" applyBorder="1" applyAlignment="1" applyProtection="1">
      <alignment horizontal="center" vertical="center" wrapText="1"/>
      <protection locked="0"/>
    </xf>
    <xf numFmtId="179" fontId="74" fillId="0" borderId="1" xfId="0" applyNumberFormat="1" applyFont="1" applyBorder="1" applyAlignment="1" applyProtection="1">
      <alignment horizontal="right" vertical="center" wrapText="1"/>
      <protection locked="0"/>
    </xf>
    <xf numFmtId="1" fontId="74" fillId="0" borderId="1" xfId="0" applyNumberFormat="1" applyFont="1" applyBorder="1" applyAlignment="1" applyProtection="1">
      <alignment horizontal="center" vertical="center" wrapText="1"/>
      <protection locked="0"/>
    </xf>
    <xf numFmtId="0" fontId="59" fillId="0" borderId="1" xfId="0" applyFont="1" applyBorder="1" applyAlignment="1">
      <alignment horizontal="center" vertical="center" wrapText="1"/>
    </xf>
    <xf numFmtId="0" fontId="59" fillId="0" borderId="1" xfId="0" applyFont="1" applyBorder="1" applyAlignment="1">
      <alignment horizontal="justify" vertical="center" wrapText="1"/>
    </xf>
    <xf numFmtId="1" fontId="59" fillId="0" borderId="1" xfId="0" applyNumberFormat="1"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wrapText="1"/>
    </xf>
    <xf numFmtId="169" fontId="33" fillId="0" borderId="1" xfId="0" applyNumberFormat="1" applyFont="1" applyBorder="1" applyAlignment="1" applyProtection="1">
      <alignment horizontal="center" vertical="center" wrapText="1"/>
      <protection locked="0"/>
    </xf>
    <xf numFmtId="9" fontId="33" fillId="0" borderId="1" xfId="0" applyNumberFormat="1" applyFont="1" applyBorder="1" applyAlignment="1">
      <alignment wrapText="1"/>
    </xf>
    <xf numFmtId="10" fontId="33" fillId="0" borderId="1" xfId="0" applyNumberFormat="1" applyFont="1" applyBorder="1" applyAlignment="1">
      <alignment horizontal="center" vertical="center" wrapText="1"/>
    </xf>
    <xf numFmtId="10" fontId="33" fillId="0" borderId="1" xfId="0" applyNumberFormat="1" applyFont="1" applyBorder="1" applyAlignment="1">
      <alignment wrapText="1"/>
    </xf>
    <xf numFmtId="0" fontId="81" fillId="0" borderId="1" xfId="0" applyFont="1" applyBorder="1" applyAlignment="1">
      <alignment horizontal="justify" vertical="center" wrapText="1"/>
    </xf>
    <xf numFmtId="0" fontId="82" fillId="0" borderId="1" xfId="0" applyFont="1" applyBorder="1" applyAlignment="1">
      <alignment horizontal="center" vertical="center" wrapText="1"/>
    </xf>
    <xf numFmtId="0" fontId="33" fillId="0" borderId="1" xfId="0" applyFont="1" applyBorder="1" applyAlignment="1">
      <alignment vertical="center" wrapText="1"/>
    </xf>
    <xf numFmtId="9" fontId="33" fillId="0" borderId="1" xfId="0" applyNumberFormat="1" applyFont="1" applyBorder="1" applyAlignment="1">
      <alignment horizontal="center" vertical="center"/>
    </xf>
    <xf numFmtId="10" fontId="33" fillId="0" borderId="1" xfId="0" applyNumberFormat="1" applyFont="1" applyBorder="1"/>
    <xf numFmtId="10" fontId="33" fillId="0" borderId="1" xfId="0" applyNumberFormat="1" applyFont="1" applyBorder="1" applyAlignment="1">
      <alignment horizontal="center" vertical="center"/>
    </xf>
    <xf numFmtId="0" fontId="59" fillId="0" borderId="1" xfId="0" applyFont="1" applyBorder="1" applyAlignment="1" applyProtection="1">
      <alignment horizontal="center" vertical="center" wrapText="1"/>
      <protection locked="0"/>
    </xf>
    <xf numFmtId="1" fontId="33" fillId="0" borderId="1" xfId="0" applyNumberFormat="1" applyFont="1" applyBorder="1" applyAlignment="1">
      <alignment horizontal="center" vertical="center"/>
    </xf>
    <xf numFmtId="0" fontId="33" fillId="0" borderId="1" xfId="0" applyFont="1" applyBorder="1" applyAlignment="1">
      <alignment horizontal="justify" vertical="center"/>
    </xf>
    <xf numFmtId="1" fontId="59" fillId="0" borderId="1" xfId="0" applyNumberFormat="1" applyFont="1" applyBorder="1" applyAlignment="1" applyProtection="1">
      <alignment horizontal="center" vertical="center" wrapText="1"/>
      <protection locked="0"/>
    </xf>
    <xf numFmtId="2" fontId="33" fillId="0" borderId="1" xfId="0" applyNumberFormat="1" applyFont="1" applyBorder="1" applyAlignment="1">
      <alignment horizontal="center" vertical="center" wrapText="1"/>
    </xf>
    <xf numFmtId="14" fontId="35" fillId="0" borderId="1" xfId="0" applyNumberFormat="1" applyFont="1" applyBorder="1" applyAlignment="1" applyProtection="1">
      <alignment horizontal="center" vertical="center" wrapText="1"/>
      <protection locked="0"/>
    </xf>
    <xf numFmtId="0" fontId="35" fillId="0" borderId="1" xfId="4"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9" fontId="39" fillId="0" borderId="1" xfId="0" applyNumberFormat="1" applyFont="1" applyBorder="1" applyAlignment="1" applyProtection="1">
      <alignment horizontal="center" vertical="center" wrapText="1"/>
      <protection locked="0"/>
    </xf>
    <xf numFmtId="1" fontId="35" fillId="0" borderId="1" xfId="0" applyNumberFormat="1"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14" fontId="35" fillId="0" borderId="1" xfId="0" applyNumberFormat="1" applyFont="1" applyBorder="1" applyAlignment="1" applyProtection="1">
      <alignment horizontal="center" vertical="center"/>
      <protection locked="0"/>
    </xf>
    <xf numFmtId="0" fontId="35" fillId="0" borderId="1" xfId="0" applyFont="1" applyBorder="1" applyAlignment="1">
      <alignment horizontal="left" vertical="top" wrapText="1"/>
    </xf>
    <xf numFmtId="6" fontId="35" fillId="0" borderId="1" xfId="0" applyNumberFormat="1" applyFont="1" applyBorder="1" applyAlignment="1">
      <alignment horizontal="center" vertical="center" wrapText="1"/>
    </xf>
    <xf numFmtId="2" fontId="35" fillId="0" borderId="1" xfId="0" applyNumberFormat="1" applyFont="1" applyBorder="1" applyAlignment="1">
      <alignment horizontal="center" vertical="center" wrapText="1"/>
    </xf>
    <xf numFmtId="0" fontId="35" fillId="0" borderId="1" xfId="0" applyFont="1" applyBorder="1" applyAlignment="1">
      <alignment horizontal="justify" vertical="center" wrapText="1"/>
    </xf>
    <xf numFmtId="0" fontId="35" fillId="0" borderId="1" xfId="0" applyFont="1" applyBorder="1" applyAlignment="1">
      <alignment vertical="center" wrapText="1"/>
    </xf>
    <xf numFmtId="3" fontId="35" fillId="0" borderId="1" xfId="0" applyNumberFormat="1" applyFont="1" applyBorder="1" applyAlignment="1">
      <alignment horizontal="center" vertical="center"/>
    </xf>
    <xf numFmtId="3" fontId="35" fillId="0" borderId="1" xfId="0" applyNumberFormat="1"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0" fontId="41" fillId="0" borderId="1" xfId="0" applyFont="1" applyBorder="1" applyAlignment="1">
      <alignment horizontal="center" vertical="center" wrapText="1"/>
    </xf>
    <xf numFmtId="14" fontId="38" fillId="0" borderId="1" xfId="0" applyNumberFormat="1" applyFont="1" applyBorder="1" applyAlignment="1">
      <alignment horizontal="center" vertical="center" wrapText="1"/>
    </xf>
    <xf numFmtId="14" fontId="41" fillId="0" borderId="1" xfId="0" applyNumberFormat="1" applyFont="1" applyBorder="1" applyAlignment="1">
      <alignment horizontal="center" vertical="center" wrapText="1"/>
    </xf>
    <xf numFmtId="14" fontId="43" fillId="0" borderId="1" xfId="0" applyNumberFormat="1" applyFont="1" applyBorder="1" applyAlignment="1" applyProtection="1">
      <alignment horizontal="center" vertical="center" wrapText="1"/>
      <protection locked="0"/>
    </xf>
    <xf numFmtId="1" fontId="43" fillId="0" borderId="1" xfId="1" applyNumberFormat="1" applyFont="1" applyFill="1" applyBorder="1" applyAlignment="1" applyProtection="1">
      <alignment horizontal="center" vertical="center" wrapText="1"/>
      <protection locked="0"/>
    </xf>
    <xf numFmtId="1" fontId="39" fillId="0" borderId="10" xfId="0" applyNumberFormat="1" applyFont="1" applyBorder="1" applyAlignment="1">
      <alignment horizontal="center" vertical="center"/>
    </xf>
    <xf numFmtId="1" fontId="43" fillId="0" borderId="1" xfId="0" applyNumberFormat="1" applyFont="1" applyBorder="1" applyAlignment="1" applyProtection="1">
      <alignment horizontal="center" vertical="center" wrapText="1"/>
      <protection locked="0"/>
    </xf>
    <xf numFmtId="1" fontId="39" fillId="0" borderId="1" xfId="0" applyNumberFormat="1"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69" fillId="0" borderId="1" xfId="0" applyFont="1" applyBorder="1" applyAlignment="1" applyProtection="1">
      <alignment horizontal="center" vertical="center"/>
      <protection locked="0"/>
    </xf>
    <xf numFmtId="14" fontId="38" fillId="0" borderId="1" xfId="0" applyNumberFormat="1" applyFont="1" applyBorder="1" applyAlignment="1" applyProtection="1">
      <alignment horizontal="center" vertical="center" wrapText="1"/>
      <protection locked="0"/>
    </xf>
    <xf numFmtId="9" fontId="38" fillId="0" borderId="1" xfId="0" applyNumberFormat="1" applyFont="1" applyBorder="1" applyAlignment="1" applyProtection="1">
      <alignment horizontal="center" vertical="center" wrapText="1"/>
      <protection locked="0"/>
    </xf>
    <xf numFmtId="0" fontId="37" fillId="0" borderId="1" xfId="0" applyFont="1" applyBorder="1" applyAlignment="1">
      <alignment horizontal="center" vertical="center" wrapText="1"/>
    </xf>
    <xf numFmtId="14" fontId="37" fillId="0" borderId="1" xfId="0" applyNumberFormat="1" applyFont="1" applyBorder="1" applyAlignment="1">
      <alignment horizontal="center" vertical="center" wrapText="1"/>
    </xf>
    <xf numFmtId="0" fontId="39" fillId="0" borderId="1" xfId="0" applyFont="1" applyBorder="1" applyAlignment="1">
      <alignment horizontal="left" vertical="center" wrapText="1"/>
    </xf>
    <xf numFmtId="0" fontId="35" fillId="0" borderId="1" xfId="0" applyFont="1" applyBorder="1" applyAlignment="1" applyProtection="1">
      <alignment horizontal="justify" vertical="center" wrapText="1"/>
      <protection locked="0"/>
    </xf>
    <xf numFmtId="0" fontId="38" fillId="0" borderId="1" xfId="0" applyFont="1" applyBorder="1" applyAlignment="1" applyProtection="1">
      <alignment horizontal="justify" vertical="center" wrapText="1"/>
      <protection locked="0"/>
    </xf>
    <xf numFmtId="14" fontId="35" fillId="0" borderId="10" xfId="0" applyNumberFormat="1" applyFont="1" applyBorder="1" applyAlignment="1" applyProtection="1">
      <alignment horizontal="center" vertical="center" wrapText="1"/>
      <protection locked="0"/>
    </xf>
    <xf numFmtId="168" fontId="43" fillId="0" borderId="1" xfId="0" applyNumberFormat="1" applyFont="1" applyBorder="1" applyAlignment="1" applyProtection="1">
      <alignment horizontal="center" vertical="center" wrapText="1"/>
      <protection locked="0"/>
    </xf>
    <xf numFmtId="0" fontId="39" fillId="0" borderId="1" xfId="0" applyFont="1" applyBorder="1" applyAlignment="1">
      <alignment horizontal="left" vertical="center"/>
    </xf>
    <xf numFmtId="182" fontId="17" fillId="0" borderId="25" xfId="19" applyNumberFormat="1" applyFont="1" applyFill="1" applyBorder="1" applyAlignment="1">
      <alignment vertical="center"/>
    </xf>
    <xf numFmtId="9" fontId="17" fillId="0" borderId="26" xfId="1" applyFont="1" applyFill="1" applyBorder="1" applyAlignment="1">
      <alignment vertical="center"/>
    </xf>
    <xf numFmtId="9" fontId="17" fillId="0" borderId="23" xfId="1" applyFont="1" applyFill="1" applyBorder="1" applyAlignment="1">
      <alignment vertical="center"/>
    </xf>
    <xf numFmtId="182" fontId="17" fillId="0" borderId="23" xfId="1" applyNumberFormat="1" applyFont="1" applyFill="1" applyBorder="1" applyAlignment="1">
      <alignment vertical="center"/>
    </xf>
    <xf numFmtId="0" fontId="17" fillId="0" borderId="38" xfId="0" applyFont="1" applyBorder="1" applyAlignment="1">
      <alignment vertical="center"/>
    </xf>
    <xf numFmtId="182" fontId="17" fillId="0" borderId="1" xfId="19" applyNumberFormat="1" applyFont="1" applyFill="1" applyBorder="1" applyAlignment="1">
      <alignment vertical="center"/>
    </xf>
    <xf numFmtId="182" fontId="17" fillId="0" borderId="34" xfId="19" applyNumberFormat="1" applyFont="1" applyFill="1" applyBorder="1" applyAlignment="1">
      <alignment vertical="center"/>
    </xf>
    <xf numFmtId="0" fontId="38" fillId="0" borderId="1" xfId="7" applyFont="1" applyBorder="1" applyAlignment="1" applyProtection="1">
      <alignment horizontal="center" vertical="center" wrapText="1"/>
      <protection locked="0"/>
    </xf>
    <xf numFmtId="0" fontId="68" fillId="0" borderId="10" xfId="0" applyFont="1" applyBorder="1" applyAlignment="1" applyProtection="1">
      <alignment horizontal="left" vertical="center" wrapText="1"/>
      <protection locked="0"/>
    </xf>
    <xf numFmtId="1" fontId="38" fillId="0" borderId="1" xfId="0" applyNumberFormat="1" applyFont="1" applyBorder="1" applyAlignment="1" applyProtection="1">
      <alignment horizontal="center" vertical="center" wrapText="1"/>
      <protection locked="0"/>
    </xf>
    <xf numFmtId="0" fontId="41"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1" fontId="38" fillId="0" borderId="1" xfId="0" applyNumberFormat="1" applyFont="1" applyBorder="1" applyAlignment="1">
      <alignment horizontal="center" vertical="center" wrapText="1"/>
    </xf>
    <xf numFmtId="0" fontId="0" fillId="0" borderId="1" xfId="0" applyBorder="1" applyAlignment="1" applyProtection="1">
      <alignment horizontal="center" vertical="center" wrapText="1"/>
      <protection locked="0"/>
    </xf>
    <xf numFmtId="10" fontId="39" fillId="0" borderId="1" xfId="0" applyNumberFormat="1" applyFont="1" applyBorder="1" applyAlignment="1">
      <alignment horizontal="center" vertical="center" wrapText="1"/>
    </xf>
    <xf numFmtId="165" fontId="39" fillId="0" borderId="1" xfId="0" applyNumberFormat="1" applyFont="1" applyBorder="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5" fillId="0" borderId="10" xfId="0" applyFont="1" applyBorder="1" applyAlignment="1" applyProtection="1">
      <alignment horizontal="justify" vertical="center" wrapText="1"/>
      <protection locked="0"/>
    </xf>
    <xf numFmtId="0" fontId="39" fillId="0" borderId="1" xfId="0" applyFont="1" applyBorder="1" applyAlignment="1" applyProtection="1">
      <alignment horizontal="left" vertical="center" wrapText="1"/>
      <protection locked="0"/>
    </xf>
    <xf numFmtId="0" fontId="39" fillId="0" borderId="1" xfId="0" applyFont="1" applyBorder="1" applyAlignment="1" applyProtection="1">
      <alignment horizontal="center" vertical="center"/>
      <protection locked="0"/>
    </xf>
    <xf numFmtId="0" fontId="69" fillId="0" borderId="1" xfId="0" applyFont="1" applyBorder="1" applyAlignment="1" applyProtection="1">
      <alignment horizontal="left" vertical="center" wrapText="1"/>
      <protection locked="0"/>
    </xf>
    <xf numFmtId="10" fontId="69" fillId="0" borderId="1" xfId="0" applyNumberFormat="1" applyFont="1" applyBorder="1" applyAlignment="1" applyProtection="1">
      <alignment horizontal="center" vertical="center"/>
      <protection locked="0"/>
    </xf>
    <xf numFmtId="0" fontId="69" fillId="0" borderId="1" xfId="0" applyFont="1" applyBorder="1" applyAlignment="1" applyProtection="1">
      <alignment horizontal="center" vertical="center" wrapText="1"/>
      <protection locked="0"/>
    </xf>
    <xf numFmtId="0" fontId="89" fillId="0" borderId="1" xfId="0" applyFont="1" applyBorder="1" applyAlignment="1" applyProtection="1">
      <alignment horizontal="left" vertical="center" wrapText="1"/>
      <protection locked="0"/>
    </xf>
    <xf numFmtId="6" fontId="41" fillId="0" borderId="1" xfId="0" applyNumberFormat="1" applyFont="1" applyBorder="1" applyAlignment="1" applyProtection="1">
      <alignment horizontal="center" vertical="center" wrapText="1"/>
      <protection locked="0"/>
    </xf>
    <xf numFmtId="9" fontId="41" fillId="0" borderId="1" xfId="1" applyFont="1" applyFill="1" applyBorder="1" applyAlignment="1" applyProtection="1">
      <alignment horizontal="center" vertical="center" wrapText="1"/>
      <protection locked="0"/>
    </xf>
    <xf numFmtId="10" fontId="39" fillId="0" borderId="1" xfId="0" applyNumberFormat="1"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9" fontId="41" fillId="0" borderId="1" xfId="0" applyNumberFormat="1" applyFont="1" applyBorder="1" applyAlignment="1" applyProtection="1">
      <alignment horizontal="center" vertical="center" wrapText="1"/>
      <protection locked="0"/>
    </xf>
    <xf numFmtId="9" fontId="69" fillId="0" borderId="1" xfId="0" applyNumberFormat="1" applyFont="1" applyBorder="1" applyAlignment="1" applyProtection="1">
      <alignment horizontal="center" vertical="center" wrapText="1"/>
      <protection locked="0"/>
    </xf>
    <xf numFmtId="0" fontId="92" fillId="0" borderId="1" xfId="0" applyFont="1" applyBorder="1" applyAlignment="1" applyProtection="1">
      <alignment horizontal="left" vertical="center" readingOrder="1"/>
      <protection locked="0"/>
    </xf>
    <xf numFmtId="0" fontId="39" fillId="0" borderId="1" xfId="0" applyFont="1" applyBorder="1" applyAlignment="1" applyProtection="1">
      <alignment horizontal="left" vertical="center"/>
      <protection locked="0"/>
    </xf>
    <xf numFmtId="2" fontId="39" fillId="0" borderId="1" xfId="0" applyNumberFormat="1" applyFont="1" applyBorder="1" applyAlignment="1" applyProtection="1">
      <alignment horizontal="center" vertical="center" wrapText="1"/>
      <protection locked="0"/>
    </xf>
    <xf numFmtId="168" fontId="43" fillId="0" borderId="1" xfId="0" applyNumberFormat="1" applyFont="1" applyBorder="1" applyAlignment="1" applyProtection="1">
      <alignment horizontal="center" vertical="center"/>
      <protection locked="0"/>
    </xf>
    <xf numFmtId="0" fontId="80" fillId="0" borderId="1" xfId="0" applyFont="1" applyBorder="1" applyAlignment="1" applyProtection="1">
      <alignment horizontal="justify" vertical="center" wrapText="1"/>
      <protection locked="0"/>
    </xf>
    <xf numFmtId="9" fontId="35" fillId="0" borderId="1" xfId="0" applyNumberFormat="1" applyFont="1" applyBorder="1" applyAlignment="1" applyProtection="1">
      <alignment horizontal="center" vertical="center"/>
      <protection locked="0"/>
    </xf>
    <xf numFmtId="0" fontId="38" fillId="0" borderId="1" xfId="0" applyFont="1" applyBorder="1" applyAlignment="1" applyProtection="1">
      <alignment horizontal="left" vertical="center" wrapText="1"/>
      <protection locked="0"/>
    </xf>
    <xf numFmtId="0" fontId="0" fillId="0" borderId="1" xfId="0" applyBorder="1" applyAlignment="1" applyProtection="1">
      <alignment horizontal="center" vertical="center"/>
      <protection locked="0"/>
    </xf>
    <xf numFmtId="9" fontId="38" fillId="0" borderId="1" xfId="0" applyNumberFormat="1" applyFont="1" applyBorder="1" applyAlignment="1" applyProtection="1">
      <alignment horizontal="center" vertical="center"/>
      <protection locked="0"/>
    </xf>
    <xf numFmtId="9" fontId="72" fillId="0" borderId="1" xfId="0" applyNumberFormat="1" applyFont="1" applyBorder="1" applyAlignment="1" applyProtection="1">
      <alignment horizontal="center" vertical="center"/>
      <protection locked="0"/>
    </xf>
    <xf numFmtId="0" fontId="72" fillId="0" borderId="1" xfId="0" applyFont="1" applyBorder="1" applyAlignment="1" applyProtection="1">
      <alignment horizontal="left" vertical="center" wrapText="1"/>
      <protection locked="0"/>
    </xf>
    <xf numFmtId="0" fontId="72" fillId="0" borderId="1" xfId="0" applyFont="1" applyBorder="1" applyAlignment="1" applyProtection="1">
      <alignment horizontal="center" vertical="center" wrapText="1"/>
      <protection locked="0"/>
    </xf>
    <xf numFmtId="13" fontId="39" fillId="0" borderId="1" xfId="0" applyNumberFormat="1" applyFont="1" applyBorder="1" applyAlignment="1" applyProtection="1">
      <alignment horizontal="center" vertical="center" wrapText="1"/>
      <protection locked="0"/>
    </xf>
    <xf numFmtId="0" fontId="38" fillId="0" borderId="1" xfId="0" applyFont="1" applyBorder="1" applyAlignment="1" applyProtection="1">
      <alignment horizontal="center" vertical="center"/>
      <protection locked="0"/>
    </xf>
    <xf numFmtId="0" fontId="75" fillId="0" borderId="1" xfId="0" applyFont="1" applyBorder="1" applyAlignment="1" applyProtection="1">
      <alignment horizontal="center" vertical="center"/>
      <protection locked="0"/>
    </xf>
    <xf numFmtId="1" fontId="75" fillId="0" borderId="1" xfId="0" applyNumberFormat="1" applyFont="1" applyBorder="1" applyAlignment="1" applyProtection="1">
      <alignment horizontal="center" vertical="center" wrapText="1"/>
      <protection locked="0"/>
    </xf>
    <xf numFmtId="0" fontId="45" fillId="0" borderId="1" xfId="0" applyFont="1" applyBorder="1" applyAlignment="1">
      <alignment horizontal="justify" vertical="center" wrapText="1"/>
    </xf>
    <xf numFmtId="0" fontId="45" fillId="0" borderId="1" xfId="0" applyFont="1" applyBorder="1" applyAlignment="1" applyProtection="1">
      <alignment horizontal="justify" vertical="center" wrapText="1"/>
      <protection locked="0"/>
    </xf>
    <xf numFmtId="10" fontId="45" fillId="0" borderId="1" xfId="0" applyNumberFormat="1" applyFont="1" applyBorder="1" applyAlignment="1" applyProtection="1">
      <alignment horizontal="center" vertical="center" wrapText="1"/>
      <protection locked="0"/>
    </xf>
    <xf numFmtId="0" fontId="33" fillId="0" borderId="1" xfId="0" applyFont="1" applyBorder="1" applyAlignment="1" applyProtection="1">
      <alignment horizontal="justify" vertical="center" wrapText="1"/>
      <protection locked="0"/>
    </xf>
    <xf numFmtId="0" fontId="59" fillId="0" borderId="1" xfId="0" applyFont="1" applyBorder="1" applyAlignment="1" applyProtection="1">
      <alignment horizontal="justify" vertical="center" wrapText="1"/>
      <protection locked="0"/>
    </xf>
    <xf numFmtId="9" fontId="59" fillId="0" borderId="1" xfId="0" applyNumberFormat="1" applyFont="1" applyBorder="1" applyAlignment="1" applyProtection="1">
      <alignment horizontal="center" vertical="center" wrapText="1"/>
      <protection locked="0"/>
    </xf>
    <xf numFmtId="168" fontId="33" fillId="0" borderId="1" xfId="17" applyNumberFormat="1" applyFont="1" applyFill="1" applyBorder="1" applyAlignment="1" applyProtection="1">
      <alignment vertical="center"/>
      <protection locked="0"/>
    </xf>
    <xf numFmtId="0" fontId="45" fillId="0" borderId="1" xfId="0" applyFont="1" applyBorder="1" applyAlignment="1" applyProtection="1">
      <alignment horizontal="center" vertical="center" wrapText="1"/>
      <protection locked="0"/>
    </xf>
    <xf numFmtId="9" fontId="45" fillId="0" borderId="13" xfId="0" applyNumberFormat="1" applyFont="1" applyBorder="1" applyAlignment="1" applyProtection="1">
      <alignment horizontal="center" vertical="center" wrapText="1"/>
      <protection locked="0"/>
    </xf>
    <xf numFmtId="9" fontId="45" fillId="0" borderId="1" xfId="0" applyNumberFormat="1" applyFont="1" applyBorder="1" applyAlignment="1" applyProtection="1">
      <alignment horizontal="center" vertical="center" wrapText="1"/>
      <protection locked="0"/>
    </xf>
    <xf numFmtId="0" fontId="45" fillId="0" borderId="1" xfId="0" applyFont="1" applyBorder="1" applyAlignment="1" applyProtection="1">
      <alignment wrapText="1"/>
      <protection locked="0"/>
    </xf>
    <xf numFmtId="0" fontId="0" fillId="0" borderId="1" xfId="0" applyBorder="1" applyProtection="1">
      <protection locked="0"/>
    </xf>
    <xf numFmtId="0" fontId="0" fillId="0" borderId="1" xfId="0" applyBorder="1" applyAlignment="1">
      <alignment horizontal="left" vertical="center"/>
    </xf>
    <xf numFmtId="0" fontId="100" fillId="0" borderId="1" xfId="0" applyFont="1" applyBorder="1" applyAlignment="1" applyProtection="1">
      <alignment horizontal="justify" vertical="center" wrapText="1"/>
      <protection locked="0"/>
    </xf>
    <xf numFmtId="0" fontId="33" fillId="0" borderId="10" xfId="0" applyFont="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34" fillId="0" borderId="1" xfId="15" applyFill="1" applyBorder="1" applyAlignment="1" applyProtection="1">
      <alignment horizontal="left" vertical="center" wrapText="1"/>
    </xf>
    <xf numFmtId="0" fontId="41" fillId="0" borderId="1" xfId="0" applyFont="1" applyBorder="1" applyAlignment="1">
      <alignment horizontal="left" vertical="center" wrapText="1"/>
    </xf>
    <xf numFmtId="0" fontId="35" fillId="0" borderId="10" xfId="0" applyFont="1" applyBorder="1" applyAlignment="1">
      <alignment horizontal="left" vertical="center" wrapText="1"/>
    </xf>
    <xf numFmtId="0" fontId="35" fillId="0" borderId="10" xfId="0" applyFont="1" applyBorder="1" applyAlignment="1">
      <alignment horizontal="center" vertical="center" wrapText="1"/>
    </xf>
    <xf numFmtId="9" fontId="39" fillId="0" borderId="10" xfId="1" applyFont="1" applyFill="1" applyBorder="1" applyAlignment="1" applyProtection="1">
      <alignment horizontal="center" vertical="center" wrapText="1"/>
    </xf>
    <xf numFmtId="9" fontId="41" fillId="0" borderId="1" xfId="0" applyNumberFormat="1" applyFont="1" applyBorder="1" applyAlignment="1">
      <alignment horizontal="center" vertical="center" wrapText="1"/>
    </xf>
    <xf numFmtId="1" fontId="35" fillId="0" borderId="1" xfId="0" applyNumberFormat="1" applyFont="1" applyBorder="1" applyAlignment="1">
      <alignment horizontal="left" vertical="center" wrapText="1"/>
    </xf>
    <xf numFmtId="9" fontId="35" fillId="0" borderId="10" xfId="0" applyNumberFormat="1" applyFont="1" applyBorder="1" applyAlignment="1">
      <alignment horizontal="center" vertical="center" wrapText="1"/>
    </xf>
    <xf numFmtId="0" fontId="44" fillId="0" borderId="1" xfId="0" applyFont="1" applyBorder="1" applyAlignment="1">
      <alignment horizontal="center" vertical="center" wrapText="1"/>
    </xf>
    <xf numFmtId="14" fontId="35" fillId="0" borderId="13" xfId="0" applyNumberFormat="1" applyFont="1" applyBorder="1" applyAlignment="1">
      <alignment horizontal="center" vertical="center"/>
    </xf>
    <xf numFmtId="0" fontId="45" fillId="0" borderId="1" xfId="0" applyFont="1" applyBorder="1" applyAlignment="1">
      <alignment horizontal="left" vertical="center" wrapText="1"/>
    </xf>
    <xf numFmtId="9" fontId="35" fillId="0" borderId="1" xfId="0" applyNumberFormat="1" applyFont="1" applyBorder="1" applyAlignment="1">
      <alignment horizontal="justify" vertical="center" wrapText="1"/>
    </xf>
    <xf numFmtId="171" fontId="35" fillId="0" borderId="1" xfId="0" applyNumberFormat="1" applyFont="1" applyBorder="1" applyAlignment="1" applyProtection="1">
      <alignment horizontal="center" vertical="center" wrapText="1"/>
      <protection locked="0"/>
    </xf>
    <xf numFmtId="9" fontId="39" fillId="0" borderId="1" xfId="0" applyNumberFormat="1" applyFont="1" applyBorder="1" applyAlignment="1">
      <alignment horizontal="left" vertical="center" wrapText="1"/>
    </xf>
    <xf numFmtId="0" fontId="52" fillId="0" borderId="1" xfId="0" applyFont="1" applyBorder="1" applyAlignment="1">
      <alignment horizontal="left" vertical="center" wrapText="1"/>
    </xf>
    <xf numFmtId="9" fontId="49" fillId="0" borderId="1" xfId="0" applyNumberFormat="1" applyFont="1" applyBorder="1" applyAlignment="1">
      <alignment horizontal="center" vertical="center"/>
    </xf>
    <xf numFmtId="0" fontId="39" fillId="0" borderId="1" xfId="0" applyFont="1" applyBorder="1" applyAlignment="1">
      <alignment wrapText="1"/>
    </xf>
    <xf numFmtId="0" fontId="47" fillId="0" borderId="1" xfId="0" applyFont="1" applyBorder="1" applyAlignment="1">
      <alignment horizontal="left" vertical="center" wrapText="1"/>
    </xf>
    <xf numFmtId="0" fontId="39" fillId="0" borderId="1" xfId="0" applyFont="1" applyBorder="1" applyAlignment="1" applyProtection="1">
      <alignment vertical="center" wrapText="1"/>
      <protection locked="0"/>
    </xf>
    <xf numFmtId="0" fontId="48" fillId="0" borderId="1" xfId="0" applyFont="1" applyBorder="1" applyAlignment="1">
      <alignment vertical="center" wrapText="1"/>
    </xf>
    <xf numFmtId="9" fontId="43" fillId="0" borderId="1" xfId="0" applyNumberFormat="1" applyFont="1" applyBorder="1" applyAlignment="1" applyProtection="1">
      <alignment horizontal="center" vertical="center" wrapText="1"/>
      <protection locked="0"/>
    </xf>
    <xf numFmtId="0" fontId="39" fillId="0" borderId="1" xfId="0" applyFont="1" applyBorder="1"/>
    <xf numFmtId="0" fontId="52" fillId="0" borderId="1" xfId="0" applyFont="1" applyBorder="1" applyAlignment="1">
      <alignment horizontal="center" vertical="center" wrapText="1"/>
    </xf>
    <xf numFmtId="0" fontId="52" fillId="0" borderId="1" xfId="0" applyFont="1" applyBorder="1" applyAlignment="1">
      <alignment horizontal="center" vertical="center"/>
    </xf>
    <xf numFmtId="2" fontId="52" fillId="0" borderId="1" xfId="0" applyNumberFormat="1" applyFont="1" applyBorder="1" applyAlignment="1">
      <alignment horizontal="center" vertical="center" wrapText="1"/>
    </xf>
    <xf numFmtId="9" fontId="43" fillId="0" borderId="1" xfId="0" applyNumberFormat="1" applyFont="1" applyBorder="1" applyAlignment="1">
      <alignment horizontal="center" vertical="center" wrapText="1"/>
    </xf>
    <xf numFmtId="0" fontId="39" fillId="0" borderId="10" xfId="0" applyFont="1" applyBorder="1" applyAlignment="1">
      <alignment horizontal="center" vertical="center" wrapText="1"/>
    </xf>
    <xf numFmtId="0" fontId="39" fillId="0" borderId="10" xfId="0" applyFont="1" applyBorder="1" applyAlignment="1">
      <alignment horizontal="left" vertical="center" wrapText="1"/>
    </xf>
    <xf numFmtId="0" fontId="43" fillId="0" borderId="10" xfId="0" applyFont="1" applyBorder="1" applyAlignment="1">
      <alignment horizontal="left" vertical="center" wrapText="1"/>
    </xf>
    <xf numFmtId="0" fontId="39" fillId="0" borderId="10" xfId="0" applyFont="1" applyBorder="1" applyAlignment="1">
      <alignment horizontal="center" vertical="center"/>
    </xf>
    <xf numFmtId="0" fontId="39" fillId="0" borderId="48" xfId="0" applyFont="1" applyBorder="1" applyAlignment="1">
      <alignment horizontal="left" vertical="center" wrapText="1"/>
    </xf>
    <xf numFmtId="0" fontId="43" fillId="0" borderId="1" xfId="0" applyFont="1" applyBorder="1" applyAlignment="1">
      <alignment horizontal="left" vertical="center" wrapText="1"/>
    </xf>
    <xf numFmtId="0" fontId="39" fillId="0" borderId="23" xfId="0" applyFont="1" applyBorder="1" applyAlignment="1">
      <alignment horizontal="left" vertical="center" wrapText="1"/>
    </xf>
    <xf numFmtId="165" fontId="35" fillId="0" borderId="1" xfId="0" applyNumberFormat="1" applyFont="1" applyBorder="1" applyAlignment="1" applyProtection="1">
      <alignment horizontal="center" vertical="center" wrapText="1"/>
      <protection locked="0"/>
    </xf>
    <xf numFmtId="0" fontId="66" fillId="0" borderId="1" xfId="0" applyFont="1" applyBorder="1" applyAlignment="1" applyProtection="1">
      <alignment horizontal="left" vertical="center" wrapText="1"/>
      <protection locked="0"/>
    </xf>
    <xf numFmtId="175" fontId="69" fillId="0" borderId="1" xfId="0" applyNumberFormat="1" applyFont="1" applyBorder="1" applyAlignment="1" applyProtection="1">
      <alignment horizontal="center" vertical="center" wrapText="1"/>
      <protection locked="0"/>
    </xf>
    <xf numFmtId="0" fontId="39" fillId="0" borderId="1" xfId="0" applyFont="1" applyBorder="1" applyAlignment="1">
      <alignment horizontal="justify" vertical="center" wrapText="1"/>
    </xf>
    <xf numFmtId="0" fontId="59" fillId="0" borderId="1" xfId="0" applyFont="1" applyBorder="1" applyAlignment="1">
      <alignment horizontal="left" vertical="center" wrapText="1"/>
    </xf>
    <xf numFmtId="1" fontId="59" fillId="0" borderId="1" xfId="0" applyNumberFormat="1" applyFont="1" applyBorder="1" applyAlignment="1">
      <alignment horizontal="left" vertical="center" wrapText="1"/>
    </xf>
    <xf numFmtId="1" fontId="80" fillId="0" borderId="1" xfId="0" applyNumberFormat="1" applyFont="1" applyBorder="1" applyAlignment="1">
      <alignment horizontal="left" vertical="center" wrapText="1"/>
    </xf>
    <xf numFmtId="44" fontId="48" fillId="0" borderId="56" xfId="0" applyNumberFormat="1" applyFont="1" applyBorder="1" applyAlignment="1" applyProtection="1">
      <alignment horizontal="right" vertical="center" wrapText="1"/>
      <protection locked="0"/>
    </xf>
    <xf numFmtId="0" fontId="43" fillId="0" borderId="1" xfId="0" applyFont="1" applyBorder="1" applyAlignment="1" applyProtection="1">
      <alignment horizontal="justify" vertical="center" wrapText="1"/>
      <protection locked="0"/>
    </xf>
    <xf numFmtId="0" fontId="39" fillId="0" borderId="1" xfId="0" applyFont="1" applyBorder="1" applyAlignment="1" applyProtection="1">
      <alignment horizontal="left" vertical="top" wrapText="1"/>
      <protection locked="0"/>
    </xf>
    <xf numFmtId="0" fontId="70" fillId="0" borderId="3" xfId="0" applyFont="1" applyBorder="1" applyAlignment="1">
      <alignment horizontal="left" vertical="center" wrapText="1"/>
    </xf>
    <xf numFmtId="0" fontId="70" fillId="0" borderId="3" xfId="0" applyFont="1" applyBorder="1" applyAlignment="1">
      <alignment horizontal="center" vertical="center" wrapText="1"/>
    </xf>
    <xf numFmtId="0" fontId="71" fillId="0" borderId="1" xfId="0" applyFont="1" applyBorder="1" applyAlignment="1">
      <alignment horizontal="left" vertical="center" wrapText="1"/>
    </xf>
    <xf numFmtId="174" fontId="39" fillId="0" borderId="1" xfId="0" applyNumberFormat="1" applyFont="1" applyBorder="1" applyAlignment="1" applyProtection="1">
      <alignment horizontal="center" vertical="center" wrapText="1"/>
      <protection locked="0"/>
    </xf>
    <xf numFmtId="0" fontId="70" fillId="0" borderId="1" xfId="0" applyFont="1" applyBorder="1" applyAlignment="1">
      <alignment horizontal="center" vertical="center" wrapText="1"/>
    </xf>
    <xf numFmtId="0" fontId="33" fillId="0" borderId="1" xfId="0" applyFont="1" applyBorder="1" applyAlignment="1">
      <alignment vertical="center"/>
    </xf>
    <xf numFmtId="14" fontId="39" fillId="0" borderId="1" xfId="0" applyNumberFormat="1" applyFont="1" applyBorder="1" applyAlignment="1" applyProtection="1">
      <alignment horizontal="center" vertical="center" wrapText="1"/>
      <protection locked="0"/>
    </xf>
    <xf numFmtId="0" fontId="70" fillId="0" borderId="9" xfId="0" applyFont="1" applyBorder="1" applyAlignment="1">
      <alignment horizontal="left" vertical="center" wrapText="1"/>
    </xf>
    <xf numFmtId="0" fontId="69" fillId="0" borderId="1" xfId="0" applyFont="1" applyBorder="1" applyAlignment="1" applyProtection="1">
      <alignment horizontal="justify" vertical="center" wrapText="1"/>
      <protection locked="0"/>
    </xf>
    <xf numFmtId="174" fontId="43" fillId="0" borderId="1" xfId="0" applyNumberFormat="1" applyFont="1" applyBorder="1" applyAlignment="1" applyProtection="1">
      <alignment horizontal="center" vertical="center" wrapText="1"/>
      <protection locked="0"/>
    </xf>
    <xf numFmtId="0" fontId="70" fillId="0" borderId="10" xfId="0" applyFont="1" applyBorder="1" applyAlignment="1">
      <alignment horizontal="center" vertical="center" wrapText="1"/>
    </xf>
    <xf numFmtId="0" fontId="70" fillId="0" borderId="9" xfId="0" applyFont="1" applyBorder="1" applyAlignment="1">
      <alignment horizontal="center" vertical="center" wrapText="1"/>
    </xf>
    <xf numFmtId="0" fontId="69" fillId="0" borderId="9" xfId="0" applyFont="1" applyBorder="1" applyAlignment="1">
      <alignment horizontal="left" vertical="center" wrapText="1"/>
    </xf>
    <xf numFmtId="0" fontId="69" fillId="0" borderId="3" xfId="0" applyFont="1" applyBorder="1" applyAlignment="1">
      <alignment horizontal="left" vertical="center" wrapText="1"/>
    </xf>
    <xf numFmtId="0" fontId="69" fillId="0" borderId="3" xfId="0" applyFont="1" applyBorder="1" applyAlignment="1">
      <alignment horizontal="center" vertical="center" wrapText="1"/>
    </xf>
    <xf numFmtId="0" fontId="69" fillId="0" borderId="10" xfId="0" applyFont="1" applyBorder="1" applyAlignment="1">
      <alignment horizontal="center" vertical="center" wrapText="1"/>
    </xf>
    <xf numFmtId="176" fontId="69" fillId="0" borderId="1" xfId="0" applyNumberFormat="1" applyFont="1" applyBorder="1" applyAlignment="1" applyProtection="1">
      <alignment horizontal="center" vertical="center" wrapText="1"/>
      <protection locked="0"/>
    </xf>
    <xf numFmtId="0" fontId="34" fillId="0" borderId="3" xfId="15" applyFill="1" applyBorder="1" applyAlignment="1" applyProtection="1">
      <alignment horizontal="center" vertical="center" wrapText="1"/>
    </xf>
    <xf numFmtId="0" fontId="39" fillId="0" borderId="1" xfId="0" applyFont="1" applyBorder="1" applyAlignment="1" applyProtection="1">
      <alignment horizontal="justify" vertical="center" wrapText="1"/>
      <protection locked="0"/>
    </xf>
    <xf numFmtId="0" fontId="70" fillId="0" borderId="1" xfId="0" applyFont="1" applyBorder="1" applyAlignment="1">
      <alignment horizontal="left" vertical="center" wrapText="1"/>
    </xf>
    <xf numFmtId="0" fontId="69" fillId="0" borderId="1" xfId="0" applyFont="1" applyBorder="1" applyAlignment="1">
      <alignment horizontal="left" vertical="center" wrapText="1"/>
    </xf>
    <xf numFmtId="0" fontId="43" fillId="0" borderId="1" xfId="0" applyFont="1" applyBorder="1" applyAlignment="1" applyProtection="1">
      <alignment horizontal="center" vertical="center"/>
      <protection locked="0"/>
    </xf>
    <xf numFmtId="175" fontId="35" fillId="0" borderId="1" xfId="0" applyNumberFormat="1" applyFont="1" applyBorder="1" applyAlignment="1" applyProtection="1">
      <alignment horizontal="center" vertical="center" wrapText="1"/>
      <protection locked="0"/>
    </xf>
    <xf numFmtId="178" fontId="35" fillId="0" borderId="1" xfId="0" applyNumberFormat="1" applyFont="1" applyBorder="1" applyAlignment="1" applyProtection="1">
      <alignment horizontal="center" vertical="center" wrapText="1"/>
      <protection locked="0"/>
    </xf>
    <xf numFmtId="0" fontId="74" fillId="0" borderId="1" xfId="0" applyFont="1" applyBorder="1" applyAlignment="1" applyProtection="1">
      <alignment horizontal="center" vertical="center" wrapText="1"/>
      <protection locked="0"/>
    </xf>
    <xf numFmtId="9" fontId="74" fillId="0" borderId="1" xfId="0" applyNumberFormat="1" applyFont="1" applyBorder="1" applyAlignment="1" applyProtection="1">
      <alignment horizontal="center" vertical="center" wrapText="1"/>
      <protection locked="0"/>
    </xf>
    <xf numFmtId="0" fontId="77" fillId="0" borderId="1" xfId="15" applyFont="1" applyFill="1" applyBorder="1" applyAlignment="1" applyProtection="1">
      <alignment horizontal="center" vertical="center"/>
    </xf>
    <xf numFmtId="0" fontId="78" fillId="0" borderId="1" xfId="0" applyFont="1" applyBorder="1" applyAlignment="1">
      <alignment horizontal="center" vertical="center" wrapText="1"/>
    </xf>
    <xf numFmtId="0" fontId="79" fillId="0" borderId="1" xfId="0" applyFont="1" applyBorder="1" applyAlignment="1">
      <alignment vertical="center" wrapText="1"/>
    </xf>
    <xf numFmtId="0" fontId="59" fillId="0" borderId="1" xfId="15" applyFont="1" applyFill="1" applyBorder="1" applyAlignment="1" applyProtection="1">
      <alignment horizontal="center" vertical="center"/>
    </xf>
    <xf numFmtId="0" fontId="79" fillId="0" borderId="1" xfId="0" applyFont="1" applyBorder="1" applyAlignment="1">
      <alignment horizontal="center" vertical="center" wrapText="1"/>
    </xf>
    <xf numFmtId="14" fontId="79" fillId="0" borderId="1" xfId="0" applyNumberFormat="1" applyFont="1" applyBorder="1" applyAlignment="1">
      <alignment horizontal="center" vertical="center" wrapText="1"/>
    </xf>
    <xf numFmtId="0" fontId="79" fillId="0" borderId="6" xfId="0" applyFont="1" applyBorder="1" applyAlignment="1">
      <alignment horizontal="center" vertical="center" wrapText="1"/>
    </xf>
    <xf numFmtId="0" fontId="59" fillId="0" borderId="13" xfId="0" applyFont="1" applyBorder="1" applyAlignment="1">
      <alignment horizontal="center" vertical="center" wrapText="1"/>
    </xf>
    <xf numFmtId="0" fontId="79" fillId="0" borderId="13" xfId="0" applyFont="1" applyBorder="1" applyAlignment="1">
      <alignment horizontal="center" vertical="center" wrapText="1"/>
    </xf>
    <xf numFmtId="0" fontId="79" fillId="0" borderId="56" xfId="0" applyFont="1" applyBorder="1" applyAlignment="1">
      <alignment horizontal="center" vertical="center" wrapText="1"/>
    </xf>
    <xf numFmtId="0" fontId="79" fillId="0" borderId="3" xfId="0" applyFont="1" applyBorder="1" applyAlignment="1">
      <alignment horizontal="center" vertical="center" wrapText="1"/>
    </xf>
    <xf numFmtId="0" fontId="79" fillId="0" borderId="1" xfId="0" applyFont="1" applyBorder="1" applyAlignment="1">
      <alignment horizontal="left" vertical="center" wrapText="1"/>
    </xf>
    <xf numFmtId="0" fontId="59" fillId="0" borderId="3" xfId="0" applyFont="1" applyBorder="1" applyAlignment="1" applyProtection="1">
      <alignment horizontal="center" vertical="center" wrapText="1"/>
      <protection locked="0"/>
    </xf>
    <xf numFmtId="15" fontId="59" fillId="0" borderId="1" xfId="9" applyNumberFormat="1" applyFont="1" applyBorder="1" applyAlignment="1" applyProtection="1">
      <alignment horizontal="center" vertical="center" wrapText="1"/>
      <protection locked="0"/>
    </xf>
    <xf numFmtId="0" fontId="35" fillId="0" borderId="0" xfId="0" applyFont="1" applyAlignment="1">
      <alignment horizontal="left" vertical="center" wrapText="1"/>
    </xf>
    <xf numFmtId="0" fontId="35" fillId="0" borderId="0" xfId="0" applyFont="1" applyAlignment="1">
      <alignment horizontal="left" vertical="top" wrapText="1"/>
    </xf>
    <xf numFmtId="0" fontId="45" fillId="0" borderId="1" xfId="0" applyFont="1" applyBorder="1" applyAlignment="1">
      <alignment horizontal="center" vertical="center" wrapText="1"/>
    </xf>
    <xf numFmtId="0" fontId="96" fillId="0" borderId="1" xfId="0" applyFont="1" applyBorder="1" applyAlignment="1">
      <alignment horizontal="left" vertical="center" wrapText="1"/>
    </xf>
    <xf numFmtId="0" fontId="65" fillId="0" borderId="1" xfId="0" applyFont="1" applyBorder="1" applyAlignment="1">
      <alignment horizontal="justify" vertical="center" wrapText="1"/>
    </xf>
    <xf numFmtId="0" fontId="65" fillId="0" borderId="1" xfId="0" applyFont="1" applyBorder="1" applyAlignment="1" applyProtection="1">
      <alignment horizontal="justify" vertical="center" wrapText="1"/>
      <protection locked="0"/>
    </xf>
    <xf numFmtId="1" fontId="45" fillId="0" borderId="1" xfId="0" applyNumberFormat="1" applyFont="1" applyBorder="1" applyAlignment="1" applyProtection="1">
      <alignment horizontal="center" vertical="center" wrapText="1"/>
      <protection locked="0"/>
    </xf>
    <xf numFmtId="0" fontId="45" fillId="0" borderId="1" xfId="0" applyFont="1" applyBorder="1" applyAlignment="1">
      <alignment vertical="center" wrapText="1"/>
    </xf>
    <xf numFmtId="0" fontId="45" fillId="0" borderId="1" xfId="0" applyFont="1" applyBorder="1" applyAlignment="1" applyProtection="1">
      <alignment vertical="center" wrapText="1"/>
      <protection locked="0"/>
    </xf>
    <xf numFmtId="9" fontId="45" fillId="0" borderId="1" xfId="0" applyNumberFormat="1" applyFont="1" applyBorder="1" applyAlignment="1">
      <alignment horizontal="center" vertical="center" wrapText="1"/>
    </xf>
    <xf numFmtId="9" fontId="45" fillId="0" borderId="1" xfId="0" applyNumberFormat="1" applyFont="1" applyBorder="1" applyAlignment="1">
      <alignment vertical="center" wrapText="1"/>
    </xf>
    <xf numFmtId="9" fontId="45" fillId="0" borderId="1" xfId="0" applyNumberFormat="1" applyFont="1" applyBorder="1" applyAlignment="1" applyProtection="1">
      <alignment vertical="center" wrapText="1"/>
      <protection locked="0"/>
    </xf>
    <xf numFmtId="1" fontId="45" fillId="0" borderId="1" xfId="0" applyNumberFormat="1" applyFont="1" applyBorder="1" applyAlignment="1">
      <alignment horizontal="center" vertical="center" wrapText="1"/>
    </xf>
    <xf numFmtId="0" fontId="45" fillId="0" borderId="1" xfId="0" applyFont="1" applyBorder="1" applyAlignment="1" applyProtection="1">
      <alignment horizontal="left" vertical="center" wrapText="1"/>
      <protection locked="0"/>
    </xf>
    <xf numFmtId="0" fontId="41" fillId="0" borderId="0" xfId="0" applyFont="1" applyAlignment="1">
      <alignment horizontal="left" vertical="center" wrapText="1"/>
    </xf>
    <xf numFmtId="0" fontId="41" fillId="0" borderId="0" xfId="0" applyFont="1" applyAlignment="1" applyProtection="1">
      <alignment horizontal="left" vertical="center" wrapText="1"/>
      <protection locked="0"/>
    </xf>
    <xf numFmtId="9" fontId="99" fillId="0" borderId="9" xfId="0" applyNumberFormat="1" applyFont="1" applyBorder="1" applyAlignment="1" applyProtection="1">
      <alignment horizontal="center" vertical="center" wrapText="1"/>
      <protection locked="0"/>
    </xf>
    <xf numFmtId="0" fontId="72" fillId="0" borderId="8" xfId="0" applyFont="1" applyBorder="1" applyAlignment="1" applyProtection="1">
      <alignment horizontal="left" vertical="center" wrapText="1"/>
      <protection locked="0"/>
    </xf>
    <xf numFmtId="9" fontId="38" fillId="0" borderId="1" xfId="0" applyNumberFormat="1" applyFont="1" applyBorder="1" applyAlignment="1">
      <alignment horizontal="center" vertical="center"/>
    </xf>
    <xf numFmtId="1" fontId="38" fillId="0" borderId="1" xfId="0" applyNumberFormat="1" applyFont="1" applyBorder="1" applyAlignment="1">
      <alignment horizontal="center" vertical="center"/>
    </xf>
    <xf numFmtId="0" fontId="35" fillId="0" borderId="25" xfId="0" applyFont="1" applyBorder="1" applyAlignment="1">
      <alignment horizontal="left" vertical="center" wrapText="1"/>
    </xf>
    <xf numFmtId="167" fontId="35" fillId="0" borderId="1" xfId="1" applyNumberFormat="1" applyFont="1" applyFill="1" applyBorder="1" applyAlignment="1" applyProtection="1">
      <alignment horizontal="center" vertical="center" wrapText="1"/>
      <protection locked="0"/>
    </xf>
    <xf numFmtId="0" fontId="35" fillId="0" borderId="1" xfId="1" applyNumberFormat="1" applyFont="1" applyFill="1" applyBorder="1" applyAlignment="1" applyProtection="1">
      <alignment horizontal="left" vertical="center" wrapText="1"/>
      <protection locked="0"/>
    </xf>
    <xf numFmtId="0" fontId="75" fillId="0" borderId="1" xfId="0" applyFont="1" applyBorder="1" applyAlignment="1">
      <alignment horizontal="left" vertical="center"/>
    </xf>
    <xf numFmtId="2" fontId="35" fillId="0" borderId="1" xfId="0" applyNumberFormat="1" applyFont="1" applyBorder="1" applyAlignment="1" applyProtection="1">
      <alignment horizontal="center" vertical="center" wrapText="1"/>
      <protection locked="0"/>
    </xf>
    <xf numFmtId="0" fontId="35" fillId="0" borderId="1" xfId="1" applyNumberFormat="1" applyFont="1" applyFill="1" applyBorder="1" applyAlignment="1" applyProtection="1">
      <alignment horizontal="center" vertical="center" wrapText="1"/>
      <protection locked="0"/>
    </xf>
    <xf numFmtId="0" fontId="86" fillId="0" borderId="1" xfId="0" applyFont="1" applyBorder="1" applyAlignment="1" applyProtection="1">
      <alignment horizontal="center" vertical="center" wrapText="1"/>
      <protection locked="0"/>
    </xf>
    <xf numFmtId="168" fontId="35" fillId="0" borderId="1" xfId="0" applyNumberFormat="1" applyFont="1" applyBorder="1" applyAlignment="1" applyProtection="1">
      <alignment horizontal="center" vertical="center" wrapText="1"/>
      <protection locked="0"/>
    </xf>
    <xf numFmtId="165" fontId="33" fillId="0" borderId="1" xfId="0" applyNumberFormat="1" applyFont="1" applyBorder="1" applyAlignment="1" applyProtection="1">
      <alignment horizontal="right" vertical="center" wrapText="1"/>
      <protection locked="0"/>
    </xf>
    <xf numFmtId="0" fontId="0" fillId="0" borderId="1" xfId="0" applyBorder="1" applyAlignment="1">
      <alignment horizontal="left" vertical="center" wrapText="1"/>
    </xf>
    <xf numFmtId="0" fontId="97" fillId="0" borderId="58" xfId="0" applyFont="1" applyBorder="1" applyAlignment="1" applyProtection="1">
      <alignment horizontal="center" vertical="center" wrapText="1"/>
      <protection locked="0"/>
    </xf>
    <xf numFmtId="0" fontId="33" fillId="0" borderId="1" xfId="0" applyFont="1" applyBorder="1" applyAlignment="1" applyProtection="1">
      <alignment vertical="center" wrapText="1"/>
      <protection locked="0"/>
    </xf>
    <xf numFmtId="0" fontId="59" fillId="0" borderId="10" xfId="0" applyFont="1" applyBorder="1" applyAlignment="1" applyProtection="1">
      <alignment horizontal="justify" vertical="center" wrapText="1"/>
      <protection locked="0"/>
    </xf>
    <xf numFmtId="165" fontId="33" fillId="0" borderId="10" xfId="0" applyNumberFormat="1" applyFont="1" applyBorder="1" applyAlignment="1" applyProtection="1">
      <alignment horizontal="right" vertical="center" wrapText="1"/>
      <protection locked="0"/>
    </xf>
    <xf numFmtId="0" fontId="33" fillId="0" borderId="10" xfId="0" applyFont="1" applyBorder="1" applyAlignment="1" applyProtection="1">
      <alignment horizontal="justify" vertical="center" wrapText="1"/>
      <protection locked="0"/>
    </xf>
    <xf numFmtId="0" fontId="97" fillId="0" borderId="59" xfId="0" applyFont="1" applyBorder="1" applyAlignment="1" applyProtection="1">
      <alignment horizontal="justify" vertical="center" wrapText="1"/>
      <protection locked="0"/>
    </xf>
    <xf numFmtId="0" fontId="97" fillId="0" borderId="60" xfId="0" applyFont="1" applyBorder="1" applyAlignment="1" applyProtection="1">
      <alignment horizontal="justify" vertical="center" wrapText="1"/>
      <protection locked="0"/>
    </xf>
    <xf numFmtId="0" fontId="33" fillId="0" borderId="10" xfId="0" applyFont="1" applyBorder="1" applyAlignment="1" applyProtection="1">
      <alignment vertical="center" wrapText="1"/>
      <protection locked="0"/>
    </xf>
    <xf numFmtId="0" fontId="33" fillId="0" borderId="10" xfId="0" applyFont="1" applyBorder="1" applyAlignment="1">
      <alignment horizontal="justify" vertical="center" wrapText="1"/>
    </xf>
    <xf numFmtId="0" fontId="0" fillId="0" borderId="10" xfId="0" applyBorder="1" applyAlignment="1">
      <alignment horizontal="left" vertical="center" wrapText="1"/>
    </xf>
    <xf numFmtId="0" fontId="97" fillId="0" borderId="56" xfId="0" applyFont="1" applyBorder="1" applyAlignment="1" applyProtection="1">
      <alignment horizontal="justify" vertical="center" wrapText="1"/>
      <protection locked="0"/>
    </xf>
    <xf numFmtId="0" fontId="97" fillId="0" borderId="58" xfId="0" applyFont="1" applyBorder="1" applyAlignment="1" applyProtection="1">
      <alignment horizontal="justify" vertical="center" wrapText="1"/>
      <protection locked="0"/>
    </xf>
    <xf numFmtId="0" fontId="33"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wrapText="1"/>
      <protection locked="0"/>
    </xf>
    <xf numFmtId="0" fontId="66" fillId="0" borderId="1" xfId="0" applyFont="1" applyBorder="1" applyAlignment="1" applyProtection="1">
      <alignment vertical="center" wrapText="1"/>
      <protection locked="0"/>
    </xf>
    <xf numFmtId="0" fontId="79" fillId="0" borderId="1" xfId="0" applyFont="1" applyBorder="1" applyAlignment="1" applyProtection="1">
      <alignment horizontal="center" vertical="center" wrapText="1"/>
      <protection locked="0"/>
    </xf>
    <xf numFmtId="0" fontId="79" fillId="0" borderId="1" xfId="0" applyFont="1" applyBorder="1" applyAlignment="1" applyProtection="1">
      <alignment horizontal="justify" vertical="center" wrapText="1"/>
      <protection locked="0"/>
    </xf>
    <xf numFmtId="0" fontId="17" fillId="0" borderId="1" xfId="0" applyFont="1" applyBorder="1" applyAlignment="1" applyProtection="1">
      <alignment horizontal="justify" vertical="center" wrapText="1"/>
      <protection locked="0"/>
    </xf>
    <xf numFmtId="0" fontId="17" fillId="0" borderId="1" xfId="15" applyFont="1" applyFill="1" applyBorder="1" applyAlignment="1" applyProtection="1">
      <alignment vertical="center" wrapText="1"/>
      <protection locked="0"/>
    </xf>
    <xf numFmtId="14" fontId="59" fillId="0" borderId="1" xfId="0" applyNumberFormat="1" applyFont="1" applyBorder="1" applyAlignment="1" applyProtection="1">
      <alignment horizontal="center" vertical="center" wrapText="1"/>
      <protection locked="0"/>
    </xf>
    <xf numFmtId="0" fontId="17" fillId="0" borderId="1" xfId="15" applyFont="1" applyFill="1" applyBorder="1" applyAlignment="1" applyProtection="1">
      <alignment horizontal="justify" vertical="center" wrapText="1"/>
      <protection locked="0"/>
    </xf>
    <xf numFmtId="0" fontId="101" fillId="0" borderId="1" xfId="0" applyFont="1" applyBorder="1" applyAlignment="1" applyProtection="1">
      <alignment horizontal="justify" vertical="center" wrapText="1"/>
      <protection locked="0"/>
    </xf>
    <xf numFmtId="6" fontId="81" fillId="0" borderId="1" xfId="0" applyNumberFormat="1" applyFont="1" applyBorder="1" applyAlignment="1" applyProtection="1">
      <alignment vertical="center"/>
      <protection locked="0"/>
    </xf>
    <xf numFmtId="9" fontId="45" fillId="0" borderId="25" xfId="0" applyNumberFormat="1" applyFont="1" applyBorder="1" applyAlignment="1" applyProtection="1">
      <alignment horizontal="center" vertical="center" wrapText="1"/>
      <protection locked="0"/>
    </xf>
    <xf numFmtId="0" fontId="0" fillId="0" borderId="23" xfId="0" applyBorder="1" applyAlignment="1">
      <alignment horizontal="left" vertical="center"/>
    </xf>
    <xf numFmtId="9" fontId="45" fillId="0" borderId="10" xfId="0" applyNumberFormat="1" applyFont="1" applyBorder="1" applyAlignment="1" applyProtection="1">
      <alignment horizontal="center" vertical="center" wrapText="1"/>
      <protection locked="0"/>
    </xf>
    <xf numFmtId="0" fontId="38" fillId="0" borderId="1" xfId="18" applyFont="1" applyBorder="1" applyAlignment="1" applyProtection="1">
      <alignment horizontal="left" vertical="center" wrapText="1"/>
      <protection locked="0"/>
    </xf>
    <xf numFmtId="0" fontId="38" fillId="0" borderId="1" xfId="18" applyFont="1" applyBorder="1" applyAlignment="1" applyProtection="1">
      <alignment horizontal="center" vertical="center"/>
      <protection locked="0"/>
    </xf>
    <xf numFmtId="0" fontId="35" fillId="0" borderId="0" xfId="0" applyFont="1" applyAlignment="1" applyProtection="1">
      <alignment horizontal="left" vertical="center" wrapText="1"/>
      <protection locked="0"/>
    </xf>
    <xf numFmtId="0" fontId="8" fillId="11" borderId="13" xfId="0" applyFont="1" applyFill="1" applyBorder="1" applyAlignment="1">
      <alignment horizontal="center" vertical="center" wrapText="1"/>
    </xf>
    <xf numFmtId="0" fontId="8" fillId="11" borderId="14"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14" xfId="0" applyFont="1" applyFill="1" applyBorder="1" applyAlignment="1">
      <alignment horizontal="center" vertical="center" wrapText="1"/>
    </xf>
    <xf numFmtId="0" fontId="9" fillId="12" borderId="10"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0" borderId="75" xfId="0" applyFont="1" applyFill="1" applyBorder="1" applyAlignment="1">
      <alignment horizontal="center" vertical="center" wrapText="1"/>
    </xf>
    <xf numFmtId="0" fontId="105" fillId="15" borderId="15" xfId="0" applyFont="1" applyFill="1" applyBorder="1" applyAlignment="1">
      <alignment horizontal="center" vertical="center" wrapText="1"/>
    </xf>
    <xf numFmtId="0" fontId="105" fillId="15" borderId="16" xfId="0" applyFont="1" applyFill="1" applyBorder="1" applyAlignment="1">
      <alignment horizontal="center" vertical="center" wrapText="1"/>
    </xf>
    <xf numFmtId="0" fontId="105" fillId="15" borderId="17"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11" fillId="15" borderId="17" xfId="0" applyFont="1" applyFill="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0" fillId="0" borderId="1" xfId="0" applyBorder="1" applyAlignment="1">
      <alignment horizontal="center"/>
    </xf>
    <xf numFmtId="0" fontId="7" fillId="6" borderId="22"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7" fillId="6" borderId="75"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70" xfId="0" applyFont="1" applyFill="1" applyBorder="1" applyAlignment="1">
      <alignment horizontal="center" vertical="center" wrapText="1"/>
    </xf>
    <xf numFmtId="0" fontId="5" fillId="14" borderId="15" xfId="0" applyFont="1" applyFill="1" applyBorder="1" applyAlignment="1">
      <alignment horizontal="center" vertical="center"/>
    </xf>
    <xf numFmtId="0" fontId="5" fillId="14" borderId="16" xfId="0" applyFont="1" applyFill="1" applyBorder="1" applyAlignment="1">
      <alignment horizontal="center" vertical="center"/>
    </xf>
    <xf numFmtId="0" fontId="5" fillId="14" borderId="17" xfId="0" applyFont="1" applyFill="1" applyBorder="1" applyAlignment="1">
      <alignment horizontal="center" vertical="center"/>
    </xf>
    <xf numFmtId="0" fontId="9" fillId="16" borderId="13" xfId="0" applyFont="1" applyFill="1" applyBorder="1" applyAlignment="1">
      <alignment horizontal="center" vertical="center" wrapText="1"/>
    </xf>
    <xf numFmtId="0" fontId="9" fillId="16" borderId="14" xfId="0" applyFont="1" applyFill="1" applyBorder="1" applyAlignment="1">
      <alignment horizontal="center" vertical="center" wrapText="1"/>
    </xf>
    <xf numFmtId="0" fontId="9" fillId="16" borderId="10" xfId="0" applyFont="1" applyFill="1" applyBorder="1" applyAlignment="1">
      <alignment horizontal="center" vertical="center" wrapText="1"/>
    </xf>
    <xf numFmtId="0" fontId="9" fillId="12" borderId="67" xfId="0" applyFont="1" applyFill="1" applyBorder="1" applyAlignment="1">
      <alignment horizontal="center" vertical="center" wrapText="1"/>
    </xf>
    <xf numFmtId="0" fontId="9" fillId="12" borderId="68" xfId="0" applyFont="1" applyFill="1" applyBorder="1" applyAlignment="1">
      <alignment horizontal="center" vertical="center" wrapText="1"/>
    </xf>
    <xf numFmtId="0" fontId="9" fillId="12" borderId="48" xfId="0" applyFont="1" applyFill="1" applyBorder="1" applyAlignment="1">
      <alignment horizontal="center" vertical="center" wrapText="1"/>
    </xf>
    <xf numFmtId="0" fontId="10" fillId="14" borderId="15" xfId="0" applyFont="1" applyFill="1" applyBorder="1" applyAlignment="1">
      <alignment horizontal="center" vertical="center"/>
    </xf>
    <xf numFmtId="0" fontId="10" fillId="14" borderId="16" xfId="0" applyFont="1" applyFill="1" applyBorder="1" applyAlignment="1">
      <alignment horizontal="center" vertical="center"/>
    </xf>
    <xf numFmtId="0" fontId="10" fillId="14" borderId="17" xfId="0" applyFont="1" applyFill="1" applyBorder="1" applyAlignment="1">
      <alignment horizontal="center" vertical="center"/>
    </xf>
    <xf numFmtId="0" fontId="104" fillId="5" borderId="18" xfId="0" applyFont="1" applyFill="1" applyBorder="1" applyAlignment="1">
      <alignment horizontal="center" vertical="center" wrapText="1"/>
    </xf>
    <xf numFmtId="0" fontId="104" fillId="5" borderId="19" xfId="0" applyFont="1" applyFill="1" applyBorder="1" applyAlignment="1">
      <alignment horizontal="center" vertical="center" wrapText="1"/>
    </xf>
    <xf numFmtId="0" fontId="104" fillId="5" borderId="20"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9" xfId="0" applyFont="1" applyFill="1" applyBorder="1" applyAlignment="1">
      <alignment horizontal="center" vertical="center" wrapText="1"/>
    </xf>
    <xf numFmtId="0" fontId="11" fillId="15" borderId="22" xfId="0" applyFont="1" applyFill="1" applyBorder="1" applyAlignment="1">
      <alignment horizontal="center" vertical="center" wrapText="1"/>
    </xf>
    <xf numFmtId="0" fontId="11" fillId="15" borderId="75" xfId="0" applyFont="1" applyFill="1" applyBorder="1" applyAlignment="1">
      <alignment horizontal="center" vertical="center" wrapText="1"/>
    </xf>
    <xf numFmtId="0" fontId="8" fillId="15" borderId="22" xfId="0" applyFont="1" applyFill="1" applyBorder="1" applyAlignment="1">
      <alignment horizontal="center" vertical="center" wrapText="1"/>
    </xf>
    <xf numFmtId="0" fontId="8" fillId="15" borderId="75" xfId="0" applyFont="1" applyFill="1" applyBorder="1" applyAlignment="1">
      <alignment horizontal="center" vertical="center" wrapText="1"/>
    </xf>
    <xf numFmtId="0" fontId="9" fillId="5" borderId="71" xfId="0" applyFont="1" applyFill="1" applyBorder="1" applyAlignment="1">
      <alignment horizontal="center" vertical="center" wrapText="1"/>
    </xf>
    <xf numFmtId="0" fontId="9" fillId="5" borderId="72" xfId="0" applyFont="1" applyFill="1" applyBorder="1" applyAlignment="1">
      <alignment horizontal="center" vertical="center" wrapText="1"/>
    </xf>
    <xf numFmtId="0" fontId="9" fillId="5" borderId="73" xfId="0" applyFont="1" applyFill="1" applyBorder="1" applyAlignment="1">
      <alignment horizontal="center" vertical="center" wrapText="1"/>
    </xf>
    <xf numFmtId="0" fontId="7" fillId="14" borderId="15" xfId="0" applyFont="1" applyFill="1" applyBorder="1" applyAlignment="1">
      <alignment horizontal="center" vertical="center"/>
    </xf>
    <xf numFmtId="0" fontId="7" fillId="14" borderId="16" xfId="0" applyFont="1" applyFill="1" applyBorder="1" applyAlignment="1">
      <alignment horizontal="center" vertical="center"/>
    </xf>
    <xf numFmtId="0" fontId="7" fillId="14" borderId="17" xfId="0" applyFont="1" applyFill="1" applyBorder="1" applyAlignment="1">
      <alignment horizontal="center" vertical="center"/>
    </xf>
    <xf numFmtId="0" fontId="9" fillId="5" borderId="21" xfId="0" applyFont="1" applyFill="1" applyBorder="1" applyAlignment="1">
      <alignment horizontal="center" vertical="center" wrapText="1"/>
    </xf>
    <xf numFmtId="0" fontId="9" fillId="5" borderId="70"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1" borderId="67" xfId="0" applyFont="1" applyFill="1" applyBorder="1" applyAlignment="1">
      <alignment horizontal="center" vertical="center" wrapText="1"/>
    </xf>
    <xf numFmtId="0" fontId="8" fillId="11" borderId="68" xfId="0" applyFont="1" applyFill="1" applyBorder="1" applyAlignment="1">
      <alignment horizontal="center" vertical="center" wrapText="1"/>
    </xf>
    <xf numFmtId="0" fontId="8" fillId="11" borderId="48" xfId="0" applyFont="1" applyFill="1" applyBorder="1" applyAlignment="1">
      <alignment horizontal="center" vertical="center" wrapText="1"/>
    </xf>
    <xf numFmtId="0" fontId="8" fillId="11" borderId="64" xfId="0" applyFont="1" applyFill="1" applyBorder="1" applyAlignment="1">
      <alignment horizontal="center" vertical="center" wrapText="1"/>
    </xf>
    <xf numFmtId="0" fontId="8" fillId="11" borderId="65" xfId="0" applyFont="1" applyFill="1" applyBorder="1" applyAlignment="1">
      <alignment horizontal="center" vertical="center" wrapText="1"/>
    </xf>
    <xf numFmtId="0" fontId="8" fillId="11" borderId="66" xfId="0" applyFont="1" applyFill="1" applyBorder="1" applyAlignment="1">
      <alignment horizontal="center" vertical="center" wrapText="1"/>
    </xf>
    <xf numFmtId="0" fontId="9" fillId="12" borderId="61" xfId="0" applyFont="1" applyFill="1" applyBorder="1" applyAlignment="1">
      <alignment horizontal="center" vertical="center" wrapText="1"/>
    </xf>
    <xf numFmtId="0" fontId="9" fillId="12" borderId="62" xfId="0" applyFont="1" applyFill="1" applyBorder="1" applyAlignment="1">
      <alignment horizontal="center" vertical="center" wrapText="1"/>
    </xf>
    <xf numFmtId="0" fontId="9" fillId="12" borderId="63"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74"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7" fillId="6" borderId="76"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6" fillId="12" borderId="27" xfId="0" applyFont="1" applyFill="1" applyBorder="1" applyAlignment="1">
      <alignment horizontal="center" vertical="center" wrapText="1"/>
    </xf>
    <xf numFmtId="0" fontId="6" fillId="12" borderId="74" xfId="0" applyFont="1" applyFill="1" applyBorder="1" applyAlignment="1">
      <alignment horizontal="center" vertical="center" wrapText="1"/>
    </xf>
    <xf numFmtId="0" fontId="6" fillId="12" borderId="69" xfId="0" applyFont="1" applyFill="1" applyBorder="1" applyAlignment="1">
      <alignment horizontal="center" vertical="center" wrapText="1"/>
    </xf>
    <xf numFmtId="0" fontId="3" fillId="4" borderId="34" xfId="0" applyFont="1" applyFill="1" applyBorder="1" applyAlignment="1">
      <alignment horizontal="center" vertical="center"/>
    </xf>
    <xf numFmtId="0" fontId="3" fillId="0" borderId="34" xfId="0" applyFont="1" applyBorder="1" applyAlignment="1">
      <alignment horizontal="center" vertical="center"/>
    </xf>
    <xf numFmtId="0" fontId="2" fillId="2" borderId="24" xfId="0" applyFont="1" applyFill="1" applyBorder="1" applyAlignment="1">
      <alignment horizontal="center" vertical="center"/>
    </xf>
    <xf numFmtId="0" fontId="2" fillId="2" borderId="0" xfId="0" applyFont="1" applyFill="1" applyAlignment="1">
      <alignment horizontal="center" vertical="center"/>
    </xf>
    <xf numFmtId="0" fontId="5" fillId="11" borderId="27" xfId="0" applyFont="1" applyFill="1" applyBorder="1" applyAlignment="1">
      <alignment horizontal="center" vertical="center" wrapText="1"/>
    </xf>
    <xf numFmtId="0" fontId="5" fillId="11" borderId="69" xfId="0" applyFont="1" applyFill="1" applyBorder="1" applyAlignment="1">
      <alignment horizontal="center" vertical="center" wrapText="1"/>
    </xf>
    <xf numFmtId="0" fontId="24" fillId="17" borderId="53" xfId="0" applyFont="1" applyFill="1" applyBorder="1" applyAlignment="1">
      <alignment horizontal="center" vertical="center" wrapText="1"/>
    </xf>
    <xf numFmtId="0" fontId="24" fillId="17" borderId="54" xfId="0" applyFont="1" applyFill="1" applyBorder="1" applyAlignment="1">
      <alignment horizontal="center" vertical="center" wrapText="1"/>
    </xf>
    <xf numFmtId="0" fontId="24" fillId="17" borderId="55" xfId="0" applyFont="1" applyFill="1" applyBorder="1" applyAlignment="1">
      <alignment horizontal="center" vertical="center" wrapText="1"/>
    </xf>
    <xf numFmtId="0" fontId="21" fillId="17" borderId="10" xfId="0" applyFont="1" applyFill="1" applyBorder="1" applyAlignment="1">
      <alignment horizontal="center" vertical="center" wrapText="1"/>
    </xf>
    <xf numFmtId="0" fontId="24" fillId="17" borderId="49" xfId="0" applyFont="1" applyFill="1" applyBorder="1" applyAlignment="1">
      <alignment horizontal="center" vertical="center" wrapText="1"/>
    </xf>
    <xf numFmtId="0" fontId="24" fillId="17" borderId="57" xfId="0" applyFont="1" applyFill="1" applyBorder="1" applyAlignment="1">
      <alignment horizontal="center" vertical="center" wrapText="1"/>
    </xf>
    <xf numFmtId="0" fontId="21" fillId="17" borderId="48" xfId="0" applyFont="1" applyFill="1" applyBorder="1" applyAlignment="1">
      <alignment horizontal="center" vertical="center" wrapText="1"/>
    </xf>
    <xf numFmtId="10" fontId="21" fillId="18" borderId="12" xfId="0" applyNumberFormat="1" applyFont="1" applyFill="1" applyBorder="1" applyAlignment="1">
      <alignment horizontal="center" vertical="center" wrapText="1"/>
    </xf>
    <xf numFmtId="0" fontId="28" fillId="0" borderId="28" xfId="0" applyFont="1" applyBorder="1" applyAlignment="1">
      <alignment horizontal="center" vertical="center" wrapText="1"/>
    </xf>
    <xf numFmtId="0" fontId="28" fillId="0" borderId="0" xfId="0" applyFont="1" applyAlignment="1">
      <alignment horizontal="center" vertical="center" wrapText="1"/>
    </xf>
    <xf numFmtId="0" fontId="28" fillId="0" borderId="43"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26" fillId="17" borderId="28" xfId="0" applyFont="1" applyFill="1" applyBorder="1" applyAlignment="1">
      <alignment horizontal="center" vertical="center" wrapText="1"/>
    </xf>
    <xf numFmtId="0" fontId="26" fillId="17" borderId="0" xfId="0" applyFont="1" applyFill="1" applyAlignment="1">
      <alignment horizontal="center" vertical="center" wrapText="1"/>
    </xf>
    <xf numFmtId="0" fontId="17" fillId="0" borderId="11" xfId="0" applyFont="1" applyBorder="1" applyAlignment="1">
      <alignment horizontal="left" vertical="center" wrapText="1"/>
    </xf>
    <xf numFmtId="0" fontId="17" fillId="0" borderId="0" xfId="0" applyFont="1" applyAlignment="1">
      <alignment horizontal="left" vertical="center" wrapText="1"/>
    </xf>
    <xf numFmtId="0" fontId="27" fillId="0" borderId="0" xfId="0" applyFont="1" applyAlignment="1">
      <alignment horizontal="center" vertical="center" wrapText="1"/>
    </xf>
    <xf numFmtId="0" fontId="18" fillId="18" borderId="15" xfId="0" applyFont="1" applyFill="1" applyBorder="1" applyAlignment="1">
      <alignment horizontal="center" vertical="center" wrapText="1"/>
    </xf>
    <xf numFmtId="0" fontId="18" fillId="18" borderId="16" xfId="0" applyFont="1" applyFill="1" applyBorder="1" applyAlignment="1">
      <alignment horizontal="center" vertical="center" wrapText="1"/>
    </xf>
    <xf numFmtId="0" fontId="18" fillId="18" borderId="17"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7" xfId="0" applyFont="1" applyBorder="1" applyAlignment="1">
      <alignment horizontal="center" vertical="center" wrapTex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24" xfId="0" applyFont="1" applyBorder="1" applyAlignment="1">
      <alignment horizontal="center" vertical="center"/>
    </xf>
    <xf numFmtId="0" fontId="25" fillId="0" borderId="0" xfId="0" applyFont="1" applyAlignment="1">
      <alignment horizontal="center" vertical="center"/>
    </xf>
    <xf numFmtId="0" fontId="25" fillId="0" borderId="40"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14" fontId="25" fillId="0" borderId="4" xfId="0" applyNumberFormat="1" applyFont="1" applyBorder="1" applyAlignment="1">
      <alignment horizontal="center" vertical="center"/>
    </xf>
  </cellXfs>
  <cellStyles count="20">
    <cellStyle name="Hipervínculo" xfId="15" builtinId="8"/>
    <cellStyle name="Millares [0] 2" xfId="6" xr:uid="{00000000-0005-0000-0000-000002000000}"/>
    <cellStyle name="Millares 2" xfId="8" xr:uid="{00000000-0005-0000-0000-000003000000}"/>
    <cellStyle name="Millares 2 2" xfId="13" xr:uid="{4C3E5EB3-87E2-4242-B83B-86DE95C88E12}"/>
    <cellStyle name="Millares 8" xfId="5" xr:uid="{00000000-0005-0000-0000-000004000000}"/>
    <cellStyle name="Moneda" xfId="19" builtinId="4"/>
    <cellStyle name="Moneda [0] 2" xfId="3" xr:uid="{00000000-0005-0000-0000-000006000000}"/>
    <cellStyle name="Moneda 2" xfId="17" xr:uid="{9F19F307-69E3-41AA-8D61-CE762E7357F6}"/>
    <cellStyle name="Moneda 3" xfId="14" xr:uid="{AAF5E87F-B405-4F21-BECC-7CD1E18DD30B}"/>
    <cellStyle name="Moneda 5" xfId="10" xr:uid="{00000000-0005-0000-0000-000007000000}"/>
    <cellStyle name="Moneda 8" xfId="16" xr:uid="{04B7F0A9-F073-4EB8-8736-C79770B7FA04}"/>
    <cellStyle name="Normal" xfId="0" builtinId="0"/>
    <cellStyle name="Normal 13" xfId="2" xr:uid="{00000000-0005-0000-0000-000009000000}"/>
    <cellStyle name="Normal 2" xfId="4" xr:uid="{00000000-0005-0000-0000-00000A000000}"/>
    <cellStyle name="Normal 4" xfId="12" xr:uid="{00000000-0005-0000-0000-00000B000000}"/>
    <cellStyle name="Normal 4 2" xfId="18" xr:uid="{26CDB225-B153-455E-A5FF-FD7F11625B27}"/>
    <cellStyle name="Normal 5" xfId="9" xr:uid="{00000000-0005-0000-0000-00000C000000}"/>
    <cellStyle name="Normal 9" xfId="7" xr:uid="{00000000-0005-0000-0000-00000D000000}"/>
    <cellStyle name="Porcentaje" xfId="1" builtinId="5"/>
    <cellStyle name="Porcentaje 2 2" xfId="11" xr:uid="{00000000-0005-0000-0000-00000F000000}"/>
  </cellStyles>
  <dxfs count="0"/>
  <tableStyles count="0" defaultTableStyle="TableStyleMedium2" defaultPivotStyle="PivotStyleLight16"/>
  <colors>
    <mruColors>
      <color rgb="FFFF2D2D"/>
      <color rgb="FFF8E4E4"/>
      <color rgb="FFABB2D1"/>
      <color rgb="FFADCEF5"/>
      <color rgb="FFF6E392"/>
      <color rgb="FFF8CB5A"/>
      <color rgb="FFF7C13B"/>
      <color rgb="FFF5C461"/>
      <color rgb="FFF6C76A"/>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GRAFICA 1</a:t>
            </a:r>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c:spPr>
          <c:invertIfNegative val="0"/>
          <c:dPt>
            <c:idx val="1"/>
            <c:invertIfNegative val="0"/>
            <c:bubble3D val="0"/>
            <c:spPr>
              <a:solidFill>
                <a:srgbClr val="C00000"/>
              </a:solidFill>
              <a:ln>
                <a:noFill/>
              </a:ln>
              <a:effectLst/>
            </c:spPr>
            <c:extLst>
              <c:ext xmlns:c16="http://schemas.microsoft.com/office/drawing/2014/chart" uri="{C3380CC4-5D6E-409C-BE32-E72D297353CC}">
                <c16:uniqueId val="{00000003-F4FB-4574-9C2F-A36B653BCE5B}"/>
              </c:ext>
            </c:extLst>
          </c:dPt>
          <c:dPt>
            <c:idx val="2"/>
            <c:invertIfNegative val="0"/>
            <c:bubble3D val="0"/>
            <c:spPr>
              <a:solidFill>
                <a:srgbClr val="C00000"/>
              </a:solidFill>
              <a:ln>
                <a:noFill/>
              </a:ln>
              <a:effectLst/>
            </c:spPr>
            <c:extLst>
              <c:ext xmlns:c16="http://schemas.microsoft.com/office/drawing/2014/chart" uri="{C3380CC4-5D6E-409C-BE32-E72D297353CC}">
                <c16:uniqueId val="{00000005-F4FB-4574-9C2F-A36B653BCE5B}"/>
              </c:ext>
            </c:extLst>
          </c:dPt>
          <c:dPt>
            <c:idx val="3"/>
            <c:invertIfNegative val="0"/>
            <c:bubble3D val="0"/>
            <c:spPr>
              <a:solidFill>
                <a:srgbClr val="C00000"/>
              </a:solidFill>
              <a:ln>
                <a:noFill/>
              </a:ln>
              <a:effectLst/>
            </c:spPr>
            <c:extLst>
              <c:ext xmlns:c16="http://schemas.microsoft.com/office/drawing/2014/chart" uri="{C3380CC4-5D6E-409C-BE32-E72D297353CC}">
                <c16:uniqueId val="{00000007-F4FB-4574-9C2F-A36B653BCE5B}"/>
              </c:ext>
            </c:extLst>
          </c:dPt>
          <c:dPt>
            <c:idx val="4"/>
            <c:invertIfNegative val="0"/>
            <c:bubble3D val="0"/>
            <c:spPr>
              <a:solidFill>
                <a:srgbClr val="C00000"/>
              </a:solidFill>
              <a:ln>
                <a:noFill/>
              </a:ln>
              <a:effectLst/>
            </c:spPr>
            <c:extLst>
              <c:ext xmlns:c16="http://schemas.microsoft.com/office/drawing/2014/chart" uri="{C3380CC4-5D6E-409C-BE32-E72D297353CC}">
                <c16:uniqueId val="{00000009-F4FB-4574-9C2F-A36B653BCE5B}"/>
              </c:ext>
            </c:extLst>
          </c:dPt>
          <c:dPt>
            <c:idx val="5"/>
            <c:invertIfNegative val="0"/>
            <c:bubble3D val="0"/>
            <c:spPr>
              <a:solidFill>
                <a:srgbClr val="C00000"/>
              </a:solidFill>
              <a:ln>
                <a:noFill/>
              </a:ln>
              <a:effectLst/>
            </c:spPr>
            <c:extLst>
              <c:ext xmlns:c16="http://schemas.microsoft.com/office/drawing/2014/chart" uri="{C3380CC4-5D6E-409C-BE32-E72D297353CC}">
                <c16:uniqueId val="{0000000B-F4FB-4574-9C2F-A36B653BCE5B}"/>
              </c:ext>
            </c:extLst>
          </c:dPt>
          <c:dPt>
            <c:idx val="6"/>
            <c:invertIfNegative val="0"/>
            <c:bubble3D val="0"/>
            <c:spPr>
              <a:solidFill>
                <a:srgbClr val="C00000"/>
              </a:solidFill>
              <a:ln>
                <a:noFill/>
              </a:ln>
              <a:effectLst/>
            </c:spPr>
            <c:extLst>
              <c:ext xmlns:c16="http://schemas.microsoft.com/office/drawing/2014/chart" uri="{C3380CC4-5D6E-409C-BE32-E72D297353CC}">
                <c16:uniqueId val="{0000000B-82E2-4BE5-9CF5-283BD6EE096C}"/>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Avances!$B$25:$B$31</c:f>
              <c:strCache>
                <c:ptCount val="7"/>
                <c:pt idx="0">
                  <c:v>1. Fortalecer las relaciones entre el Gobierno y el Congreso de la Republica, con el fin de impulsar la capacidad de gestión legislativa en cumplimiento de los diferentes temas de la agenda pública</c:v>
                </c:pt>
                <c:pt idx="1">
                  <c:v>2. Promover la protección y el goce efectivo de los Derechos Humanos y las libertades y prevenir las violaciones a los Derechos a la vida, integridad, libertad y seguridad de personas, grupos y comunidades</c:v>
                </c:pt>
                <c:pt idx="2">
                  <c:v>3. Implementar políticas públicas y estrategias para la promoción de la  convivencia ciudadana y la seguridad en el ejercicio del liderazgo social y comunitario: Convivencia y Seguridad</c:v>
                </c:pt>
                <c:pt idx="3">
                  <c:v>4. Implementar políticas públicas y estrategias de articulación entre el Gobierno Nacional y las entidades territoriales orientadas a su  fortalecimiento y modernización: Gobierno y Gestión Territorial</c:v>
                </c:pt>
                <c:pt idx="4">
                  <c:v>5. Fortalecer el diálogo social e intercultural “Estado – Comunidades”,  promoviendo estrategias que contribuyan a la equidad y el desarrollo de los pueblos Indígenas, Rrom, y comunidades Negras, Afro, Raizales y Palenqueras, garantizando el derecho fundam</c:v>
                </c:pt>
                <c:pt idx="5">
                  <c:v>6. Promover la democracia, la participación política y el respeto por la libertad de cultos, mediante la implementación y articulación de políticas y estrategias orientadas a fortalecer la acción comunal, las veedurías ciudadanas, organizaciones religiosas</c:v>
                </c:pt>
                <c:pt idx="6">
                  <c:v>7. Fortalecer la capacidad Institucional promoviendo el talento humano, la participación ciudadana, la Gestión del conocimiento e innovación y el uso de nuevas tecnologías, en el marco de la cultura de la transparencia, la legalidad y la Gestión pública ef</c:v>
                </c:pt>
              </c:strCache>
            </c:strRef>
          </c:cat>
          <c:val>
            <c:numRef>
              <c:f>Avances!$S$25:$S$31</c:f>
              <c:numCache>
                <c:formatCode>0.0%</c:formatCode>
                <c:ptCount val="7"/>
              </c:numCache>
            </c:numRef>
          </c:val>
          <c:extLst>
            <c:ext xmlns:c16="http://schemas.microsoft.com/office/drawing/2014/chart" uri="{C3380CC4-5D6E-409C-BE32-E72D297353CC}">
              <c16:uniqueId val="{0000000C-F4FB-4574-9C2F-A36B653BCE5B}"/>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0%" sourceLinked="1"/>
        <c:majorTickMark val="none"/>
        <c:minorTickMark val="none"/>
        <c:tickLblPos val="nextTo"/>
        <c:crossAx val="101262256"/>
        <c:crosses val="autoZero"/>
        <c:crossBetween val="between"/>
      </c:valAx>
      <c:spPr>
        <a:gradFill>
          <a:gsLst>
            <a:gs pos="21238">
              <a:schemeClr val="bg1">
                <a:lumMod val="85000"/>
              </a:schemeClr>
            </a:gs>
            <a:gs pos="0">
              <a:schemeClr val="bg1"/>
            </a:gs>
            <a:gs pos="74000">
              <a:schemeClr val="bg1"/>
            </a:gs>
            <a:gs pos="83000">
              <a:srgbClr val="F8E4E4"/>
            </a:gs>
            <a:gs pos="100000">
              <a:schemeClr val="bg1"/>
            </a:gs>
          </a:gsLst>
          <a:lin ang="5400000" scaled="1"/>
        </a:gra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GRAFICA 2</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Pt>
            <c:idx val="1"/>
            <c:invertIfNegative val="0"/>
            <c:bubble3D val="0"/>
            <c:extLst>
              <c:ext xmlns:c16="http://schemas.microsoft.com/office/drawing/2014/chart" uri="{C3380CC4-5D6E-409C-BE32-E72D297353CC}">
                <c16:uniqueId val="{00000002-560E-4F5C-B02E-9173D0FA598E}"/>
              </c:ext>
            </c:extLst>
          </c:dPt>
          <c:dPt>
            <c:idx val="2"/>
            <c:invertIfNegative val="0"/>
            <c:bubble3D val="0"/>
            <c:extLst>
              <c:ext xmlns:c16="http://schemas.microsoft.com/office/drawing/2014/chart" uri="{C3380CC4-5D6E-409C-BE32-E72D297353CC}">
                <c16:uniqueId val="{00000003-560E-4F5C-B02E-9173D0FA598E}"/>
              </c:ext>
            </c:extLst>
          </c:dPt>
          <c:dPt>
            <c:idx val="3"/>
            <c:invertIfNegative val="0"/>
            <c:bubble3D val="0"/>
            <c:extLst>
              <c:ext xmlns:c16="http://schemas.microsoft.com/office/drawing/2014/chart" uri="{C3380CC4-5D6E-409C-BE32-E72D297353CC}">
                <c16:uniqueId val="{00000005-560E-4F5C-B02E-9173D0FA598E}"/>
              </c:ext>
            </c:extLst>
          </c:dPt>
          <c:dPt>
            <c:idx val="4"/>
            <c:invertIfNegative val="0"/>
            <c:bubble3D val="0"/>
            <c:extLst>
              <c:ext xmlns:c16="http://schemas.microsoft.com/office/drawing/2014/chart" uri="{C3380CC4-5D6E-409C-BE32-E72D297353CC}">
                <c16:uniqueId val="{00000003-0C7E-436E-AFC0-4355FCFD3C7C}"/>
              </c:ext>
            </c:extLst>
          </c:dPt>
          <c:dPt>
            <c:idx val="6"/>
            <c:invertIfNegative val="0"/>
            <c:bubble3D val="0"/>
            <c:extLst>
              <c:ext xmlns:c16="http://schemas.microsoft.com/office/drawing/2014/chart" uri="{C3380CC4-5D6E-409C-BE32-E72D297353CC}">
                <c16:uniqueId val="{00000008-2A30-4184-BF18-24E841EB55A3}"/>
              </c:ext>
            </c:extLst>
          </c:dPt>
          <c:dPt>
            <c:idx val="8"/>
            <c:invertIfNegative val="0"/>
            <c:bubble3D val="0"/>
            <c:extLst>
              <c:ext xmlns:c16="http://schemas.microsoft.com/office/drawing/2014/chart" uri="{C3380CC4-5D6E-409C-BE32-E72D297353CC}">
                <c16:uniqueId val="{00000005-0C7E-436E-AFC0-4355FCFD3C7C}"/>
              </c:ext>
            </c:extLst>
          </c:dPt>
          <c:dLbls>
            <c:dLbl>
              <c:idx val="8"/>
              <c:layout>
                <c:manualLayout>
                  <c:x val="-0.11412303896508405"/>
                  <c:y val="-5.42324605750102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7E-436E-AFC0-4355FCFD3C7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Avances!$B$37:$B$45</c:f>
              <c:strCache>
                <c:ptCount val="9"/>
                <c:pt idx="0">
                  <c:v>Oficina de Control Interno</c:v>
                </c:pt>
                <c:pt idx="1">
                  <c:v>Oficina Asesora de Planeación </c:v>
                </c:pt>
                <c:pt idx="2">
                  <c:v>Oficina de Información Pública del Interior</c:v>
                </c:pt>
                <c:pt idx="3">
                  <c:v>Dirección Jurídica</c:v>
                </c:pt>
                <c:pt idx="4">
                  <c:v>Grupo de Articulación Interna para la Política de Víctimas del Conflicto Armado</c:v>
                </c:pt>
                <c:pt idx="5">
                  <c:v>Grupo de Coordinación del Gabinete del Ministerio del Interior</c:v>
                </c:pt>
                <c:pt idx="6">
                  <c:v>Grupo Interno de Trabajo Equipo de Paz</c:v>
                </c:pt>
                <c:pt idx="7">
                  <c:v>Grupo de Enfoque de Género y Diversidad del Minsterio del Interior</c:v>
                </c:pt>
                <c:pt idx="8">
                  <c:v>Oficina de Control Disciplinario Interno</c:v>
                </c:pt>
              </c:strCache>
            </c:strRef>
          </c:cat>
          <c:val>
            <c:numRef>
              <c:f>Avances!$S$37:$S$45</c:f>
              <c:numCache>
                <c:formatCode>0.0%</c:formatCode>
                <c:ptCount val="9"/>
              </c:numCache>
            </c:numRef>
          </c:val>
          <c:extLst>
            <c:ext xmlns:c16="http://schemas.microsoft.com/office/drawing/2014/chart" uri="{C3380CC4-5D6E-409C-BE32-E72D297353CC}">
              <c16:uniqueId val="{00000009-560E-4F5C-B02E-9173D0FA598E}"/>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1238">
              <a:schemeClr val="bg1">
                <a:lumMod val="85000"/>
              </a:schemeClr>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GRAFICA 3</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Avances!$B$51:$B$56</c:f>
              <c:strCache>
                <c:ptCount val="3"/>
                <c:pt idx="0">
                  <c:v>Subdirección de Gestión Humana</c:v>
                </c:pt>
                <c:pt idx="1">
                  <c:v>Subdirección Administrativa y Financiera</c:v>
                </c:pt>
                <c:pt idx="2">
                  <c:v>Subdirección de Gestión Contractual</c:v>
                </c:pt>
              </c:strCache>
            </c:strRef>
          </c:cat>
          <c:val>
            <c:numRef>
              <c:f>Avances!$S$51:$S$53</c:f>
              <c:numCache>
                <c:formatCode>0.0%</c:formatCode>
                <c:ptCount val="3"/>
              </c:numCache>
            </c:numRef>
          </c:val>
          <c:extLst>
            <c:ext xmlns:c16="http://schemas.microsoft.com/office/drawing/2014/chart" uri="{C3380CC4-5D6E-409C-BE32-E72D297353CC}">
              <c16:uniqueId val="{00000009-DC50-442B-913E-E956C981AE65}"/>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GRAFICA 4</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bar"/>
        <c:grouping val="clustered"/>
        <c:varyColors val="0"/>
        <c:ser>
          <c:idx val="0"/>
          <c:order val="0"/>
          <c:spPr>
            <a:solidFill>
              <a:srgbClr val="C00000"/>
            </a:soli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Avances!$B$62:$B$66</c:f>
              <c:strCache>
                <c:ptCount val="5"/>
                <c:pt idx="0">
                  <c:v>Dirección de Asuntos Legislativos</c:v>
                </c:pt>
                <c:pt idx="1">
                  <c:v>Dirección para la Democracia, la Participación Ciudadana y la Acción Comunal</c:v>
                </c:pt>
                <c:pt idx="2">
                  <c:v>Dirección de Seguridad, Convivencia Ciudadana y Gobierno</c:v>
                </c:pt>
                <c:pt idx="3">
                  <c:v>Subdirección de Gobierno y Gestión Territorial y Lucha Contrata la Trata</c:v>
                </c:pt>
                <c:pt idx="4">
                  <c:v>Subdirección de Proyectos para la Seguridad y Convivencia Ciudadana</c:v>
                </c:pt>
              </c:strCache>
            </c:strRef>
          </c:cat>
          <c:val>
            <c:numRef>
              <c:f>Avances!$S$62:$S$66</c:f>
              <c:numCache>
                <c:formatCode>0.0%</c:formatCode>
                <c:ptCount val="5"/>
              </c:numCache>
            </c:numRef>
          </c:val>
          <c:extLst>
            <c:ext xmlns:c16="http://schemas.microsoft.com/office/drawing/2014/chart" uri="{C3380CC4-5D6E-409C-BE32-E72D297353CC}">
              <c16:uniqueId val="{00000000-B49F-4E4E-A24F-3FF2CDE36792}"/>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i="0" u="none" strike="noStrike" baseline="0">
                <a:effectLst/>
              </a:rPr>
              <a:t>GARFICA 5</a:t>
            </a:r>
            <a:endParaRPr lang="en-US" b="1" baseline="0"/>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bar"/>
        <c:grouping val="clustered"/>
        <c:varyColors val="0"/>
        <c:ser>
          <c:idx val="0"/>
          <c:order val="0"/>
          <c:tx>
            <c:strRef>
              <c:f>Avances!$S$73:$S$77</c:f>
              <c:strCache>
                <c:ptCount val="5"/>
                <c:pt idx="0">
                  <c:v>Viceministerio para el Diálogo Social y los Derechos Humanos</c:v>
                </c:pt>
                <c:pt idx="1">
                  <c:v>Dirección de Asuntos para Comunidades Negras, Afrocolombianas, Raizales y Palenqueras</c:v>
                </c:pt>
                <c:pt idx="2">
                  <c:v>Dirección de Asuntos Indígenas, Rom y Minorías</c:v>
                </c:pt>
                <c:pt idx="3">
                  <c:v>Dirección de Derechos Humanos</c:v>
                </c:pt>
                <c:pt idx="4">
                  <c:v>Dirección de la Autoridad Nacional de Consulta Previa</c:v>
                </c:pt>
              </c:strCache>
            </c:strRef>
          </c:tx>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Avances!$B$73:$B$78</c:f>
              <c:strCache>
                <c:ptCount val="6"/>
                <c:pt idx="0">
                  <c:v>Viceministerio para el Diálogo Social y los Derechos Humanos</c:v>
                </c:pt>
                <c:pt idx="1">
                  <c:v>Dirección de Asuntos para Comunidades Negras, Afrocolombianas, Raizales y Palenqueras</c:v>
                </c:pt>
                <c:pt idx="2">
                  <c:v>Dirección de Asuntos Indígenas, Rom y Minorías</c:v>
                </c:pt>
                <c:pt idx="3">
                  <c:v>Dirección de Derechos Humanos</c:v>
                </c:pt>
                <c:pt idx="4">
                  <c:v>Dirección de la Autoridad Nacional de Consulta Previa</c:v>
                </c:pt>
                <c:pt idx="5">
                  <c:v>Dirección de Asuntos Religiosos</c:v>
                </c:pt>
              </c:strCache>
            </c:strRef>
          </c:cat>
          <c:val>
            <c:numRef>
              <c:f>Avances!$S$73:$S$78</c:f>
              <c:numCache>
                <c:formatCode>0.0%</c:formatCode>
                <c:ptCount val="6"/>
              </c:numCache>
            </c:numRef>
          </c:val>
          <c:extLst>
            <c:ext xmlns:c16="http://schemas.microsoft.com/office/drawing/2014/chart" uri="{C3380CC4-5D6E-409C-BE32-E72D297353CC}">
              <c16:uniqueId val="{00000000-5D9E-4249-B1D0-21F65DD6999E}"/>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b"/>
        <c:numFmt formatCode="0.0%" sourceLinked="1"/>
        <c:majorTickMark val="none"/>
        <c:minorTickMark val="none"/>
        <c:tickLblPos val="nextTo"/>
        <c:crossAx val="101256376"/>
        <c:crosses val="autoZero"/>
        <c:crossBetween val="between"/>
      </c:valAx>
      <c:spPr>
        <a:gradFill>
          <a:gsLst>
            <a:gs pos="22000">
              <a:schemeClr val="bg1">
                <a:lumMod val="85000"/>
              </a:schemeClr>
            </a:gs>
            <a:gs pos="21238">
              <a:schemeClr val="bg1"/>
            </a:gs>
            <a:gs pos="0">
              <a:schemeClr val="bg1"/>
            </a:gs>
            <a:gs pos="74000">
              <a:schemeClr val="bg1"/>
            </a:gs>
            <a:gs pos="83000">
              <a:schemeClr val="bg1">
                <a:lumMod val="75000"/>
              </a:schemeClr>
            </a:gs>
            <a:gs pos="100000">
              <a:schemeClr val="bg1"/>
            </a:gs>
          </a:gsLst>
          <a:lin ang="5400000" scaled="1"/>
        </a:grad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GRAFICA 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Avances!$C$84</c:f>
              <c:strCache>
                <c:ptCount val="1"/>
                <c:pt idx="0">
                  <c:v>% presupuesto Comprometido</c:v>
                </c:pt>
              </c:strCache>
            </c:strRef>
          </c:tx>
          <c:spPr>
            <a:solidFill>
              <a:schemeClr val="accent1"/>
            </a:solidFill>
            <a:ln>
              <a:noFill/>
            </a:ln>
            <a:effectLst/>
          </c:spPr>
          <c:invertIfNegative val="0"/>
          <c:cat>
            <c:strRef>
              <c:f>Avances!$A$85:$A$107</c:f>
              <c:strCache>
                <c:ptCount val="23"/>
                <c:pt idx="0">
                  <c:v>OCI</c:v>
                </c:pt>
                <c:pt idx="1">
                  <c:v>OAP</c:v>
                </c:pt>
                <c:pt idx="2">
                  <c:v>OIP</c:v>
                </c:pt>
                <c:pt idx="3">
                  <c:v>DIJ</c:v>
                </c:pt>
                <c:pt idx="4">
                  <c:v>GVC</c:v>
                </c:pt>
                <c:pt idx="5">
                  <c:v>GCG</c:v>
                </c:pt>
                <c:pt idx="6">
                  <c:v>GPM</c:v>
                </c:pt>
                <c:pt idx="7">
                  <c:v>GED</c:v>
                </c:pt>
                <c:pt idx="8">
                  <c:v>OCD</c:v>
                </c:pt>
                <c:pt idx="9">
                  <c:v>SGH</c:v>
                </c:pt>
                <c:pt idx="10">
                  <c:v>SAF</c:v>
                </c:pt>
                <c:pt idx="11">
                  <c:v>SGC</c:v>
                </c:pt>
                <c:pt idx="12">
                  <c:v>DAL</c:v>
                </c:pt>
                <c:pt idx="13">
                  <c:v>DDP</c:v>
                </c:pt>
                <c:pt idx="14">
                  <c:v>DSC</c:v>
                </c:pt>
                <c:pt idx="15">
                  <c:v>SGT</c:v>
                </c:pt>
                <c:pt idx="16">
                  <c:v>SPS</c:v>
                </c:pt>
                <c:pt idx="17">
                  <c:v>DVD</c:v>
                </c:pt>
                <c:pt idx="18">
                  <c:v>DCN</c:v>
                </c:pt>
                <c:pt idx="19">
                  <c:v>DAI</c:v>
                </c:pt>
                <c:pt idx="20">
                  <c:v>DDH</c:v>
                </c:pt>
                <c:pt idx="21">
                  <c:v>DCP</c:v>
                </c:pt>
                <c:pt idx="22">
                  <c:v>DAR</c:v>
                </c:pt>
              </c:strCache>
            </c:strRef>
          </c:cat>
          <c:val>
            <c:numRef>
              <c:f>Avances!$C$85:$C$107</c:f>
              <c:numCache>
                <c:formatCode>0.0%</c:formatCode>
                <c:ptCount val="23"/>
              </c:numCache>
            </c:numRef>
          </c:val>
          <c:extLst>
            <c:ext xmlns:c16="http://schemas.microsoft.com/office/drawing/2014/chart" uri="{C3380CC4-5D6E-409C-BE32-E72D297353CC}">
              <c16:uniqueId val="{00000000-27A2-43A9-B105-4922B1FB0E0A}"/>
            </c:ext>
          </c:extLst>
        </c:ser>
        <c:ser>
          <c:idx val="1"/>
          <c:order val="1"/>
          <c:tx>
            <c:strRef>
              <c:f>Avances!$D$84</c:f>
              <c:strCache>
                <c:ptCount val="1"/>
                <c:pt idx="0">
                  <c:v>%presupuesto Obligado</c:v>
                </c:pt>
              </c:strCache>
            </c:strRef>
          </c:tx>
          <c:spPr>
            <a:solidFill>
              <a:schemeClr val="accent2"/>
            </a:solidFill>
            <a:ln>
              <a:noFill/>
            </a:ln>
            <a:effectLst/>
          </c:spPr>
          <c:invertIfNegative val="0"/>
          <c:cat>
            <c:strRef>
              <c:f>Avances!$A$85:$A$107</c:f>
              <c:strCache>
                <c:ptCount val="23"/>
                <c:pt idx="0">
                  <c:v>OCI</c:v>
                </c:pt>
                <c:pt idx="1">
                  <c:v>OAP</c:v>
                </c:pt>
                <c:pt idx="2">
                  <c:v>OIP</c:v>
                </c:pt>
                <c:pt idx="3">
                  <c:v>DIJ</c:v>
                </c:pt>
                <c:pt idx="4">
                  <c:v>GVC</c:v>
                </c:pt>
                <c:pt idx="5">
                  <c:v>GCG</c:v>
                </c:pt>
                <c:pt idx="6">
                  <c:v>GPM</c:v>
                </c:pt>
                <c:pt idx="7">
                  <c:v>GED</c:v>
                </c:pt>
                <c:pt idx="8">
                  <c:v>OCD</c:v>
                </c:pt>
                <c:pt idx="9">
                  <c:v>SGH</c:v>
                </c:pt>
                <c:pt idx="10">
                  <c:v>SAF</c:v>
                </c:pt>
                <c:pt idx="11">
                  <c:v>SGC</c:v>
                </c:pt>
                <c:pt idx="12">
                  <c:v>DAL</c:v>
                </c:pt>
                <c:pt idx="13">
                  <c:v>DDP</c:v>
                </c:pt>
                <c:pt idx="14">
                  <c:v>DSC</c:v>
                </c:pt>
                <c:pt idx="15">
                  <c:v>SGT</c:v>
                </c:pt>
                <c:pt idx="16">
                  <c:v>SPS</c:v>
                </c:pt>
                <c:pt idx="17">
                  <c:v>DVD</c:v>
                </c:pt>
                <c:pt idx="18">
                  <c:v>DCN</c:v>
                </c:pt>
                <c:pt idx="19">
                  <c:v>DAI</c:v>
                </c:pt>
                <c:pt idx="20">
                  <c:v>DDH</c:v>
                </c:pt>
                <c:pt idx="21">
                  <c:v>DCP</c:v>
                </c:pt>
                <c:pt idx="22">
                  <c:v>DAR</c:v>
                </c:pt>
              </c:strCache>
            </c:strRef>
          </c:cat>
          <c:val>
            <c:numRef>
              <c:f>Avances!$D$85:$D$107</c:f>
              <c:numCache>
                <c:formatCode>0.0%</c:formatCode>
                <c:ptCount val="23"/>
              </c:numCache>
            </c:numRef>
          </c:val>
          <c:extLst>
            <c:ext xmlns:c16="http://schemas.microsoft.com/office/drawing/2014/chart" uri="{C3380CC4-5D6E-409C-BE32-E72D297353CC}">
              <c16:uniqueId val="{00000001-27A2-43A9-B105-4922B1FB0E0A}"/>
            </c:ext>
          </c:extLst>
        </c:ser>
        <c:dLbls>
          <c:showLegendKey val="0"/>
          <c:showVal val="0"/>
          <c:showCatName val="0"/>
          <c:showSerName val="0"/>
          <c:showPercent val="0"/>
          <c:showBubbleSize val="0"/>
        </c:dLbls>
        <c:gapWidth val="219"/>
        <c:overlap val="-27"/>
        <c:axId val="614518704"/>
        <c:axId val="710878864"/>
      </c:barChart>
      <c:catAx>
        <c:axId val="61451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10878864"/>
        <c:crosses val="autoZero"/>
        <c:auto val="1"/>
        <c:lblAlgn val="ctr"/>
        <c:lblOffset val="100"/>
        <c:noMultiLvlLbl val="0"/>
      </c:catAx>
      <c:valAx>
        <c:axId val="71087886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45187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image" Target="../media/image1.png"/><Relationship Id="rId7"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2729585</xdr:colOff>
      <xdr:row>0</xdr:row>
      <xdr:rowOff>35720</xdr:rowOff>
    </xdr:from>
    <xdr:to>
      <xdr:col>1</xdr:col>
      <xdr:colOff>1273212</xdr:colOff>
      <xdr:row>8</xdr:row>
      <xdr:rowOff>1322614</xdr:rowOff>
    </xdr:to>
    <xdr:pic>
      <xdr:nvPicPr>
        <xdr:cNvPr id="3" name="Imagen 2">
          <a:extLst>
            <a:ext uri="{FF2B5EF4-FFF2-40B4-BE49-F238E27FC236}">
              <a16:creationId xmlns:a16="http://schemas.microsoft.com/office/drawing/2014/main" id="{F03FE4F9-9C20-4C75-A3A4-D934E2F1BA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585" y="35720"/>
          <a:ext cx="1325532" cy="1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244929</xdr:colOff>
      <xdr:row>20</xdr:row>
      <xdr:rowOff>54428</xdr:rowOff>
    </xdr:from>
    <xdr:to>
      <xdr:col>30</xdr:col>
      <xdr:colOff>707573</xdr:colOff>
      <xdr:row>31</xdr:row>
      <xdr:rowOff>68034</xdr:rowOff>
    </xdr:to>
    <xdr:graphicFrame macro="">
      <xdr:nvGraphicFramePr>
        <xdr:cNvPr id="2" name="Gráfico 1">
          <a:extLst>
            <a:ext uri="{FF2B5EF4-FFF2-40B4-BE49-F238E27FC236}">
              <a16:creationId xmlns:a16="http://schemas.microsoft.com/office/drawing/2014/main" id="{8EC59475-C308-4EC3-B08E-A63A5D28D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294821</xdr:colOff>
      <xdr:row>35</xdr:row>
      <xdr:rowOff>941614</xdr:rowOff>
    </xdr:from>
    <xdr:to>
      <xdr:col>31</xdr:col>
      <xdr:colOff>45356</xdr:colOff>
      <xdr:row>57</xdr:row>
      <xdr:rowOff>90713</xdr:rowOff>
    </xdr:to>
    <xdr:graphicFrame macro="">
      <xdr:nvGraphicFramePr>
        <xdr:cNvPr id="3" name="Gráfico 2">
          <a:extLst>
            <a:ext uri="{FF2B5EF4-FFF2-40B4-BE49-F238E27FC236}">
              <a16:creationId xmlns:a16="http://schemas.microsoft.com/office/drawing/2014/main" id="{5A3BABA7-1E33-40C0-8807-0D59D7BF8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1648865</xdr:colOff>
      <xdr:row>0</xdr:row>
      <xdr:rowOff>81642</xdr:rowOff>
    </xdr:from>
    <xdr:to>
      <xdr:col>1</xdr:col>
      <xdr:colOff>2814276</xdr:colOff>
      <xdr:row>6</xdr:row>
      <xdr:rowOff>48024</xdr:rowOff>
    </xdr:to>
    <xdr:pic>
      <xdr:nvPicPr>
        <xdr:cNvPr id="16" name="Imagen 15">
          <a:extLst>
            <a:ext uri="{FF2B5EF4-FFF2-40B4-BE49-F238E27FC236}">
              <a16:creationId xmlns:a16="http://schemas.microsoft.com/office/drawing/2014/main" id="{6FEEF48F-2445-487F-B40D-744A663AE8D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9365" y="81642"/>
          <a:ext cx="1165411" cy="1109382"/>
        </a:xfrm>
        <a:prstGeom prst="rect">
          <a:avLst/>
        </a:prstGeom>
      </xdr:spPr>
    </xdr:pic>
    <xdr:clientData/>
  </xdr:twoCellAnchor>
  <xdr:twoCellAnchor>
    <xdr:from>
      <xdr:col>24</xdr:col>
      <xdr:colOff>112260</xdr:colOff>
      <xdr:row>57</xdr:row>
      <xdr:rowOff>44224</xdr:rowOff>
    </xdr:from>
    <xdr:to>
      <xdr:col>30</xdr:col>
      <xdr:colOff>340180</xdr:colOff>
      <xdr:row>64</xdr:row>
      <xdr:rowOff>204109</xdr:rowOff>
    </xdr:to>
    <xdr:graphicFrame macro="">
      <xdr:nvGraphicFramePr>
        <xdr:cNvPr id="17" name="Gráfico 16">
          <a:extLst>
            <a:ext uri="{FF2B5EF4-FFF2-40B4-BE49-F238E27FC236}">
              <a16:creationId xmlns:a16="http://schemas.microsoft.com/office/drawing/2014/main" id="{9A971172-DA26-4CF0-89C3-F86253ADA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149677</xdr:colOff>
      <xdr:row>64</xdr:row>
      <xdr:rowOff>149678</xdr:rowOff>
    </xdr:from>
    <xdr:to>
      <xdr:col>30</xdr:col>
      <xdr:colOff>721178</xdr:colOff>
      <xdr:row>74</xdr:row>
      <xdr:rowOff>54428</xdr:rowOff>
    </xdr:to>
    <xdr:graphicFrame macro="">
      <xdr:nvGraphicFramePr>
        <xdr:cNvPr id="18" name="Gráfico 17">
          <a:extLst>
            <a:ext uri="{FF2B5EF4-FFF2-40B4-BE49-F238E27FC236}">
              <a16:creationId xmlns:a16="http://schemas.microsoft.com/office/drawing/2014/main" id="{C2E48348-7E76-4D1F-B104-879F8DC2F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503464</xdr:colOff>
      <xdr:row>74</xdr:row>
      <xdr:rowOff>81643</xdr:rowOff>
    </xdr:from>
    <xdr:to>
      <xdr:col>30</xdr:col>
      <xdr:colOff>530679</xdr:colOff>
      <xdr:row>89</xdr:row>
      <xdr:rowOff>13609</xdr:rowOff>
    </xdr:to>
    <xdr:graphicFrame macro="">
      <xdr:nvGraphicFramePr>
        <xdr:cNvPr id="12" name="Gráfico 11">
          <a:extLst>
            <a:ext uri="{FF2B5EF4-FFF2-40B4-BE49-F238E27FC236}">
              <a16:creationId xmlns:a16="http://schemas.microsoft.com/office/drawing/2014/main" id="{6DCACE91-6997-48F9-ACE4-82376CF6B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18</xdr:col>
      <xdr:colOff>176894</xdr:colOff>
      <xdr:row>14</xdr:row>
      <xdr:rowOff>187096</xdr:rowOff>
    </xdr:from>
    <xdr:to>
      <xdr:col>22</xdr:col>
      <xdr:colOff>1171576</xdr:colOff>
      <xdr:row>19</xdr:row>
      <xdr:rowOff>1044347</xdr:rowOff>
    </xdr:to>
    <xdr:pic>
      <xdr:nvPicPr>
        <xdr:cNvPr id="10" name="Imagen 9">
          <a:extLst>
            <a:ext uri="{FF2B5EF4-FFF2-40B4-BE49-F238E27FC236}">
              <a16:creationId xmlns:a16="http://schemas.microsoft.com/office/drawing/2014/main" id="{E20CEB88-F213-4EFD-9017-CD9E21B742A2}"/>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5703894" y="3377971"/>
          <a:ext cx="6452507" cy="3738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462643</xdr:colOff>
      <xdr:row>83</xdr:row>
      <xdr:rowOff>312963</xdr:rowOff>
    </xdr:from>
    <xdr:to>
      <xdr:col>16</xdr:col>
      <xdr:colOff>247196</xdr:colOff>
      <xdr:row>102</xdr:row>
      <xdr:rowOff>74838</xdr:rowOff>
    </xdr:to>
    <xdr:graphicFrame macro="">
      <xdr:nvGraphicFramePr>
        <xdr:cNvPr id="9" name="Gráfico 8">
          <a:extLst>
            <a:ext uri="{FF2B5EF4-FFF2-40B4-BE49-F238E27FC236}">
              <a16:creationId xmlns:a16="http://schemas.microsoft.com/office/drawing/2014/main" id="{0E73555A-4274-4148-80CA-C9E4E7D401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Elsa Viviana Lopez Beltran" id="{EA535541-0E00-4F2E-B4FA-02EA886767F6}" userId="S::viviana.lopez@mininterior.gov.co::c663ac82-207e-47c3-90bb-63dce7c347e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I213" dT="2025-12-23T15:40:07.81" personId="{EA535541-0E00-4F2E-B4FA-02EA886767F6}" id="{8B6C3CA4-4E74-4C86-A242-779E89419903}">
    <text>Actividad asociada a los Indicadores de proceso según formulación 2026.</text>
  </threadedComment>
  <threadedComment ref="CP223" dT="2025-12-15T20:43:46.54" personId="{EA535541-0E00-4F2E-B4FA-02EA886767F6}" id="{7F779535-0938-40C6-8655-B8302B09E5F6}">
    <text>Se incluye “en el marco del componente de corresponsabilidad.”</text>
  </threadedComment>
  <threadedComment ref="CS223" dT="2025-12-15T20:43:24.15" personId="{EA535541-0E00-4F2E-B4FA-02EA886767F6}" id="{B00B272E-2FDD-4999-BBFC-802F3D64C824}">
    <text>Se ajusta la fórmula del indicador</text>
  </threadedComment>
  <threadedComment ref="CZ223" dT="2025-12-15T20:11:31.11" personId="{EA535541-0E00-4F2E-B4FA-02EA886767F6}" id="{D6A8615E-D626-4615-899D-DADA83E5B96A}">
    <text>La meta se ajusta al 100%</text>
  </threadedComment>
  <threadedComment ref="DB223" dT="2025-12-15T20:11:36.17" personId="{EA535541-0E00-4F2E-B4FA-02EA886767F6}" id="{6668DB61-15B9-43B5-BD72-AF75C1C2580D}">
    <text>La meta se ajusta al 100%</text>
  </threadedComment>
  <threadedComment ref="DI229" dT="2025-12-10T17:50:30.84" personId="{EA535541-0E00-4F2E-B4FA-02EA886767F6}" id="{4336D6A1-07D2-4263-A4CD-2C49ECD04264}">
    <text>Para esta actividad No Aplica, toda vez que no está asociada a ningún proceso, de acuerdo con la nueva formulación de Indicadores de Proceso para 2026.</text>
  </threadedComment>
  <threadedComment ref="CY252" dT="2025-12-23T16:05:01.55" personId="{EA535541-0E00-4F2E-B4FA-02EA886767F6}" id="{28DC08D5-09EC-4187-9F45-675916ACB097}">
    <text>Se ajusta fecha</text>
  </threadedComment>
  <threadedComment ref="CY253" dT="2025-12-23T16:05:01.55" personId="{EA535541-0E00-4F2E-B4FA-02EA886767F6}" id="{91356047-5F97-44AF-BBC8-80899C51ADDA}">
    <text>Se ajusta fecha</text>
  </threadedComment>
  <threadedComment ref="CY254" dT="2025-12-23T16:08:33.55" personId="{EA535541-0E00-4F2E-B4FA-02EA886767F6}" id="{95BDE081-1276-42A4-85D5-E6531B5E9222}">
    <text>Se ajusta fecha</text>
  </threadedComment>
  <threadedComment ref="CP255" dT="2025-12-22T20:30:24.28" personId="{EA535541-0E00-4F2E-B4FA-02EA886767F6}" id="{CF3235F1-F1B0-465E-93F4-054E6A98DD08}">
    <text>Se ajusta el orden de las actividades de la 15.1 a la 15.8.</text>
  </threadedComment>
  <threadedComment ref="CY260" dT="2025-12-23T16:05:01.55" personId="{EA535541-0E00-4F2E-B4FA-02EA886767F6}" id="{AA0E14D5-729B-4B58-999E-7F5E6702893C}">
    <text>Se ajusta fecha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S569"/>
  <sheetViews>
    <sheetView showGridLines="0" tabSelected="1" zoomScale="80" zoomScaleNormal="80" workbookViewId="0">
      <pane ySplit="15" topLeftCell="A16" activePane="bottomLeft" state="frozen"/>
      <selection pane="bottomLeft" activeCell="F16" sqref="F16"/>
    </sheetView>
  </sheetViews>
  <sheetFormatPr baseColWidth="10" defaultColWidth="11.375" defaultRowHeight="14.25"/>
  <cols>
    <col min="1" max="1" width="40.375" customWidth="1"/>
    <col min="2" max="3" width="30.375" customWidth="1"/>
    <col min="4" max="4" width="50.375" customWidth="1"/>
    <col min="5" max="5" width="50.375" style="1" customWidth="1"/>
    <col min="6" max="9" width="35.375" customWidth="1"/>
    <col min="10" max="10" width="50.375" customWidth="1"/>
    <col min="11" max="11" width="45.875" customWidth="1"/>
    <col min="12" max="12" width="12.375" customWidth="1"/>
    <col min="13" max="13" width="23.375" style="2" customWidth="1"/>
    <col min="14" max="14" width="30.125" style="2" customWidth="1"/>
    <col min="15" max="15" width="33.625" customWidth="1"/>
    <col min="17" max="17" width="18.375" customWidth="1"/>
    <col min="22" max="25" width="7.375" hidden="1" customWidth="1"/>
    <col min="26" max="26" width="7.375" customWidth="1"/>
    <col min="27" max="30" width="7.375" hidden="1" customWidth="1"/>
    <col min="31" max="31" width="7.375" customWidth="1"/>
    <col min="32" max="35" width="7.375" hidden="1" customWidth="1"/>
    <col min="36" max="41" width="7.375" customWidth="1"/>
    <col min="42" max="42" width="10.375" customWidth="1"/>
    <col min="43" max="46" width="15.375" hidden="1" customWidth="1"/>
    <col min="47" max="47" width="11.375" hidden="1" customWidth="1"/>
    <col min="48" max="62" width="15.375" hidden="1" customWidth="1"/>
    <col min="63" max="63" width="13.625" hidden="1" customWidth="1"/>
    <col min="64" max="64" width="15.375" hidden="1" customWidth="1"/>
    <col min="65" max="70" width="11.375" hidden="1" customWidth="1"/>
    <col min="71" max="71" width="15.375" hidden="1" customWidth="1"/>
    <col min="72" max="82" width="11.375" hidden="1" customWidth="1"/>
    <col min="83" max="83" width="15.375" hidden="1" customWidth="1"/>
    <col min="84" max="84" width="11.375" hidden="1" customWidth="1"/>
    <col min="85" max="85" width="23.375" bestFit="1" customWidth="1"/>
    <col min="86" max="86" width="22.625" hidden="1" customWidth="1"/>
    <col min="87" max="87" width="21.375" hidden="1" customWidth="1"/>
    <col min="88" max="88" width="15.125" hidden="1" customWidth="1"/>
    <col min="89" max="89" width="13.625" hidden="1" customWidth="1"/>
    <col min="90" max="92" width="11.375" hidden="1" customWidth="1"/>
    <col min="93" max="93" width="11" customWidth="1"/>
    <col min="94" max="94" width="50.625" style="2" customWidth="1"/>
    <col min="95" max="95" width="16.375" style="2" customWidth="1"/>
    <col min="96" max="96" width="50.625" style="2" customWidth="1"/>
    <col min="97" max="97" width="50.625" customWidth="1"/>
    <col min="98" max="98" width="11.375" customWidth="1"/>
    <col min="99" max="99" width="14.625" customWidth="1"/>
    <col min="100" max="108" width="11.375" customWidth="1"/>
    <col min="109" max="109" width="18.375" customWidth="1"/>
    <col min="110" max="110" width="22.125" customWidth="1"/>
    <col min="111" max="111" width="35.625" customWidth="1"/>
    <col min="112" max="112" width="17" customWidth="1"/>
    <col min="113" max="113" width="15.875" customWidth="1"/>
    <col min="114" max="114" width="15.375" customWidth="1"/>
    <col min="115" max="115" width="17.375" customWidth="1"/>
    <col min="116" max="116" width="13.375" customWidth="1"/>
    <col min="117" max="117" width="15.125" customWidth="1"/>
    <col min="118" max="141" width="15.375" hidden="1" customWidth="1"/>
    <col min="142" max="143" width="11.375" hidden="1" customWidth="1"/>
    <col min="144" max="144" width="119.625" hidden="1" customWidth="1"/>
    <col min="145" max="146" width="11.375" hidden="1" customWidth="1"/>
  </cols>
  <sheetData>
    <row r="1" spans="1:146" hidden="1">
      <c r="A1" s="919"/>
      <c r="B1" s="919"/>
      <c r="C1" s="919"/>
      <c r="D1" s="919"/>
      <c r="E1" s="919"/>
      <c r="F1" s="919"/>
      <c r="G1" s="917" t="s">
        <v>94</v>
      </c>
      <c r="H1" s="917"/>
      <c r="I1" s="917"/>
      <c r="J1" s="917"/>
      <c r="K1" s="917"/>
      <c r="L1" s="917"/>
      <c r="M1" s="916" t="s">
        <v>96</v>
      </c>
      <c r="N1" s="916"/>
      <c r="O1" s="916"/>
      <c r="P1" s="916"/>
      <c r="Q1" s="916"/>
      <c r="R1" s="916"/>
      <c r="S1" s="916"/>
      <c r="T1" s="916"/>
      <c r="U1" s="916"/>
      <c r="V1" s="916"/>
      <c r="W1" s="916"/>
      <c r="X1" s="916"/>
      <c r="Y1" s="916"/>
      <c r="Z1" s="916"/>
      <c r="AA1" s="916"/>
      <c r="AB1" s="916"/>
      <c r="AC1" s="916"/>
      <c r="AD1" s="916"/>
      <c r="AE1" s="916"/>
      <c r="AF1" s="916"/>
      <c r="AG1" s="916"/>
      <c r="AH1" s="916"/>
      <c r="AI1" s="916"/>
      <c r="AJ1" s="916"/>
      <c r="AK1" s="916"/>
      <c r="AL1" s="916"/>
      <c r="AM1" s="916"/>
      <c r="AN1" s="916"/>
      <c r="AO1" s="916"/>
      <c r="AP1" s="916"/>
      <c r="AQ1" s="916"/>
      <c r="AR1" s="916"/>
      <c r="AS1" s="916"/>
      <c r="AT1" s="916"/>
      <c r="AU1" s="916" t="s">
        <v>98</v>
      </c>
      <c r="AV1" s="916"/>
      <c r="AW1" s="916"/>
      <c r="AX1" s="916"/>
      <c r="AY1" s="916"/>
      <c r="AZ1" s="916"/>
      <c r="BA1" s="916"/>
      <c r="BB1" s="916"/>
      <c r="BC1" s="916"/>
      <c r="BD1" s="917">
        <v>13</v>
      </c>
      <c r="BE1" s="917"/>
      <c r="BF1" s="917"/>
      <c r="BG1" s="917"/>
      <c r="BH1" s="917"/>
      <c r="BI1" s="917"/>
      <c r="BJ1" s="917"/>
    </row>
    <row r="2" spans="1:146" hidden="1">
      <c r="A2" s="919"/>
      <c r="B2" s="919"/>
      <c r="C2" s="919"/>
      <c r="D2" s="919"/>
      <c r="E2" s="919"/>
      <c r="F2" s="919"/>
      <c r="G2" s="917"/>
      <c r="H2" s="917"/>
      <c r="I2" s="917"/>
      <c r="J2" s="917"/>
      <c r="K2" s="917"/>
      <c r="L2" s="917"/>
      <c r="M2" s="916"/>
      <c r="N2" s="916"/>
      <c r="O2" s="916"/>
      <c r="P2" s="916"/>
      <c r="Q2" s="916"/>
      <c r="R2" s="916"/>
      <c r="S2" s="916"/>
      <c r="T2" s="916"/>
      <c r="U2" s="916"/>
      <c r="V2" s="916"/>
      <c r="W2" s="916"/>
      <c r="X2" s="916"/>
      <c r="Y2" s="916"/>
      <c r="Z2" s="916"/>
      <c r="AA2" s="916"/>
      <c r="AB2" s="916"/>
      <c r="AC2" s="916"/>
      <c r="AD2" s="916"/>
      <c r="AE2" s="916"/>
      <c r="AF2" s="916"/>
      <c r="AG2" s="916"/>
      <c r="AH2" s="916"/>
      <c r="AI2" s="916"/>
      <c r="AJ2" s="916"/>
      <c r="AK2" s="916"/>
      <c r="AL2" s="916"/>
      <c r="AM2" s="916"/>
      <c r="AN2" s="916"/>
      <c r="AO2" s="916"/>
      <c r="AP2" s="916"/>
      <c r="AQ2" s="916"/>
      <c r="AR2" s="916"/>
      <c r="AS2" s="916"/>
      <c r="AT2" s="916"/>
      <c r="AU2" s="916"/>
      <c r="AV2" s="916"/>
      <c r="AW2" s="916"/>
      <c r="AX2" s="916"/>
      <c r="AY2" s="916"/>
      <c r="AZ2" s="916"/>
      <c r="BA2" s="916"/>
      <c r="BB2" s="916"/>
      <c r="BC2" s="916"/>
      <c r="BD2" s="917"/>
      <c r="BE2" s="917"/>
      <c r="BF2" s="917"/>
      <c r="BG2" s="917"/>
      <c r="BH2" s="917"/>
      <c r="BI2" s="917"/>
      <c r="BJ2" s="917"/>
    </row>
    <row r="3" spans="1:146" hidden="1">
      <c r="A3" s="919"/>
      <c r="B3" s="919"/>
      <c r="C3" s="919"/>
      <c r="D3" s="919"/>
      <c r="E3" s="919"/>
      <c r="F3" s="919"/>
      <c r="G3" s="917"/>
      <c r="H3" s="917"/>
      <c r="I3" s="917"/>
      <c r="J3" s="917"/>
      <c r="K3" s="917"/>
      <c r="L3" s="917"/>
      <c r="M3" s="916"/>
      <c r="N3" s="916"/>
      <c r="O3" s="916"/>
      <c r="P3" s="916"/>
      <c r="Q3" s="916"/>
      <c r="R3" s="916"/>
      <c r="S3" s="916"/>
      <c r="T3" s="916"/>
      <c r="U3" s="916"/>
      <c r="V3" s="916"/>
      <c r="W3" s="916"/>
      <c r="X3" s="916"/>
      <c r="Y3" s="916"/>
      <c r="Z3" s="916"/>
      <c r="AA3" s="916"/>
      <c r="AB3" s="916"/>
      <c r="AC3" s="916"/>
      <c r="AD3" s="916"/>
      <c r="AE3" s="916"/>
      <c r="AF3" s="916"/>
      <c r="AG3" s="916"/>
      <c r="AH3" s="916"/>
      <c r="AI3" s="916"/>
      <c r="AJ3" s="916"/>
      <c r="AK3" s="916"/>
      <c r="AL3" s="916"/>
      <c r="AM3" s="916"/>
      <c r="AN3" s="916"/>
      <c r="AO3" s="916"/>
      <c r="AP3" s="916"/>
      <c r="AQ3" s="916"/>
      <c r="AR3" s="916"/>
      <c r="AS3" s="916"/>
      <c r="AT3" s="916"/>
      <c r="AU3" s="916"/>
      <c r="AV3" s="916"/>
      <c r="AW3" s="916"/>
      <c r="AX3" s="916"/>
      <c r="AY3" s="916"/>
      <c r="AZ3" s="916"/>
      <c r="BA3" s="916"/>
      <c r="BB3" s="916"/>
      <c r="BC3" s="916"/>
      <c r="BD3" s="917"/>
      <c r="BE3" s="917"/>
      <c r="BF3" s="917"/>
      <c r="BG3" s="917"/>
      <c r="BH3" s="917"/>
      <c r="BI3" s="917"/>
      <c r="BJ3" s="917"/>
    </row>
    <row r="4" spans="1:146" hidden="1">
      <c r="A4" s="919"/>
      <c r="B4" s="919"/>
      <c r="C4" s="919"/>
      <c r="D4" s="919"/>
      <c r="E4" s="919"/>
      <c r="F4" s="919"/>
      <c r="G4" s="917"/>
      <c r="H4" s="917"/>
      <c r="I4" s="917"/>
      <c r="J4" s="917"/>
      <c r="K4" s="917"/>
      <c r="L4" s="917"/>
      <c r="M4" s="916"/>
      <c r="N4" s="916"/>
      <c r="O4" s="916"/>
      <c r="P4" s="916"/>
      <c r="Q4" s="916"/>
      <c r="R4" s="916"/>
      <c r="S4" s="916"/>
      <c r="T4" s="916"/>
      <c r="U4" s="916"/>
      <c r="V4" s="916"/>
      <c r="W4" s="916"/>
      <c r="X4" s="916"/>
      <c r="Y4" s="916"/>
      <c r="Z4" s="916"/>
      <c r="AA4" s="916"/>
      <c r="AB4" s="916"/>
      <c r="AC4" s="916"/>
      <c r="AD4" s="916"/>
      <c r="AE4" s="916"/>
      <c r="AF4" s="916"/>
      <c r="AG4" s="916"/>
      <c r="AH4" s="916"/>
      <c r="AI4" s="916"/>
      <c r="AJ4" s="916"/>
      <c r="AK4" s="916"/>
      <c r="AL4" s="916"/>
      <c r="AM4" s="916"/>
      <c r="AN4" s="916"/>
      <c r="AO4" s="916"/>
      <c r="AP4" s="916"/>
      <c r="AQ4" s="916"/>
      <c r="AR4" s="916"/>
      <c r="AS4" s="916"/>
      <c r="AT4" s="916"/>
      <c r="AU4" s="916" t="s">
        <v>99</v>
      </c>
      <c r="AV4" s="916"/>
      <c r="AW4" s="916"/>
      <c r="AX4" s="916"/>
      <c r="AY4" s="916"/>
      <c r="AZ4" s="916"/>
      <c r="BA4" s="916"/>
      <c r="BB4" s="916"/>
      <c r="BC4" s="916"/>
      <c r="BD4" s="917" t="s">
        <v>101</v>
      </c>
      <c r="BE4" s="917"/>
      <c r="BF4" s="917"/>
      <c r="BG4" s="917"/>
      <c r="BH4" s="917"/>
      <c r="BI4" s="917"/>
      <c r="BJ4" s="917"/>
    </row>
    <row r="5" spans="1:146" hidden="1">
      <c r="A5" s="919"/>
      <c r="B5" s="919"/>
      <c r="C5" s="919"/>
      <c r="D5" s="919"/>
      <c r="E5" s="919"/>
      <c r="F5" s="919"/>
      <c r="G5" s="917" t="s">
        <v>95</v>
      </c>
      <c r="H5" s="917"/>
      <c r="I5" s="917"/>
      <c r="J5" s="917"/>
      <c r="K5" s="917"/>
      <c r="L5" s="917"/>
      <c r="M5" s="916" t="s">
        <v>97</v>
      </c>
      <c r="N5" s="916"/>
      <c r="O5" s="916"/>
      <c r="P5" s="916"/>
      <c r="Q5" s="916"/>
      <c r="R5" s="916"/>
      <c r="S5" s="916"/>
      <c r="T5" s="916"/>
      <c r="U5" s="916"/>
      <c r="V5" s="916"/>
      <c r="W5" s="916"/>
      <c r="X5" s="916"/>
      <c r="Y5" s="916"/>
      <c r="Z5" s="916"/>
      <c r="AA5" s="916"/>
      <c r="AB5" s="916"/>
      <c r="AC5" s="916"/>
      <c r="AD5" s="916"/>
      <c r="AE5" s="916"/>
      <c r="AF5" s="916"/>
      <c r="AG5" s="916"/>
      <c r="AH5" s="916"/>
      <c r="AI5" s="916"/>
      <c r="AJ5" s="916"/>
      <c r="AK5" s="916"/>
      <c r="AL5" s="916"/>
      <c r="AM5" s="916"/>
      <c r="AN5" s="916"/>
      <c r="AO5" s="916"/>
      <c r="AP5" s="916"/>
      <c r="AQ5" s="916"/>
      <c r="AR5" s="916"/>
      <c r="AS5" s="916"/>
      <c r="AT5" s="916"/>
      <c r="AU5" s="916"/>
      <c r="AV5" s="916"/>
      <c r="AW5" s="916"/>
      <c r="AX5" s="916"/>
      <c r="AY5" s="916"/>
      <c r="AZ5" s="916"/>
      <c r="BA5" s="916"/>
      <c r="BB5" s="916"/>
      <c r="BC5" s="916"/>
      <c r="BD5" s="917"/>
      <c r="BE5" s="917"/>
      <c r="BF5" s="917"/>
      <c r="BG5" s="917"/>
      <c r="BH5" s="917"/>
      <c r="BI5" s="917"/>
      <c r="BJ5" s="917"/>
    </row>
    <row r="6" spans="1:146" hidden="1">
      <c r="A6" s="919"/>
      <c r="B6" s="919"/>
      <c r="C6" s="919"/>
      <c r="D6" s="919"/>
      <c r="E6" s="919"/>
      <c r="F6" s="919"/>
      <c r="G6" s="917"/>
      <c r="H6" s="917"/>
      <c r="I6" s="917"/>
      <c r="J6" s="917"/>
      <c r="K6" s="917"/>
      <c r="L6" s="917"/>
      <c r="M6" s="916"/>
      <c r="N6" s="916"/>
      <c r="O6" s="916"/>
      <c r="P6" s="916"/>
      <c r="Q6" s="916"/>
      <c r="R6" s="916"/>
      <c r="S6" s="916"/>
      <c r="T6" s="916"/>
      <c r="U6" s="916"/>
      <c r="V6" s="916"/>
      <c r="W6" s="916"/>
      <c r="X6" s="916"/>
      <c r="Y6" s="916"/>
      <c r="Z6" s="916"/>
      <c r="AA6" s="916"/>
      <c r="AB6" s="916"/>
      <c r="AC6" s="916"/>
      <c r="AD6" s="916"/>
      <c r="AE6" s="916"/>
      <c r="AF6" s="916"/>
      <c r="AG6" s="916"/>
      <c r="AH6" s="916"/>
      <c r="AI6" s="916"/>
      <c r="AJ6" s="916"/>
      <c r="AK6" s="916"/>
      <c r="AL6" s="916"/>
      <c r="AM6" s="916"/>
      <c r="AN6" s="916"/>
      <c r="AO6" s="916"/>
      <c r="AP6" s="916"/>
      <c r="AQ6" s="916"/>
      <c r="AR6" s="916"/>
      <c r="AS6" s="916"/>
      <c r="AT6" s="916"/>
      <c r="AU6" s="916"/>
      <c r="AV6" s="916"/>
      <c r="AW6" s="916"/>
      <c r="AX6" s="916"/>
      <c r="AY6" s="916"/>
      <c r="AZ6" s="916"/>
      <c r="BA6" s="916"/>
      <c r="BB6" s="916"/>
      <c r="BC6" s="916"/>
      <c r="BD6" s="917"/>
      <c r="BE6" s="917"/>
      <c r="BF6" s="917"/>
      <c r="BG6" s="917"/>
      <c r="BH6" s="917"/>
      <c r="BI6" s="917"/>
      <c r="BJ6" s="917"/>
    </row>
    <row r="7" spans="1:146" hidden="1">
      <c r="A7" s="919"/>
      <c r="B7" s="919"/>
      <c r="C7" s="919"/>
      <c r="D7" s="919"/>
      <c r="E7" s="919"/>
      <c r="F7" s="919"/>
      <c r="G7" s="917"/>
      <c r="H7" s="917"/>
      <c r="I7" s="917"/>
      <c r="J7" s="917"/>
      <c r="K7" s="917"/>
      <c r="L7" s="917"/>
      <c r="M7" s="916"/>
      <c r="N7" s="916"/>
      <c r="O7" s="916"/>
      <c r="P7" s="916"/>
      <c r="Q7" s="916"/>
      <c r="R7" s="916"/>
      <c r="S7" s="916"/>
      <c r="T7" s="916"/>
      <c r="U7" s="916"/>
      <c r="V7" s="916"/>
      <c r="W7" s="916"/>
      <c r="X7" s="916"/>
      <c r="Y7" s="916"/>
      <c r="Z7" s="916"/>
      <c r="AA7" s="916"/>
      <c r="AB7" s="916"/>
      <c r="AC7" s="916"/>
      <c r="AD7" s="916"/>
      <c r="AE7" s="916"/>
      <c r="AF7" s="916"/>
      <c r="AG7" s="916"/>
      <c r="AH7" s="916"/>
      <c r="AI7" s="916"/>
      <c r="AJ7" s="916"/>
      <c r="AK7" s="916"/>
      <c r="AL7" s="916"/>
      <c r="AM7" s="916"/>
      <c r="AN7" s="916"/>
      <c r="AO7" s="916"/>
      <c r="AP7" s="916"/>
      <c r="AQ7" s="916"/>
      <c r="AR7" s="916"/>
      <c r="AS7" s="916"/>
      <c r="AT7" s="916"/>
      <c r="AU7" s="916" t="s">
        <v>100</v>
      </c>
      <c r="AV7" s="916"/>
      <c r="AW7" s="916"/>
      <c r="AX7" s="916"/>
      <c r="AY7" s="916"/>
      <c r="AZ7" s="916"/>
      <c r="BA7" s="916"/>
      <c r="BB7" s="916"/>
      <c r="BC7" s="916"/>
      <c r="BD7" s="918">
        <v>45982</v>
      </c>
      <c r="BE7" s="917"/>
      <c r="BF7" s="917"/>
      <c r="BG7" s="917"/>
      <c r="BH7" s="917"/>
      <c r="BI7" s="917"/>
      <c r="BJ7" s="917"/>
    </row>
    <row r="8" spans="1:146" hidden="1">
      <c r="A8" s="919"/>
      <c r="B8" s="919"/>
      <c r="C8" s="919"/>
      <c r="D8" s="919"/>
      <c r="E8" s="919"/>
      <c r="F8" s="919"/>
      <c r="G8" s="917"/>
      <c r="H8" s="917"/>
      <c r="I8" s="917"/>
      <c r="J8" s="917"/>
      <c r="K8" s="917"/>
      <c r="L8" s="917"/>
      <c r="M8" s="916"/>
      <c r="N8" s="916"/>
      <c r="O8" s="916"/>
      <c r="P8" s="916"/>
      <c r="Q8" s="916"/>
      <c r="R8" s="916"/>
      <c r="S8" s="916"/>
      <c r="T8" s="916"/>
      <c r="U8" s="916"/>
      <c r="V8" s="916"/>
      <c r="W8" s="916"/>
      <c r="X8" s="916"/>
      <c r="Y8" s="916"/>
      <c r="Z8" s="916"/>
      <c r="AA8" s="916"/>
      <c r="AB8" s="916"/>
      <c r="AC8" s="916"/>
      <c r="AD8" s="916"/>
      <c r="AE8" s="916"/>
      <c r="AF8" s="916"/>
      <c r="AG8" s="916"/>
      <c r="AH8" s="916"/>
      <c r="AI8" s="916"/>
      <c r="AJ8" s="916"/>
      <c r="AK8" s="916"/>
      <c r="AL8" s="916"/>
      <c r="AM8" s="916"/>
      <c r="AN8" s="916"/>
      <c r="AO8" s="916"/>
      <c r="AP8" s="916"/>
      <c r="AQ8" s="916"/>
      <c r="AR8" s="916"/>
      <c r="AS8" s="916"/>
      <c r="AT8" s="916"/>
      <c r="AU8" s="916"/>
      <c r="AV8" s="916"/>
      <c r="AW8" s="916"/>
      <c r="AX8" s="916"/>
      <c r="AY8" s="916"/>
      <c r="AZ8" s="916"/>
      <c r="BA8" s="916"/>
      <c r="BB8" s="916"/>
      <c r="BC8" s="916"/>
      <c r="BD8" s="917"/>
      <c r="BE8" s="917"/>
      <c r="BF8" s="917"/>
      <c r="BG8" s="917"/>
      <c r="BH8" s="917"/>
      <c r="BI8" s="917"/>
      <c r="BJ8" s="917"/>
    </row>
    <row r="9" spans="1:146" ht="121.5" customHeight="1"/>
    <row r="10" spans="1:146" ht="36.75" customHeight="1">
      <c r="A10" s="994" t="s">
        <v>0</v>
      </c>
      <c r="B10" s="995"/>
      <c r="C10" s="995"/>
      <c r="D10" s="995"/>
      <c r="E10" s="995"/>
      <c r="F10" s="995"/>
      <c r="G10" s="995"/>
      <c r="H10" s="995"/>
      <c r="I10" s="995"/>
      <c r="J10" s="995"/>
      <c r="K10" s="995"/>
      <c r="L10" s="995"/>
      <c r="M10" s="995"/>
      <c r="N10" s="995"/>
      <c r="O10" s="995"/>
      <c r="P10" s="995"/>
      <c r="Q10" s="995"/>
      <c r="R10" s="995"/>
      <c r="S10" s="995"/>
      <c r="T10" s="995"/>
      <c r="U10" s="995"/>
      <c r="V10" s="995"/>
      <c r="W10" s="995"/>
      <c r="X10" s="995"/>
      <c r="Y10" s="995"/>
      <c r="Z10" s="995"/>
      <c r="AA10" s="995"/>
      <c r="AB10" s="995"/>
      <c r="AC10" s="995"/>
      <c r="AD10" s="995"/>
      <c r="AE10" s="995"/>
      <c r="AF10" s="995"/>
      <c r="AG10" s="995"/>
      <c r="AH10" s="995"/>
      <c r="AI10" s="995"/>
      <c r="AJ10" s="995"/>
      <c r="AK10" s="995"/>
      <c r="AL10" s="995"/>
      <c r="AM10" s="995"/>
      <c r="AN10" s="995"/>
      <c r="AO10" s="995"/>
      <c r="AP10" s="995"/>
      <c r="AQ10" s="995"/>
      <c r="AR10" s="995"/>
      <c r="AS10" s="995"/>
      <c r="AT10" s="995"/>
      <c r="AU10" s="995"/>
      <c r="AV10" s="995"/>
      <c r="AW10" s="995"/>
      <c r="AX10" s="995"/>
      <c r="AY10" s="995"/>
      <c r="AZ10" s="995"/>
      <c r="BA10" s="995"/>
      <c r="BB10" s="995"/>
      <c r="BC10" s="995"/>
      <c r="BD10" s="995"/>
      <c r="BE10" s="995"/>
      <c r="BF10" s="995"/>
      <c r="BG10" s="995"/>
      <c r="BH10" s="995"/>
      <c r="BI10" s="995"/>
      <c r="BJ10" s="995"/>
      <c r="BK10" s="995"/>
      <c r="BL10" s="995"/>
      <c r="BM10" s="995"/>
      <c r="BN10" s="995"/>
      <c r="BO10" s="995"/>
      <c r="BP10" s="995"/>
      <c r="BQ10" s="995"/>
      <c r="BR10" s="995"/>
      <c r="BS10" s="995"/>
      <c r="BT10" s="995"/>
      <c r="BU10" s="995"/>
      <c r="BV10" s="995"/>
      <c r="BW10" s="995"/>
      <c r="BX10" s="995"/>
      <c r="BY10" s="995"/>
      <c r="BZ10" s="995"/>
      <c r="CA10" s="995"/>
      <c r="CB10" s="995"/>
      <c r="CC10" s="995"/>
      <c r="CD10" s="995"/>
      <c r="CE10" s="995"/>
      <c r="CF10" s="995"/>
      <c r="CG10" s="995"/>
      <c r="CH10" s="995"/>
      <c r="CI10" s="995"/>
      <c r="CJ10" s="995"/>
      <c r="CK10" s="995"/>
      <c r="CL10" s="995"/>
      <c r="CM10" s="995"/>
      <c r="CN10" s="995"/>
      <c r="CO10" s="995"/>
      <c r="CP10" s="995"/>
      <c r="CQ10" s="995"/>
      <c r="CR10" s="995"/>
      <c r="CS10" s="995"/>
      <c r="CT10" s="995"/>
      <c r="CU10" s="995"/>
      <c r="CV10" s="995"/>
      <c r="CW10" s="995"/>
      <c r="CX10" s="995"/>
      <c r="CY10" s="995"/>
      <c r="CZ10" s="995"/>
      <c r="DA10" s="995"/>
      <c r="DB10" s="995"/>
      <c r="DC10" s="995"/>
      <c r="DD10" s="995"/>
      <c r="DE10" s="995"/>
      <c r="DF10" s="995"/>
      <c r="DG10" s="995"/>
      <c r="DH10" s="995"/>
      <c r="DI10" s="995"/>
      <c r="DJ10" s="995"/>
      <c r="DK10" s="995"/>
      <c r="DL10" s="995"/>
      <c r="DM10" s="995"/>
      <c r="DN10" s="995"/>
      <c r="DO10" s="995"/>
      <c r="DP10" s="995"/>
      <c r="DQ10" s="995"/>
      <c r="DR10" s="995"/>
      <c r="DS10" s="995"/>
      <c r="DT10" s="995"/>
      <c r="DU10" s="995"/>
      <c r="DV10" s="995"/>
      <c r="DW10" s="995"/>
      <c r="DX10" s="995"/>
      <c r="DY10" s="995"/>
      <c r="DZ10" s="995"/>
      <c r="EA10" s="995"/>
      <c r="EB10" s="995"/>
      <c r="EC10" s="995"/>
      <c r="ED10" s="995"/>
      <c r="EE10" s="995"/>
      <c r="EF10" s="995"/>
      <c r="EG10" s="995"/>
      <c r="EH10" s="995"/>
      <c r="EI10" s="995"/>
      <c r="EJ10" s="995"/>
      <c r="EK10" s="995"/>
      <c r="EL10" s="995"/>
      <c r="EM10" s="995"/>
    </row>
    <row r="11" spans="1:146" ht="41.25" customHeight="1" thickBot="1">
      <c r="A11" s="23" t="s">
        <v>1</v>
      </c>
      <c r="B11" s="993" t="s">
        <v>4691</v>
      </c>
      <c r="C11" s="993"/>
      <c r="D11" s="993"/>
      <c r="E11" s="993"/>
      <c r="F11" s="993"/>
      <c r="G11" s="23" t="s">
        <v>2</v>
      </c>
      <c r="H11" s="992">
        <v>2026</v>
      </c>
      <c r="I11" s="992"/>
      <c r="J11" s="6"/>
      <c r="K11" s="6"/>
      <c r="L11" s="6"/>
      <c r="M11" s="7"/>
      <c r="N11" s="7"/>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5"/>
      <c r="CM11" s="5"/>
      <c r="CN11" s="5"/>
      <c r="CO11" s="6"/>
      <c r="CP11" s="7"/>
      <c r="CQ11" s="7"/>
      <c r="CR11" s="7"/>
      <c r="CS11" s="6"/>
      <c r="CT11" s="6"/>
      <c r="CU11" s="6"/>
      <c r="CV11" s="6"/>
      <c r="CW11" s="6"/>
      <c r="CX11" s="6"/>
      <c r="CY11" s="6"/>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row>
    <row r="12" spans="1:146" ht="24" customHeight="1" thickBot="1">
      <c r="A12" s="996" t="s">
        <v>3</v>
      </c>
      <c r="B12" s="997"/>
      <c r="C12" s="989" t="s">
        <v>4</v>
      </c>
      <c r="D12" s="990"/>
      <c r="E12" s="990"/>
      <c r="F12" s="990"/>
      <c r="G12" s="990"/>
      <c r="H12" s="990"/>
      <c r="I12" s="990"/>
      <c r="J12" s="990"/>
      <c r="K12" s="991"/>
      <c r="L12" s="971" t="s">
        <v>5</v>
      </c>
      <c r="M12" s="972"/>
      <c r="N12" s="972"/>
      <c r="O12" s="972"/>
      <c r="P12" s="972"/>
      <c r="Q12" s="972"/>
      <c r="R12" s="972"/>
      <c r="S12" s="972"/>
      <c r="T12" s="972"/>
      <c r="U12" s="972"/>
      <c r="V12" s="972"/>
      <c r="W12" s="972"/>
      <c r="X12" s="972"/>
      <c r="Y12" s="972"/>
      <c r="Z12" s="972"/>
      <c r="AA12" s="972"/>
      <c r="AB12" s="972"/>
      <c r="AC12" s="972"/>
      <c r="AD12" s="972"/>
      <c r="AE12" s="972"/>
      <c r="AF12" s="972"/>
      <c r="AG12" s="972"/>
      <c r="AH12" s="972"/>
      <c r="AI12" s="972"/>
      <c r="AJ12" s="972"/>
      <c r="AK12" s="972"/>
      <c r="AL12" s="972"/>
      <c r="AM12" s="972"/>
      <c r="AN12" s="972"/>
      <c r="AO12" s="972"/>
      <c r="AP12" s="973"/>
      <c r="AQ12" s="926" t="s">
        <v>102</v>
      </c>
      <c r="AR12" s="927"/>
      <c r="AS12" s="927"/>
      <c r="AT12" s="927"/>
      <c r="AU12" s="927"/>
      <c r="AV12" s="927"/>
      <c r="AW12" s="927"/>
      <c r="AX12" s="927"/>
      <c r="AY12" s="927"/>
      <c r="AZ12" s="927"/>
      <c r="BA12" s="927"/>
      <c r="BB12" s="927"/>
      <c r="BC12" s="927"/>
      <c r="BD12" s="927"/>
      <c r="BE12" s="927"/>
      <c r="BF12" s="927"/>
      <c r="BG12" s="927"/>
      <c r="BH12" s="927"/>
      <c r="BI12" s="927"/>
      <c r="BJ12" s="927"/>
      <c r="BK12" s="927"/>
      <c r="BL12" s="927"/>
      <c r="BM12" s="927"/>
      <c r="BN12" s="927"/>
      <c r="BO12" s="927"/>
      <c r="BP12" s="927"/>
      <c r="BQ12" s="927"/>
      <c r="BR12" s="927"/>
      <c r="BS12" s="927"/>
      <c r="BT12" s="927"/>
      <c r="BU12" s="927"/>
      <c r="BV12" s="927"/>
      <c r="BW12" s="927"/>
      <c r="BX12" s="927"/>
      <c r="BY12" s="927"/>
      <c r="BZ12" s="927"/>
      <c r="CA12" s="927"/>
      <c r="CB12" s="927"/>
      <c r="CC12" s="927"/>
      <c r="CD12" s="927"/>
      <c r="CE12" s="927"/>
      <c r="CF12" s="927"/>
      <c r="CG12" s="927"/>
      <c r="CH12" s="927"/>
      <c r="CI12" s="927"/>
      <c r="CJ12" s="927"/>
      <c r="CK12" s="928"/>
      <c r="CL12" s="974" t="s">
        <v>6</v>
      </c>
      <c r="CM12" s="977" t="s">
        <v>7</v>
      </c>
      <c r="CN12" s="977" t="s">
        <v>8</v>
      </c>
      <c r="CO12" s="923" t="s">
        <v>4690</v>
      </c>
      <c r="CP12" s="924"/>
      <c r="CQ12" s="924"/>
      <c r="CR12" s="924"/>
      <c r="CS12" s="924"/>
      <c r="CT12" s="924"/>
      <c r="CU12" s="924"/>
      <c r="CV12" s="924"/>
      <c r="CW12" s="924"/>
      <c r="CX12" s="924"/>
      <c r="CY12" s="924"/>
      <c r="CZ12" s="924"/>
      <c r="DA12" s="924"/>
      <c r="DB12" s="924"/>
      <c r="DC12" s="924"/>
      <c r="DD12" s="924"/>
      <c r="DE12" s="924"/>
      <c r="DF12" s="924"/>
      <c r="DG12" s="924"/>
      <c r="DH12" s="924"/>
      <c r="DI12" s="924"/>
      <c r="DJ12" s="924"/>
      <c r="DK12" s="924"/>
      <c r="DL12" s="924"/>
      <c r="DM12" s="925"/>
      <c r="DN12" s="926" t="s">
        <v>9</v>
      </c>
      <c r="DO12" s="927"/>
      <c r="DP12" s="927"/>
      <c r="DQ12" s="927"/>
      <c r="DR12" s="927"/>
      <c r="DS12" s="927"/>
      <c r="DT12" s="927"/>
      <c r="DU12" s="927"/>
      <c r="DV12" s="927"/>
      <c r="DW12" s="927"/>
      <c r="DX12" s="927"/>
      <c r="DY12" s="927"/>
      <c r="DZ12" s="927"/>
      <c r="EA12" s="927"/>
      <c r="EB12" s="927"/>
      <c r="EC12" s="927"/>
      <c r="ED12" s="927"/>
      <c r="EE12" s="927"/>
      <c r="EF12" s="927"/>
      <c r="EG12" s="927"/>
      <c r="EH12" s="927"/>
      <c r="EI12" s="927"/>
      <c r="EJ12" s="927"/>
      <c r="EK12" s="928"/>
      <c r="EL12" s="920" t="s">
        <v>6</v>
      </c>
      <c r="EM12" s="920" t="s">
        <v>7</v>
      </c>
      <c r="EN12" s="920" t="s">
        <v>10</v>
      </c>
    </row>
    <row r="13" spans="1:146" ht="25.5" customHeight="1" thickBot="1">
      <c r="A13" s="962" t="s">
        <v>11</v>
      </c>
      <c r="B13" s="965" t="s">
        <v>12</v>
      </c>
      <c r="C13" s="968" t="s">
        <v>13</v>
      </c>
      <c r="D13" s="905" t="s">
        <v>14</v>
      </c>
      <c r="E13" s="905" t="s">
        <v>15</v>
      </c>
      <c r="F13" s="905" t="s">
        <v>16</v>
      </c>
      <c r="G13" s="905" t="s">
        <v>17</v>
      </c>
      <c r="H13" s="905" t="s">
        <v>18</v>
      </c>
      <c r="I13" s="905" t="s">
        <v>19</v>
      </c>
      <c r="J13" s="905" t="s">
        <v>20</v>
      </c>
      <c r="K13" s="905" t="s">
        <v>21</v>
      </c>
      <c r="L13" s="983" t="s">
        <v>22</v>
      </c>
      <c r="M13" s="983" t="s">
        <v>23</v>
      </c>
      <c r="N13" s="980" t="s">
        <v>24</v>
      </c>
      <c r="O13" s="980" t="s">
        <v>25</v>
      </c>
      <c r="P13" s="980" t="s">
        <v>26</v>
      </c>
      <c r="Q13" s="980" t="s">
        <v>27</v>
      </c>
      <c r="R13" s="980" t="s">
        <v>28</v>
      </c>
      <c r="S13" s="980" t="s">
        <v>29</v>
      </c>
      <c r="T13" s="983" t="s">
        <v>30</v>
      </c>
      <c r="U13" s="986" t="s">
        <v>31</v>
      </c>
      <c r="V13" s="951" t="s">
        <v>32</v>
      </c>
      <c r="W13" s="952"/>
      <c r="X13" s="952"/>
      <c r="Y13" s="952"/>
      <c r="Z13" s="952"/>
      <c r="AA13" s="952"/>
      <c r="AB13" s="952"/>
      <c r="AC13" s="952"/>
      <c r="AD13" s="952"/>
      <c r="AE13" s="952"/>
      <c r="AF13" s="952"/>
      <c r="AG13" s="952"/>
      <c r="AH13" s="952"/>
      <c r="AI13" s="952"/>
      <c r="AJ13" s="952"/>
      <c r="AK13" s="952"/>
      <c r="AL13" s="952"/>
      <c r="AM13" s="952"/>
      <c r="AN13" s="952"/>
      <c r="AO13" s="952"/>
      <c r="AP13" s="953"/>
      <c r="AQ13" s="954" t="s">
        <v>33</v>
      </c>
      <c r="AR13" s="955"/>
      <c r="AS13" s="955"/>
      <c r="AT13" s="955"/>
      <c r="AU13" s="955"/>
      <c r="AV13" s="955"/>
      <c r="AW13" s="955"/>
      <c r="AX13" s="955"/>
      <c r="AY13" s="955"/>
      <c r="AZ13" s="955"/>
      <c r="BA13" s="955"/>
      <c r="BB13" s="955"/>
      <c r="BC13" s="955"/>
      <c r="BD13" s="955"/>
      <c r="BE13" s="955"/>
      <c r="BF13" s="955"/>
      <c r="BG13" s="955"/>
      <c r="BH13" s="955"/>
      <c r="BI13" s="955"/>
      <c r="BJ13" s="955"/>
      <c r="BK13" s="955"/>
      <c r="BL13" s="955"/>
      <c r="BM13" s="955"/>
      <c r="BN13" s="955"/>
      <c r="BO13" s="955"/>
      <c r="BP13" s="955"/>
      <c r="BQ13" s="955"/>
      <c r="BR13" s="955"/>
      <c r="BS13" s="955"/>
      <c r="BT13" s="955"/>
      <c r="BU13" s="955"/>
      <c r="BV13" s="955"/>
      <c r="BW13" s="955"/>
      <c r="BX13" s="955"/>
      <c r="BY13" s="955"/>
      <c r="BZ13" s="955"/>
      <c r="CA13" s="955"/>
      <c r="CB13" s="955"/>
      <c r="CC13" s="955"/>
      <c r="CD13" s="955"/>
      <c r="CE13" s="955"/>
      <c r="CF13" s="956"/>
      <c r="CG13" s="959" t="s">
        <v>103</v>
      </c>
      <c r="CH13" s="960"/>
      <c r="CI13" s="960"/>
      <c r="CJ13" s="960"/>
      <c r="CK13" s="961"/>
      <c r="CL13" s="975"/>
      <c r="CM13" s="978"/>
      <c r="CN13" s="978"/>
      <c r="CO13" s="905" t="s">
        <v>37</v>
      </c>
      <c r="CP13" s="905" t="s">
        <v>38</v>
      </c>
      <c r="CQ13" s="905" t="s">
        <v>39</v>
      </c>
      <c r="CR13" s="902" t="s">
        <v>40</v>
      </c>
      <c r="CS13" s="902" t="s">
        <v>25</v>
      </c>
      <c r="CT13" s="902" t="s">
        <v>26</v>
      </c>
      <c r="CU13" s="902" t="s">
        <v>27</v>
      </c>
      <c r="CV13" s="902" t="s">
        <v>28</v>
      </c>
      <c r="CW13" s="902" t="s">
        <v>29</v>
      </c>
      <c r="CX13" s="902" t="s">
        <v>41</v>
      </c>
      <c r="CY13" s="902" t="s">
        <v>42</v>
      </c>
      <c r="CZ13" s="941" t="s">
        <v>43</v>
      </c>
      <c r="DA13" s="942"/>
      <c r="DB13" s="942"/>
      <c r="DC13" s="942"/>
      <c r="DD13" s="943"/>
      <c r="DE13" s="941" t="s">
        <v>44</v>
      </c>
      <c r="DF13" s="942"/>
      <c r="DG13" s="942"/>
      <c r="DH13" s="943"/>
      <c r="DI13" s="941" t="s">
        <v>45</v>
      </c>
      <c r="DJ13" s="942"/>
      <c r="DK13" s="943"/>
      <c r="DL13" s="929" t="s">
        <v>46</v>
      </c>
      <c r="DM13" s="932" t="s">
        <v>47</v>
      </c>
      <c r="DN13" s="935" t="s">
        <v>33</v>
      </c>
      <c r="DO13" s="936"/>
      <c r="DP13" s="936"/>
      <c r="DQ13" s="936"/>
      <c r="DR13" s="936"/>
      <c r="DS13" s="936"/>
      <c r="DT13" s="936"/>
      <c r="DU13" s="936"/>
      <c r="DV13" s="936"/>
      <c r="DW13" s="936"/>
      <c r="DX13" s="936"/>
      <c r="DY13" s="936"/>
      <c r="DZ13" s="936"/>
      <c r="EA13" s="936"/>
      <c r="EB13" s="936"/>
      <c r="EC13" s="936"/>
      <c r="ED13" s="936"/>
      <c r="EE13" s="936"/>
      <c r="EF13" s="936"/>
      <c r="EG13" s="936"/>
      <c r="EH13" s="936"/>
      <c r="EI13" s="936"/>
      <c r="EJ13" s="936"/>
      <c r="EK13" s="937"/>
      <c r="EL13" s="921"/>
      <c r="EM13" s="921"/>
      <c r="EN13" s="921"/>
    </row>
    <row r="14" spans="1:146" ht="15.75" customHeight="1" thickBot="1">
      <c r="A14" s="963"/>
      <c r="B14" s="966"/>
      <c r="C14" s="969"/>
      <c r="D14" s="906"/>
      <c r="E14" s="906"/>
      <c r="F14" s="906"/>
      <c r="G14" s="906"/>
      <c r="H14" s="906"/>
      <c r="I14" s="906"/>
      <c r="J14" s="906"/>
      <c r="K14" s="906"/>
      <c r="L14" s="984"/>
      <c r="M14" s="984"/>
      <c r="N14" s="981"/>
      <c r="O14" s="981"/>
      <c r="P14" s="981"/>
      <c r="Q14" s="981"/>
      <c r="R14" s="981"/>
      <c r="S14" s="981"/>
      <c r="T14" s="984"/>
      <c r="U14" s="987"/>
      <c r="V14" s="938">
        <v>2023</v>
      </c>
      <c r="W14" s="939"/>
      <c r="X14" s="939"/>
      <c r="Y14" s="939"/>
      <c r="Z14" s="940"/>
      <c r="AA14" s="938">
        <v>2024</v>
      </c>
      <c r="AB14" s="939"/>
      <c r="AC14" s="939"/>
      <c r="AD14" s="939"/>
      <c r="AE14" s="940"/>
      <c r="AF14" s="938">
        <v>2025</v>
      </c>
      <c r="AG14" s="939"/>
      <c r="AH14" s="939"/>
      <c r="AI14" s="939"/>
      <c r="AJ14" s="940"/>
      <c r="AK14" s="938">
        <v>2026</v>
      </c>
      <c r="AL14" s="939"/>
      <c r="AM14" s="939"/>
      <c r="AN14" s="939"/>
      <c r="AO14" s="940"/>
      <c r="AP14" s="957" t="s">
        <v>83</v>
      </c>
      <c r="AQ14" s="910">
        <v>2023</v>
      </c>
      <c r="AR14" s="911"/>
      <c r="AS14" s="911"/>
      <c r="AT14" s="911"/>
      <c r="AU14" s="911"/>
      <c r="AV14" s="911"/>
      <c r="AW14" s="911"/>
      <c r="AX14" s="911"/>
      <c r="AY14" s="911"/>
      <c r="AZ14" s="912"/>
      <c r="BA14" s="910">
        <v>2024</v>
      </c>
      <c r="BB14" s="911"/>
      <c r="BC14" s="911"/>
      <c r="BD14" s="911"/>
      <c r="BE14" s="911"/>
      <c r="BF14" s="911"/>
      <c r="BG14" s="911"/>
      <c r="BH14" s="911"/>
      <c r="BI14" s="911"/>
      <c r="BJ14" s="912"/>
      <c r="BK14" s="910">
        <v>2025</v>
      </c>
      <c r="BL14" s="911"/>
      <c r="BM14" s="911"/>
      <c r="BN14" s="911"/>
      <c r="BO14" s="911"/>
      <c r="BP14" s="911"/>
      <c r="BQ14" s="911"/>
      <c r="BR14" s="911"/>
      <c r="BS14" s="911"/>
      <c r="BT14" s="912"/>
      <c r="BU14" s="913">
        <v>2026</v>
      </c>
      <c r="BV14" s="914"/>
      <c r="BW14" s="914"/>
      <c r="BX14" s="914"/>
      <c r="BY14" s="914"/>
      <c r="BZ14" s="914"/>
      <c r="CA14" s="914"/>
      <c r="CB14" s="914"/>
      <c r="CC14" s="914"/>
      <c r="CD14" s="915"/>
      <c r="CE14" s="947" t="s">
        <v>84</v>
      </c>
      <c r="CF14" s="949" t="s">
        <v>85</v>
      </c>
      <c r="CG14" s="908" t="s">
        <v>34</v>
      </c>
      <c r="CH14" s="908" t="s">
        <v>92</v>
      </c>
      <c r="CI14" s="908" t="s">
        <v>93</v>
      </c>
      <c r="CJ14" s="908" t="s">
        <v>35</v>
      </c>
      <c r="CK14" s="908" t="s">
        <v>36</v>
      </c>
      <c r="CL14" s="975"/>
      <c r="CM14" s="978"/>
      <c r="CN14" s="978"/>
      <c r="CO14" s="906"/>
      <c r="CP14" s="906"/>
      <c r="CQ14" s="906"/>
      <c r="CR14" s="903"/>
      <c r="CS14" s="903"/>
      <c r="CT14" s="903"/>
      <c r="CU14" s="903"/>
      <c r="CV14" s="903"/>
      <c r="CW14" s="903"/>
      <c r="CX14" s="903"/>
      <c r="CY14" s="903"/>
      <c r="CZ14" s="944"/>
      <c r="DA14" s="945"/>
      <c r="DB14" s="945"/>
      <c r="DC14" s="945"/>
      <c r="DD14" s="946"/>
      <c r="DE14" s="944"/>
      <c r="DF14" s="945"/>
      <c r="DG14" s="945"/>
      <c r="DH14" s="946"/>
      <c r="DI14" s="944"/>
      <c r="DJ14" s="945"/>
      <c r="DK14" s="946"/>
      <c r="DL14" s="930"/>
      <c r="DM14" s="933"/>
      <c r="DN14" s="935" t="s">
        <v>78</v>
      </c>
      <c r="DO14" s="936"/>
      <c r="DP14" s="936"/>
      <c r="DQ14" s="936"/>
      <c r="DR14" s="937"/>
      <c r="DS14" s="935" t="s">
        <v>79</v>
      </c>
      <c r="DT14" s="936"/>
      <c r="DU14" s="936"/>
      <c r="DV14" s="936"/>
      <c r="DW14" s="937"/>
      <c r="DX14" s="935" t="s">
        <v>80</v>
      </c>
      <c r="DY14" s="936"/>
      <c r="DZ14" s="936"/>
      <c r="EA14" s="936"/>
      <c r="EB14" s="937"/>
      <c r="EC14" s="935" t="s">
        <v>81</v>
      </c>
      <c r="ED14" s="936"/>
      <c r="EE14" s="936"/>
      <c r="EF14" s="936"/>
      <c r="EG14" s="937"/>
      <c r="EH14" s="935" t="s">
        <v>4640</v>
      </c>
      <c r="EI14" s="936"/>
      <c r="EJ14" s="936"/>
      <c r="EK14" s="937"/>
      <c r="EL14" s="921"/>
      <c r="EM14" s="921"/>
      <c r="EN14" s="921"/>
    </row>
    <row r="15" spans="1:146" ht="61.5" customHeight="1">
      <c r="A15" s="964"/>
      <c r="B15" s="967"/>
      <c r="C15" s="970"/>
      <c r="D15" s="907"/>
      <c r="E15" s="907"/>
      <c r="F15" s="907"/>
      <c r="G15" s="907"/>
      <c r="H15" s="907"/>
      <c r="I15" s="907"/>
      <c r="J15" s="907"/>
      <c r="K15" s="907"/>
      <c r="L15" s="985"/>
      <c r="M15" s="985"/>
      <c r="N15" s="982"/>
      <c r="O15" s="982"/>
      <c r="P15" s="982"/>
      <c r="Q15" s="982"/>
      <c r="R15" s="982"/>
      <c r="S15" s="982"/>
      <c r="T15" s="985"/>
      <c r="U15" s="988"/>
      <c r="V15" s="25" t="s">
        <v>48</v>
      </c>
      <c r="W15" s="25" t="s">
        <v>49</v>
      </c>
      <c r="X15" s="25" t="s">
        <v>50</v>
      </c>
      <c r="Y15" s="25" t="s">
        <v>51</v>
      </c>
      <c r="Z15" s="26" t="s">
        <v>52</v>
      </c>
      <c r="AA15" s="25" t="s">
        <v>48</v>
      </c>
      <c r="AB15" s="25" t="s">
        <v>49</v>
      </c>
      <c r="AC15" s="25" t="s">
        <v>50</v>
      </c>
      <c r="AD15" s="25" t="s">
        <v>51</v>
      </c>
      <c r="AE15" s="26" t="s">
        <v>52</v>
      </c>
      <c r="AF15" s="25" t="s">
        <v>48</v>
      </c>
      <c r="AG15" s="25" t="s">
        <v>49</v>
      </c>
      <c r="AH15" s="25" t="s">
        <v>50</v>
      </c>
      <c r="AI15" s="25" t="s">
        <v>51</v>
      </c>
      <c r="AJ15" s="26" t="s">
        <v>52</v>
      </c>
      <c r="AK15" s="25" t="s">
        <v>48</v>
      </c>
      <c r="AL15" s="25" t="s">
        <v>49</v>
      </c>
      <c r="AM15" s="25" t="s">
        <v>50</v>
      </c>
      <c r="AN15" s="25" t="s">
        <v>51</v>
      </c>
      <c r="AO15" s="26" t="s">
        <v>52</v>
      </c>
      <c r="AP15" s="958"/>
      <c r="AQ15" s="29" t="s">
        <v>68</v>
      </c>
      <c r="AR15" s="29" t="s">
        <v>69</v>
      </c>
      <c r="AS15" s="29" t="s">
        <v>70</v>
      </c>
      <c r="AT15" s="29" t="s">
        <v>71</v>
      </c>
      <c r="AU15" s="29" t="s">
        <v>72</v>
      </c>
      <c r="AV15" s="29" t="s">
        <v>73</v>
      </c>
      <c r="AW15" s="29" t="s">
        <v>74</v>
      </c>
      <c r="AX15" s="29" t="s">
        <v>75</v>
      </c>
      <c r="AY15" s="200" t="s">
        <v>86</v>
      </c>
      <c r="AZ15" s="200" t="s">
        <v>87</v>
      </c>
      <c r="BA15" s="29" t="s">
        <v>88</v>
      </c>
      <c r="BB15" s="29" t="s">
        <v>69</v>
      </c>
      <c r="BC15" s="29" t="s">
        <v>89</v>
      </c>
      <c r="BD15" s="29" t="s">
        <v>71</v>
      </c>
      <c r="BE15" s="29" t="s">
        <v>90</v>
      </c>
      <c r="BF15" s="29" t="s">
        <v>73</v>
      </c>
      <c r="BG15" s="29" t="s">
        <v>91</v>
      </c>
      <c r="BH15" s="29" t="s">
        <v>75</v>
      </c>
      <c r="BI15" s="200" t="s">
        <v>86</v>
      </c>
      <c r="BJ15" s="200" t="s">
        <v>87</v>
      </c>
      <c r="BK15" s="29" t="s">
        <v>68</v>
      </c>
      <c r="BL15" s="29" t="s">
        <v>69</v>
      </c>
      <c r="BM15" s="29" t="s">
        <v>70</v>
      </c>
      <c r="BN15" s="29" t="s">
        <v>71</v>
      </c>
      <c r="BO15" s="29" t="s">
        <v>72</v>
      </c>
      <c r="BP15" s="29" t="s">
        <v>73</v>
      </c>
      <c r="BQ15" s="29" t="s">
        <v>74</v>
      </c>
      <c r="BR15" s="29" t="s">
        <v>75</v>
      </c>
      <c r="BS15" s="200" t="s">
        <v>86</v>
      </c>
      <c r="BT15" s="200" t="s">
        <v>87</v>
      </c>
      <c r="BU15" s="29" t="s">
        <v>68</v>
      </c>
      <c r="BV15" s="29" t="s">
        <v>69</v>
      </c>
      <c r="BW15" s="29" t="s">
        <v>70</v>
      </c>
      <c r="BX15" s="29" t="s">
        <v>71</v>
      </c>
      <c r="BY15" s="29" t="s">
        <v>72</v>
      </c>
      <c r="BZ15" s="29" t="s">
        <v>73</v>
      </c>
      <c r="CA15" s="29" t="s">
        <v>74</v>
      </c>
      <c r="CB15" s="29" t="s">
        <v>75</v>
      </c>
      <c r="CC15" s="200" t="s">
        <v>86</v>
      </c>
      <c r="CD15" s="200" t="s">
        <v>87</v>
      </c>
      <c r="CE15" s="948"/>
      <c r="CF15" s="950"/>
      <c r="CG15" s="909"/>
      <c r="CH15" s="909"/>
      <c r="CI15" s="909"/>
      <c r="CJ15" s="909"/>
      <c r="CK15" s="909"/>
      <c r="CL15" s="976"/>
      <c r="CM15" s="979"/>
      <c r="CN15" s="979"/>
      <c r="CO15" s="907"/>
      <c r="CP15" s="907"/>
      <c r="CQ15" s="907"/>
      <c r="CR15" s="904"/>
      <c r="CS15" s="904"/>
      <c r="CT15" s="904"/>
      <c r="CU15" s="904"/>
      <c r="CV15" s="904"/>
      <c r="CW15" s="904"/>
      <c r="CX15" s="904"/>
      <c r="CY15" s="904"/>
      <c r="CZ15" s="27" t="s">
        <v>48</v>
      </c>
      <c r="DA15" s="27" t="s">
        <v>49</v>
      </c>
      <c r="DB15" s="27" t="s">
        <v>50</v>
      </c>
      <c r="DC15" s="27" t="s">
        <v>51</v>
      </c>
      <c r="DD15" s="27" t="s">
        <v>52</v>
      </c>
      <c r="DE15" s="27" t="s">
        <v>53</v>
      </c>
      <c r="DF15" s="27" t="s">
        <v>54</v>
      </c>
      <c r="DG15" s="27" t="s">
        <v>55</v>
      </c>
      <c r="DH15" s="28" t="s">
        <v>56</v>
      </c>
      <c r="DI15" s="27" t="s">
        <v>57</v>
      </c>
      <c r="DJ15" s="27" t="s">
        <v>58</v>
      </c>
      <c r="DK15" s="27" t="s">
        <v>59</v>
      </c>
      <c r="DL15" s="931"/>
      <c r="DM15" s="934"/>
      <c r="DN15" s="29" t="s">
        <v>76</v>
      </c>
      <c r="DO15" s="29" t="s">
        <v>77</v>
      </c>
      <c r="DP15" s="29" t="s">
        <v>39</v>
      </c>
      <c r="DQ15" s="29" t="s">
        <v>60</v>
      </c>
      <c r="DR15" s="29" t="s">
        <v>61</v>
      </c>
      <c r="DS15" s="29" t="s">
        <v>76</v>
      </c>
      <c r="DT15" s="29" t="s">
        <v>77</v>
      </c>
      <c r="DU15" s="29" t="s">
        <v>39</v>
      </c>
      <c r="DV15" s="29" t="s">
        <v>60</v>
      </c>
      <c r="DW15" s="29" t="s">
        <v>61</v>
      </c>
      <c r="DX15" s="29" t="s">
        <v>76</v>
      </c>
      <c r="DY15" s="29" t="s">
        <v>77</v>
      </c>
      <c r="DZ15" s="29" t="s">
        <v>39</v>
      </c>
      <c r="EA15" s="29" t="s">
        <v>60</v>
      </c>
      <c r="EB15" s="29" t="s">
        <v>61</v>
      </c>
      <c r="EC15" s="29" t="s">
        <v>76</v>
      </c>
      <c r="ED15" s="29" t="s">
        <v>77</v>
      </c>
      <c r="EE15" s="29" t="s">
        <v>39</v>
      </c>
      <c r="EF15" s="29" t="s">
        <v>60</v>
      </c>
      <c r="EG15" s="29" t="s">
        <v>61</v>
      </c>
      <c r="EH15" s="29" t="s">
        <v>82</v>
      </c>
      <c r="EI15" s="29" t="s">
        <v>77</v>
      </c>
      <c r="EJ15" s="29" t="s">
        <v>60</v>
      </c>
      <c r="EK15" s="29" t="s">
        <v>61</v>
      </c>
      <c r="EL15" s="921"/>
      <c r="EM15" s="922"/>
      <c r="EN15" s="921"/>
    </row>
    <row r="16" spans="1:146" s="93" customFormat="1" ht="202.5" customHeight="1">
      <c r="A16" s="74" t="s">
        <v>149</v>
      </c>
      <c r="B16" s="75" t="s">
        <v>150</v>
      </c>
      <c r="C16" s="76" t="s">
        <v>151</v>
      </c>
      <c r="D16" s="76" t="s">
        <v>152</v>
      </c>
      <c r="E16" s="75" t="s">
        <v>153</v>
      </c>
      <c r="F16" s="74" t="s">
        <v>154</v>
      </c>
      <c r="G16" s="74" t="s">
        <v>154</v>
      </c>
      <c r="H16" s="74" t="s">
        <v>154</v>
      </c>
      <c r="I16" s="74" t="s">
        <v>155</v>
      </c>
      <c r="J16" s="74" t="s">
        <v>156</v>
      </c>
      <c r="K16" s="74" t="s">
        <v>157</v>
      </c>
      <c r="L16" s="77">
        <v>1</v>
      </c>
      <c r="M16" s="78" t="s">
        <v>158</v>
      </c>
      <c r="N16" s="78" t="s">
        <v>159</v>
      </c>
      <c r="O16" s="78" t="s">
        <v>160</v>
      </c>
      <c r="P16" s="78" t="s">
        <v>161</v>
      </c>
      <c r="Q16" s="78" t="s">
        <v>162</v>
      </c>
      <c r="R16" s="79">
        <v>1</v>
      </c>
      <c r="S16" s="78" t="s">
        <v>163</v>
      </c>
      <c r="T16" s="80">
        <v>44927</v>
      </c>
      <c r="U16" s="80">
        <v>46387</v>
      </c>
      <c r="V16" s="81"/>
      <c r="W16" s="81"/>
      <c r="X16" s="81"/>
      <c r="Y16" s="81"/>
      <c r="Z16" s="79">
        <v>1</v>
      </c>
      <c r="AA16" s="75">
        <v>1</v>
      </c>
      <c r="AB16" s="75">
        <v>1</v>
      </c>
      <c r="AC16" s="75">
        <v>1</v>
      </c>
      <c r="AD16" s="75">
        <v>1</v>
      </c>
      <c r="AE16" s="79">
        <v>1</v>
      </c>
      <c r="AF16" s="82">
        <v>1</v>
      </c>
      <c r="AG16" s="82">
        <v>1</v>
      </c>
      <c r="AH16" s="82">
        <v>1</v>
      </c>
      <c r="AI16" s="82">
        <v>1</v>
      </c>
      <c r="AJ16" s="79">
        <v>1</v>
      </c>
      <c r="AK16" s="75">
        <v>1</v>
      </c>
      <c r="AL16" s="75">
        <v>1</v>
      </c>
      <c r="AM16" s="75">
        <v>1</v>
      </c>
      <c r="AN16" s="75">
        <v>1</v>
      </c>
      <c r="AO16" s="79">
        <v>1</v>
      </c>
      <c r="AP16" s="82">
        <v>1</v>
      </c>
      <c r="AQ16" s="83">
        <f>(1+20+9)/(1+20+9)</f>
        <v>1</v>
      </c>
      <c r="AR16" s="84" t="s">
        <v>164</v>
      </c>
      <c r="AS16" s="83">
        <f>(4+7+8)/(4+7+8)</f>
        <v>1</v>
      </c>
      <c r="AT16" s="84" t="s">
        <v>165</v>
      </c>
      <c r="AU16" s="83">
        <f>(4+15+8)/(4+15+8)</f>
        <v>1</v>
      </c>
      <c r="AV16" s="84" t="s">
        <v>166</v>
      </c>
      <c r="AW16" s="83">
        <f>(2+6+6)/(2+6+6)</f>
        <v>1</v>
      </c>
      <c r="AX16" s="84" t="s">
        <v>167</v>
      </c>
      <c r="AY16" s="85">
        <f>(30+19+27+14)/(30+19+27+14)</f>
        <v>1</v>
      </c>
      <c r="AZ16" s="86" t="s">
        <v>168</v>
      </c>
      <c r="BA16" s="83">
        <f>(20+10+1+17+1)/(20+10+1+17+1)</f>
        <v>1</v>
      </c>
      <c r="BB16" s="84" t="s">
        <v>169</v>
      </c>
      <c r="BC16" s="83">
        <f>(4+7+9+1+30+5)/(4+7+10+1+30+5)</f>
        <v>0.98245614035087714</v>
      </c>
      <c r="BD16" s="84" t="s">
        <v>170</v>
      </c>
      <c r="BE16" s="83">
        <f>(2+10+6+1+5+2+5+4+2+2+2+3+5+1+7)/(2+10+6+1+5+2+5+4+2+2+2+3+5+1+7)</f>
        <v>1</v>
      </c>
      <c r="BF16" s="84" t="s">
        <v>171</v>
      </c>
      <c r="BG16" s="85">
        <f>(2+2+5+1+5+2+1+5+2+1+4+1+7)/(2+2+5+1+5+2+1+5+2+1+4+1+7)</f>
        <v>1</v>
      </c>
      <c r="BH16" s="84" t="s">
        <v>172</v>
      </c>
      <c r="BI16" s="83">
        <f>BG16/AE16</f>
        <v>1</v>
      </c>
      <c r="BJ16" s="87" t="s">
        <v>173</v>
      </c>
      <c r="BK16" s="83">
        <f>54/55</f>
        <v>0.98181818181818181</v>
      </c>
      <c r="BL16" s="86" t="s">
        <v>174</v>
      </c>
      <c r="BM16" s="83">
        <f>27/27</f>
        <v>1</v>
      </c>
      <c r="BN16" s="86" t="s">
        <v>175</v>
      </c>
      <c r="BO16" s="83">
        <f>33/33</f>
        <v>1</v>
      </c>
      <c r="BP16" s="86" t="s">
        <v>176</v>
      </c>
      <c r="BQ16" s="84"/>
      <c r="BR16" s="84"/>
      <c r="BS16" s="83"/>
      <c r="BT16" s="84"/>
      <c r="BU16" s="84"/>
      <c r="BV16" s="84"/>
      <c r="BW16" s="84"/>
      <c r="BX16" s="84"/>
      <c r="BY16" s="84"/>
      <c r="BZ16" s="84"/>
      <c r="CA16" s="84"/>
      <c r="CB16" s="84"/>
      <c r="CC16" s="84"/>
      <c r="CD16" s="84"/>
      <c r="CE16" s="83"/>
      <c r="CF16" s="84"/>
      <c r="CG16" s="88"/>
      <c r="CH16" s="88"/>
      <c r="CI16" s="88"/>
      <c r="CJ16" s="83" t="str">
        <f t="shared" ref="CJ16:CJ74" si="0">+IFERROR(CH16/CG16,"No aplica")</f>
        <v>No aplica</v>
      </c>
      <c r="CK16" s="83" t="str">
        <f t="shared" ref="CK16:CK74" si="1">+IFERROR(CI16/CG16,"No aplica")</f>
        <v>No aplica</v>
      </c>
      <c r="CL16" s="83" t="str">
        <f>+IFERROR(IF(M16=M15,"No requiere reporte",IF(OR(AK16=0,AK16=""),"No aplica, no hay meta",IF(AK16="NA","No aplica, no hay meta",IF(BU16="","No se reportó avance",IF(OR(AND(Q16="Capacidad",OR(R16="",R16=0,R16="NA")),AND(Q16="Reducción",OR(R16="",R16=0,R16="NA"))),"Se requiere valor de línea base para este tipo de acumulación",IF(OR(AND(Q16="Flujo",OR(R16&lt;&gt;"",R16&lt;&gt;0,R16&lt;&gt;"NA"),BU16="NA"),AND(Q16="Stock",OR(R16&lt;&gt;"",R16&lt;&gt;0,R16&lt;&gt;"NA"),BU16="NA")),"No aplica",IF(Q16="Flujo",IF(BU16/AK16&gt;1,1.00001,BU16/AK16),IF(Q16="Stock",IF(BU16/AK16&gt;1,1.00001,BU16/AK16),IF(Q16="Acumulado",IF((BU16)/AK16&gt;1,1.00001,(BU16)/AK16),IF(Q16="Capacidad",IF(((BU16-R16)/(AK16-R16))&gt;1,1.00001,((BU16-R16)/(AK16-R16))),IF(Q16="Reducción",IF(((R16-BU16)/(R16-BU16))&gt;1,1.00001,((R16-BU16)/(R16-BU16))),"Revisar acumulación"))))))))))),"Revisar fórmula")</f>
        <v>No se reportó avance</v>
      </c>
      <c r="CM16" s="89" t="str">
        <f>+IFERROR(IF(M16=M15,"No requiere reporte",IF(OR(AO16=0,AO16=""),"No aplica, no hay meta",IF(AO16="NA","No aplica, no hay meta",IF(CC16="","No se reportó avance",IF(OR(AND(Q16="Capacidad",OR(R16="",R16=0,R16="NA")),AND(Q16="Reducción",OR(R16="",R16=0,R16="NA"))),"Se requiere valor de línea base para este tipo de acumulación",IF(OR(AND(Q16="Flujo",OR(R16&lt;&gt;"",R16&lt;&gt;0,R16&lt;&gt;"NA"),CC16="NA"),AND(Q16="Stock",OR(R16&lt;&gt;"",R16&lt;&gt;0,R16&lt;&gt;"NA"),CC16="NA")),"No aplica",IF(Q16="Flujo",IF(CC16/AO16&gt;1,1.00001,CC16/AO16),IF(Q16="Stock",IF(CC16/AO16&gt;1,1.00001,CC16/AO16),IF(Q16="Acumulado",IF((CC16)/AO16&gt;1,1.00001,(CC16)/AO16),IF(Q16="Capacidad",IF(((CC16-R16)/(AO16-R16))&gt;1,1.00001,((CC16-R16)/(AO16-R16))),IF(Q16="Reducción",IF(((R16-CC16)/(R16-CC16))&gt;1,1.00001,((R16-CC16)/(R16-CC16))),"Revisar acumulación"))))))))))),"Revisar fórmula")</f>
        <v>No se reportó avance</v>
      </c>
      <c r="CN16" s="89" t="str">
        <f>+IFERROR(IF(M16=M15,"No requiere reporte",IF(OR(AP16=0,AP16=""),"No aplica, no hay meta",IF(AP16="NA","No aplica, no hay meta",IF(CE16="","No se reportó avance",IF(OR(AND(Q16="Capacidad",OR(R16="",R16=0,R16="NA")),AND(Q16="Reducción",OR(R16="",R16=0,R16="NA"))),"Se requiere valor de línea base para este tipo de acumulación",IF(OR(AND(Q16="Flujo",OR(R16&lt;&gt;"",R16&lt;&gt;0,R16&lt;&gt;"NA"),CE16="NA"),AND(Q16="Stock",OR(R16&lt;&gt;"",R16&lt;&gt;0,R16&lt;&gt;"NA"),CE16="NA")),"No aplica",IF(Q16="Flujo",IF(CE16/AP16&gt;1,1.00001,CE16/AP16),IF(Q16="Stock",IF(CE16/AP16&gt;1,1.00001,CE16/AP16),IF(Q16="Acumulado",IF((CE16)/AP16&gt;1,1.00001,(CE16)/AP16),IF(Q16="Capacidad",IF(((CE16-R16)/(AP16-R16))&gt;1,1.00001,((CE16-R16)/(AP16-R16))),IF(Q16="Reducción",IF(((R16-CE16)/(R16-CE16))&gt;1,1.00001,((R16-CE16)/(R16-CE16))),"Revisar acumulación"))))))))))),"Revisar fórmula")</f>
        <v>No se reportó avance</v>
      </c>
      <c r="CO16" s="84" t="s">
        <v>177</v>
      </c>
      <c r="CP16" s="84" t="s">
        <v>178</v>
      </c>
      <c r="CQ16" s="84" t="s">
        <v>179</v>
      </c>
      <c r="CR16" s="84" t="s">
        <v>180</v>
      </c>
      <c r="CS16" s="84" t="s">
        <v>181</v>
      </c>
      <c r="CT16" s="84" t="s">
        <v>161</v>
      </c>
      <c r="CU16" s="84" t="s">
        <v>162</v>
      </c>
      <c r="CV16" s="85">
        <v>1</v>
      </c>
      <c r="CW16" s="85" t="s">
        <v>163</v>
      </c>
      <c r="CX16" s="90">
        <v>46023</v>
      </c>
      <c r="CY16" s="90">
        <v>46387</v>
      </c>
      <c r="CZ16" s="146">
        <v>1</v>
      </c>
      <c r="DA16" s="146">
        <v>1</v>
      </c>
      <c r="DB16" s="146">
        <v>1</v>
      </c>
      <c r="DC16" s="146">
        <v>1</v>
      </c>
      <c r="DD16" s="146">
        <v>1</v>
      </c>
      <c r="DE16" s="84" t="s">
        <v>182</v>
      </c>
      <c r="DF16" s="84" t="s">
        <v>182</v>
      </c>
      <c r="DG16" s="84" t="s">
        <v>182</v>
      </c>
      <c r="DH16" s="84" t="s">
        <v>182</v>
      </c>
      <c r="DI16" s="84" t="s">
        <v>183</v>
      </c>
      <c r="DJ16" s="84" t="s">
        <v>184</v>
      </c>
      <c r="DK16" s="84" t="s">
        <v>184</v>
      </c>
      <c r="DL16" s="84" t="s">
        <v>154</v>
      </c>
      <c r="DM16" s="84" t="s">
        <v>154</v>
      </c>
      <c r="DN16" s="767"/>
      <c r="DO16" s="762"/>
      <c r="DP16" s="91"/>
      <c r="DQ16" s="762"/>
      <c r="DR16" s="762"/>
      <c r="DS16" s="91"/>
      <c r="DT16" s="762"/>
      <c r="DU16" s="92"/>
      <c r="DV16" s="762"/>
      <c r="DW16" s="762"/>
      <c r="DX16" s="91"/>
      <c r="DY16" s="762"/>
      <c r="DZ16" s="96"/>
      <c r="EA16" s="762"/>
      <c r="EB16" s="762"/>
      <c r="EC16" s="91"/>
      <c r="ED16" s="763"/>
      <c r="EE16" s="91"/>
      <c r="EF16" s="763"/>
      <c r="EG16" s="763"/>
      <c r="EH16" s="764"/>
      <c r="EI16" s="763"/>
      <c r="EJ16" s="763"/>
      <c r="EK16" s="763"/>
      <c r="EL16" s="91" t="str">
        <f>+IFERROR(IF(CP16=CP15,"No requiere reporte",IF(OR(CZ16=0,CZ16=""),"No aplica, no hay meta",IF(CZ16="NA","No aplica, no hay meta",IF(DN16="","No se reportó avance",IF(OR(AND(CU16="Capacidad",OR(CV16="",CV16=0,CV16="NA")),AND(CU16="Reducción",OR(CV16="",CV16=0,CV16="NA"))),"Se requiere valor de línea base para este tipo de acumulación",IF(OR(AND(CU16="Flujo",OR(CV16&lt;&gt;"",CV16&lt;&gt;0,CV16&lt;&gt;"NA"),DN16="NA"),AND(CU16="Stock",OR(CV16&lt;&gt;"",CV16&lt;&gt;0,CV16&lt;&gt;"NA"),DN16="NA")),"No aplica",IF(CU16="Flujo",IF(DN16/CZ16&gt;1,1.00001,DN16/CZ16),IF(CU16="Stock",IF(DN16/CZ16&gt;1,1.00001,DN16/CZ16),IF(CU16="Acumulado",IF((DN16)/CZ16&gt;1,1.00001,(DN16)/CZ16),IF(CU16="Capacidad",IF(((DN16-CV16)/(CZ16-CV16))&gt;1,1.00001,((DN16-CV16)/(CZ16-CV16))),IF(CU16="Reducción",IF(((CV16-DN16)/(CV16-DN16))&gt;1,1.00001,((CV16-DN16)/(CV16-DN16))),"Revisar acumulación"))))))))))),"Revisar fórmula")</f>
        <v>No se reportó avance</v>
      </c>
      <c r="EM16" s="83" t="str">
        <f>+IFERROR(IF(CP16=CP15,"No requiere reporte",IF(OR(DD16=0,DD16=""),"No aplica, no hay meta",IF(DD16="NA","No aplica, no hay meta",IF(EH16="","No se reportó avance",IF(OR(AND(CU16="Capacidad",OR(CV16="",CV16=0,CV16="NA")),AND(CU16="Reducción",OR(CV16="",CV16=0,CV16="NA"))),"Se requiere valor de línea base para este tipo de acumulación",IF(OR(AND(CU16="Flujo",OR(CV16&lt;&gt;"",CV16&lt;&gt;0,CV16&lt;&gt;"NA"),EH16="NA"),AND(CU16="Stock",OR(CV16&lt;&gt;"",CV16&lt;&gt;0,CV16&lt;&gt;"NA"),CV16="NA")),"No aplica",IF(CU16="Flujo",IF(EH16/DD16&gt;1,1.00001,EH16/DD16),IF(CU16="Stock",IF(EH16/DD16&gt;1,1.00001,EH16/DD16),IF(CU16="Acumulado",IF((EH16)/DD16&gt;1,1.00001,(EH16)/DD16),IF(CU16="Capacidad",IF(((EH16-CV16)/(DD16-CV16))&gt;1,1.00001,((EH16-CV16)/(DD16-CV16))),IF(CU16="Reducción",IF(((CV16-EH16)/(CV16-DD16))&gt;1,1.00001,((CV16-EH16)/(CV16-DD16))),"Revisar acumulación"))))))))))),"Revisar fórmula")</f>
        <v>No se reportó avance</v>
      </c>
      <c r="EN16" s="762"/>
      <c r="EO16" s="93" t="str">
        <f t="shared" ref="EO16:EO42" si="2">+IF(OR(P16="Producto",P16="Resultado",P16="Impacto"),"Producto",P16)</f>
        <v>Producto</v>
      </c>
      <c r="EP16" s="93" t="str">
        <f t="shared" ref="EP16:EP42" si="3">+MID(J16,1,1)</f>
        <v>7</v>
      </c>
    </row>
    <row r="17" spans="1:146" s="93" customFormat="1" ht="202.5" customHeight="1">
      <c r="A17" s="84" t="s">
        <v>149</v>
      </c>
      <c r="B17" s="85" t="s">
        <v>150</v>
      </c>
      <c r="C17" s="85" t="s">
        <v>151</v>
      </c>
      <c r="D17" s="85" t="s">
        <v>152</v>
      </c>
      <c r="E17" s="85" t="s">
        <v>153</v>
      </c>
      <c r="F17" s="84" t="s">
        <v>154</v>
      </c>
      <c r="G17" s="84" t="s">
        <v>154</v>
      </c>
      <c r="H17" s="84" t="s">
        <v>154</v>
      </c>
      <c r="I17" s="84" t="s">
        <v>155</v>
      </c>
      <c r="J17" s="84" t="s">
        <v>156</v>
      </c>
      <c r="K17" s="84" t="s">
        <v>157</v>
      </c>
      <c r="L17" s="94">
        <v>1</v>
      </c>
      <c r="M17" s="84" t="s">
        <v>158</v>
      </c>
      <c r="N17" s="84" t="s">
        <v>159</v>
      </c>
      <c r="O17" s="84" t="s">
        <v>160</v>
      </c>
      <c r="P17" s="84" t="s">
        <v>161</v>
      </c>
      <c r="Q17" s="84" t="s">
        <v>162</v>
      </c>
      <c r="R17" s="83">
        <v>1</v>
      </c>
      <c r="S17" s="84" t="s">
        <v>163</v>
      </c>
      <c r="T17" s="90">
        <v>44927</v>
      </c>
      <c r="U17" s="90">
        <v>46387</v>
      </c>
      <c r="V17" s="90"/>
      <c r="W17" s="90"/>
      <c r="X17" s="90"/>
      <c r="Y17" s="90"/>
      <c r="Z17" s="83">
        <v>1</v>
      </c>
      <c r="AA17" s="83">
        <v>1</v>
      </c>
      <c r="AB17" s="83">
        <v>1</v>
      </c>
      <c r="AC17" s="83">
        <v>1</v>
      </c>
      <c r="AD17" s="83">
        <v>1</v>
      </c>
      <c r="AE17" s="83">
        <v>1</v>
      </c>
      <c r="AF17" s="83">
        <v>1</v>
      </c>
      <c r="AG17" s="83">
        <v>1</v>
      </c>
      <c r="AH17" s="83">
        <v>1</v>
      </c>
      <c r="AI17" s="83">
        <v>1</v>
      </c>
      <c r="AJ17" s="83">
        <v>1</v>
      </c>
      <c r="AK17" s="83">
        <v>1</v>
      </c>
      <c r="AL17" s="83">
        <v>1</v>
      </c>
      <c r="AM17" s="83">
        <v>1</v>
      </c>
      <c r="AN17" s="83">
        <v>1</v>
      </c>
      <c r="AO17" s="83">
        <v>1</v>
      </c>
      <c r="AP17" s="83">
        <v>1</v>
      </c>
      <c r="AQ17" s="84"/>
      <c r="AR17" s="84"/>
      <c r="AS17" s="84"/>
      <c r="AT17" s="84"/>
      <c r="AU17" s="84"/>
      <c r="AV17" s="84"/>
      <c r="AW17" s="84"/>
      <c r="AX17" s="84"/>
      <c r="AY17" s="84"/>
      <c r="AZ17" s="86"/>
      <c r="BA17" s="84"/>
      <c r="BB17" s="84"/>
      <c r="BC17" s="84"/>
      <c r="BD17" s="84"/>
      <c r="BE17" s="84"/>
      <c r="BF17" s="84"/>
      <c r="BG17" s="84"/>
      <c r="BH17" s="84"/>
      <c r="BI17" s="84"/>
      <c r="BJ17" s="86"/>
      <c r="BK17" s="83"/>
      <c r="BL17" s="86"/>
      <c r="BM17" s="84"/>
      <c r="BN17" s="86"/>
      <c r="BO17" s="84"/>
      <c r="BP17" s="86"/>
      <c r="BQ17" s="84"/>
      <c r="BR17" s="84"/>
      <c r="BS17" s="83"/>
      <c r="BT17" s="84"/>
      <c r="BU17" s="84"/>
      <c r="BV17" s="84"/>
      <c r="BW17" s="84"/>
      <c r="BX17" s="84"/>
      <c r="BY17" s="84"/>
      <c r="BZ17" s="84"/>
      <c r="CA17" s="84"/>
      <c r="CB17" s="84"/>
      <c r="CC17" s="84"/>
      <c r="CD17" s="84"/>
      <c r="CE17" s="84"/>
      <c r="CF17" s="84"/>
      <c r="CG17" s="88"/>
      <c r="CH17" s="88"/>
      <c r="CI17" s="88"/>
      <c r="CJ17" s="83" t="str">
        <f t="shared" si="0"/>
        <v>No aplica</v>
      </c>
      <c r="CK17" s="83" t="str">
        <f t="shared" si="1"/>
        <v>No aplica</v>
      </c>
      <c r="CL17" s="83" t="str">
        <f t="shared" ref="CL17:CL80" si="4">+IFERROR(IF(M17=M16,"No requiere reporte",IF(OR(AK17=0,AK17=""),"No aplica, no hay meta",IF(AK17="NA","No aplica, no hay meta",IF(BU17="","No se reportó avance",IF(OR(AND(Q17="Capacidad",OR(R17="",R17=0,R17="NA")),AND(Q17="Reducción",OR(R17="",R17=0,R17="NA"))),"Se requiere valor de línea base para este tipo de acumulación",IF(OR(AND(Q17="Flujo",OR(R17&lt;&gt;"",R17&lt;&gt;0,R17&lt;&gt;"NA"),BU17="NA"),AND(Q17="Stock",OR(R17&lt;&gt;"",R17&lt;&gt;0,R17&lt;&gt;"NA"),BU17="NA")),"No aplica",IF(Q17="Flujo",IF(BU17/AK17&gt;1,1.00001,BU17/AK17),IF(Q17="Stock",IF(BU17/AK17&gt;1,1.00001,BU17/AK17),IF(Q17="Acumulado",IF((BU17)/AK17&gt;1,1.00001,(BU17)/AK17),IF(Q17="Capacidad",IF(((BU17-R17)/(AK17-R17))&gt;1,1.00001,((BU17-R17)/(AK17-R17))),IF(Q17="Reducción",IF(((R17-BU17)/(R17-BU17))&gt;1,1.00001,((R17-BU17)/(R17-BU17))),"Revisar acumulación"))))))))))),"Revisar fórmula")</f>
        <v>No requiere reporte</v>
      </c>
      <c r="CM17" s="89" t="str">
        <f t="shared" ref="CM17:CM80" si="5">+IFERROR(IF(M17=M16,"No requiere reporte",IF(OR(AO17=0,AO17=""),"No aplica, no hay meta",IF(AO17="NA","No aplica, no hay meta",IF(CC17="","No se reportó avance",IF(OR(AND(Q17="Capacidad",OR(R17="",R17=0,R17="NA")),AND(Q17="Reducción",OR(R17="",R17=0,R17="NA"))),"Se requiere valor de línea base para este tipo de acumulación",IF(OR(AND(Q17="Flujo",OR(R17&lt;&gt;"",R17&lt;&gt;0,R17&lt;&gt;"NA"),CC17="NA"),AND(Q17="Stock",OR(R17&lt;&gt;"",R17&lt;&gt;0,R17&lt;&gt;"NA"),CC17="NA")),"No aplica",IF(Q17="Flujo",IF(CC17/AO17&gt;1,1.00001,CC17/AO17),IF(Q17="Stock",IF(CC17/AO17&gt;1,1.00001,CC17/AO17),IF(Q17="Acumulado",IF((CC17)/AO17&gt;1,1.00001,(CC17)/AO17),IF(Q17="Capacidad",IF(((CC17-R17)/(AO17-R17))&gt;1,1.00001,((CC17-R17)/(AO17-R17))),IF(Q17="Reducción",IF(((R17-CC17)/(R17-CC17))&gt;1,1.00001,((R17-CC17)/(R17-CC17))),"Revisar acumulación"))))))))))),"Revisar fórmula")</f>
        <v>No requiere reporte</v>
      </c>
      <c r="CN17" s="89" t="str">
        <f t="shared" ref="CN17:CN80" si="6">+IFERROR(IF(M17=M16,"No requiere reporte",IF(OR(AP17=0,AP17=""),"No aplica, no hay meta",IF(AP17="NA","No aplica, no hay meta",IF(CE17="","No se reportó avance",IF(OR(AND(Q17="Capacidad",OR(R17="",R17=0,R17="NA")),AND(Q17="Reducción",OR(R17="",R17=0,R17="NA"))),"Se requiere valor de línea base para este tipo de acumulación",IF(OR(AND(Q17="Flujo",OR(R17&lt;&gt;"",R17&lt;&gt;0,R17&lt;&gt;"NA"),CE17="NA"),AND(Q17="Stock",OR(R17&lt;&gt;"",R17&lt;&gt;0,R17&lt;&gt;"NA"),CE17="NA")),"No aplica",IF(Q17="Flujo",IF(CE17/AP17&gt;1,1.00001,CE17/AP17),IF(Q17="Stock",IF(CE17/AP17&gt;1,1.00001,CE17/AP17),IF(Q17="Acumulado",IF((CE17)/AP17&gt;1,1.00001,(CE17)/AP17),IF(Q17="Capacidad",IF(((CE17-R17)/(AP17-R17))&gt;1,1.00001,((CE17-R17)/(AP17-R17))),IF(Q17="Reducción",IF(((R17-CE17)/(R17-CE17))&gt;1,1.00001,((R17-CE17)/(R17-CE17))),"Revisar acumulación"))))))))))),"Revisar fórmula")</f>
        <v>No requiere reporte</v>
      </c>
      <c r="CO17" s="84" t="s">
        <v>185</v>
      </c>
      <c r="CP17" s="84" t="s">
        <v>186</v>
      </c>
      <c r="CQ17" s="84" t="s">
        <v>187</v>
      </c>
      <c r="CR17" s="84" t="s">
        <v>188</v>
      </c>
      <c r="CS17" s="84" t="s">
        <v>189</v>
      </c>
      <c r="CT17" s="84" t="s">
        <v>161</v>
      </c>
      <c r="CU17" s="84" t="s">
        <v>162</v>
      </c>
      <c r="CV17" s="85">
        <v>1</v>
      </c>
      <c r="CW17" s="85" t="s">
        <v>163</v>
      </c>
      <c r="CX17" s="90">
        <v>46023</v>
      </c>
      <c r="CY17" s="90">
        <v>46387</v>
      </c>
      <c r="CZ17" s="146">
        <v>1</v>
      </c>
      <c r="DA17" s="146">
        <v>1</v>
      </c>
      <c r="DB17" s="146">
        <v>1</v>
      </c>
      <c r="DC17" s="146">
        <v>1</v>
      </c>
      <c r="DD17" s="146">
        <v>1</v>
      </c>
      <c r="DE17" s="84" t="s">
        <v>182</v>
      </c>
      <c r="DF17" s="84" t="s">
        <v>182</v>
      </c>
      <c r="DG17" s="84" t="s">
        <v>182</v>
      </c>
      <c r="DH17" s="84" t="s">
        <v>182</v>
      </c>
      <c r="DI17" s="84" t="s">
        <v>183</v>
      </c>
      <c r="DJ17" s="84" t="s">
        <v>184</v>
      </c>
      <c r="DK17" s="84" t="s">
        <v>184</v>
      </c>
      <c r="DL17" s="84" t="s">
        <v>154</v>
      </c>
      <c r="DM17" s="84" t="s">
        <v>154</v>
      </c>
      <c r="DN17" s="85"/>
      <c r="DO17" s="86"/>
      <c r="DP17" s="95"/>
      <c r="DQ17" s="86"/>
      <c r="DR17" s="86"/>
      <c r="DS17" s="83"/>
      <c r="DT17" s="86"/>
      <c r="DU17" s="96"/>
      <c r="DV17" s="762"/>
      <c r="DW17" s="762"/>
      <c r="DX17" s="83"/>
      <c r="DY17" s="86"/>
      <c r="DZ17" s="96"/>
      <c r="EA17" s="762"/>
      <c r="EB17" s="762"/>
      <c r="EC17" s="83"/>
      <c r="ED17" s="84"/>
      <c r="EE17" s="83"/>
      <c r="EF17" s="84"/>
      <c r="EG17" s="84"/>
      <c r="EH17" s="764"/>
      <c r="EI17" s="84"/>
      <c r="EJ17" s="84"/>
      <c r="EK17" s="84"/>
      <c r="EL17" s="91" t="str">
        <f t="shared" ref="EL17:EL80" si="7">+IFERROR(IF(CP17=CP16,"No requiere reporte",IF(OR(CZ17=0,CZ17=""),"No aplica, no hay meta",IF(CZ17="NA","No aplica, no hay meta",IF(DN17="","No se reportó avance",IF(OR(AND(CU17="Capacidad",OR(CV17="",CV17=0,CV17="NA")),AND(CU17="Reducción",OR(CV17="",CV17=0,CV17="NA"))),"Se requiere valor de línea base para este tipo de acumulación",IF(OR(AND(CU17="Flujo",OR(CV17&lt;&gt;"",CV17&lt;&gt;0,CV17&lt;&gt;"NA"),DN17="NA"),AND(CU17="Stock",OR(CV17&lt;&gt;"",CV17&lt;&gt;0,CV17&lt;&gt;"NA"),DN17="NA")),"No aplica",IF(CU17="Flujo",IF(DN17/CZ17&gt;1,1.00001,DN17/CZ17),IF(CU17="Stock",IF(DN17/CZ17&gt;1,1.00001,DN17/CZ17),IF(CU17="Acumulado",IF((DN17)/CZ17&gt;1,1.00001,(DN17)/CZ17),IF(CU17="Capacidad",IF(((DN17-CV17)/(CZ17-CV17))&gt;1,1.00001,((DN17-CV17)/(CZ17-CV17))),IF(CU17="Reducción",IF(((CV17-DN17)/(CV17-DN17))&gt;1,1.00001,((CV17-DN17)/(CV17-DN17))),"Revisar acumulación"))))))))))),"Revisar fórmula")</f>
        <v>No se reportó avance</v>
      </c>
      <c r="EM17" s="83" t="str">
        <f t="shared" ref="EM17:EM80" si="8">+IFERROR(IF(CP17=CP16,"No requiere reporte",IF(OR(DD17=0,DD17=""),"No aplica, no hay meta",IF(DD17="NA","No aplica, no hay meta",IF(EH17="","No se reportó avance",IF(OR(AND(CU17="Capacidad",OR(CV17="",CV17=0,CV17="NA")),AND(CU17="Reducción",OR(CV17="",CV17=0,CV17="NA"))),"Se requiere valor de línea base para este tipo de acumulación",IF(OR(AND(CU17="Flujo",OR(CV17&lt;&gt;"",CV17&lt;&gt;0,CV17&lt;&gt;"NA"),EH17="NA"),AND(CU17="Stock",OR(CV17&lt;&gt;"",CV17&lt;&gt;0,CV17&lt;&gt;"NA"),CV17="NA")),"No aplica",IF(CU17="Flujo",IF(EH17/DD17&gt;1,1.00001,EH17/DD17),IF(CU17="Stock",IF(EH17/DD17&gt;1,1.00001,EH17/DD17),IF(CU17="Acumulado",IF((EH17)/DD17&gt;1,1.00001,(EH17)/DD17),IF(CU17="Capacidad",IF(((EH17-CV17)/(DD17-CV17))&gt;1,1.00001,((EH17-CV17)/(DD17-CV17))),IF(CU17="Reducción",IF(((CV17-EH17)/(CV17-DD17))&gt;1,1.00001,((CV17-EH17)/(CV17-DD17))),"Revisar acumulación"))))))))))),"Revisar fórmula")</f>
        <v>No se reportó avance</v>
      </c>
      <c r="EN17" s="86"/>
      <c r="EO17" s="93" t="str">
        <f t="shared" si="2"/>
        <v>Producto</v>
      </c>
      <c r="EP17" s="93" t="str">
        <f t="shared" si="3"/>
        <v>7</v>
      </c>
    </row>
    <row r="18" spans="1:146" s="93" customFormat="1" ht="202.5" customHeight="1">
      <c r="A18" s="84" t="s">
        <v>149</v>
      </c>
      <c r="B18" s="85" t="s">
        <v>150</v>
      </c>
      <c r="C18" s="85" t="s">
        <v>151</v>
      </c>
      <c r="D18" s="85" t="s">
        <v>152</v>
      </c>
      <c r="E18" s="85" t="s">
        <v>153</v>
      </c>
      <c r="F18" s="84" t="s">
        <v>154</v>
      </c>
      <c r="G18" s="84" t="s">
        <v>154</v>
      </c>
      <c r="H18" s="84" t="s">
        <v>154</v>
      </c>
      <c r="I18" s="84" t="s">
        <v>155</v>
      </c>
      <c r="J18" s="84" t="s">
        <v>156</v>
      </c>
      <c r="K18" s="84" t="s">
        <v>157</v>
      </c>
      <c r="L18" s="94">
        <v>1</v>
      </c>
      <c r="M18" s="84" t="s">
        <v>158</v>
      </c>
      <c r="N18" s="84" t="s">
        <v>159</v>
      </c>
      <c r="O18" s="84" t="s">
        <v>160</v>
      </c>
      <c r="P18" s="84" t="s">
        <v>161</v>
      </c>
      <c r="Q18" s="84" t="s">
        <v>162</v>
      </c>
      <c r="R18" s="83">
        <v>1</v>
      </c>
      <c r="S18" s="84" t="s">
        <v>163</v>
      </c>
      <c r="T18" s="90">
        <v>44927</v>
      </c>
      <c r="U18" s="90">
        <v>46387</v>
      </c>
      <c r="V18" s="90"/>
      <c r="W18" s="90"/>
      <c r="X18" s="90"/>
      <c r="Y18" s="90"/>
      <c r="Z18" s="83">
        <v>1</v>
      </c>
      <c r="AA18" s="83">
        <v>1</v>
      </c>
      <c r="AB18" s="83">
        <v>1</v>
      </c>
      <c r="AC18" s="83">
        <v>1</v>
      </c>
      <c r="AD18" s="83">
        <v>1</v>
      </c>
      <c r="AE18" s="83">
        <v>1</v>
      </c>
      <c r="AF18" s="83">
        <v>1</v>
      </c>
      <c r="AG18" s="83">
        <v>1</v>
      </c>
      <c r="AH18" s="83">
        <v>1</v>
      </c>
      <c r="AI18" s="83">
        <v>1</v>
      </c>
      <c r="AJ18" s="83">
        <v>1</v>
      </c>
      <c r="AK18" s="83">
        <v>1</v>
      </c>
      <c r="AL18" s="83">
        <v>1</v>
      </c>
      <c r="AM18" s="83">
        <v>1</v>
      </c>
      <c r="AN18" s="83">
        <v>1</v>
      </c>
      <c r="AO18" s="83">
        <v>1</v>
      </c>
      <c r="AP18" s="83">
        <v>1</v>
      </c>
      <c r="AQ18" s="84"/>
      <c r="AR18" s="84"/>
      <c r="AS18" s="84"/>
      <c r="AT18" s="84"/>
      <c r="AU18" s="84"/>
      <c r="AV18" s="84"/>
      <c r="AW18" s="84"/>
      <c r="AX18" s="84"/>
      <c r="AY18" s="84"/>
      <c r="AZ18" s="86"/>
      <c r="BA18" s="84"/>
      <c r="BB18" s="84"/>
      <c r="BC18" s="84"/>
      <c r="BD18" s="84"/>
      <c r="BE18" s="84"/>
      <c r="BF18" s="84"/>
      <c r="BG18" s="84"/>
      <c r="BH18" s="84"/>
      <c r="BI18" s="84"/>
      <c r="BJ18" s="86"/>
      <c r="BK18" s="83"/>
      <c r="BL18" s="86"/>
      <c r="BM18" s="84"/>
      <c r="BN18" s="86"/>
      <c r="BO18" s="84"/>
      <c r="BP18" s="86"/>
      <c r="BQ18" s="84"/>
      <c r="BR18" s="84"/>
      <c r="BS18" s="83"/>
      <c r="BT18" s="84"/>
      <c r="BU18" s="84"/>
      <c r="BV18" s="84"/>
      <c r="BW18" s="84"/>
      <c r="BX18" s="84"/>
      <c r="BY18" s="84"/>
      <c r="BZ18" s="84"/>
      <c r="CA18" s="84"/>
      <c r="CB18" s="84"/>
      <c r="CC18" s="84"/>
      <c r="CD18" s="84"/>
      <c r="CE18" s="84"/>
      <c r="CF18" s="84"/>
      <c r="CG18" s="88"/>
      <c r="CH18" s="88"/>
      <c r="CI18" s="88"/>
      <c r="CJ18" s="83" t="str">
        <f t="shared" si="0"/>
        <v>No aplica</v>
      </c>
      <c r="CK18" s="83" t="str">
        <f t="shared" si="1"/>
        <v>No aplica</v>
      </c>
      <c r="CL18" s="83" t="str">
        <f t="shared" si="4"/>
        <v>No requiere reporte</v>
      </c>
      <c r="CM18" s="89" t="str">
        <f t="shared" si="5"/>
        <v>No requiere reporte</v>
      </c>
      <c r="CN18" s="89" t="str">
        <f t="shared" si="6"/>
        <v>No requiere reporte</v>
      </c>
      <c r="CO18" s="84" t="s">
        <v>190</v>
      </c>
      <c r="CP18" s="84" t="s">
        <v>191</v>
      </c>
      <c r="CQ18" s="84" t="s">
        <v>192</v>
      </c>
      <c r="CR18" s="84" t="s">
        <v>193</v>
      </c>
      <c r="CS18" s="84" t="s">
        <v>194</v>
      </c>
      <c r="CT18" s="84" t="s">
        <v>161</v>
      </c>
      <c r="CU18" s="84" t="s">
        <v>162</v>
      </c>
      <c r="CV18" s="85">
        <v>1</v>
      </c>
      <c r="CW18" s="85" t="s">
        <v>163</v>
      </c>
      <c r="CX18" s="90">
        <v>46023</v>
      </c>
      <c r="CY18" s="90">
        <v>46387</v>
      </c>
      <c r="CZ18" s="146">
        <v>1</v>
      </c>
      <c r="DA18" s="146">
        <v>1</v>
      </c>
      <c r="DB18" s="146">
        <v>1</v>
      </c>
      <c r="DC18" s="146">
        <v>1</v>
      </c>
      <c r="DD18" s="146">
        <v>1</v>
      </c>
      <c r="DE18" s="84" t="s">
        <v>182</v>
      </c>
      <c r="DF18" s="84" t="s">
        <v>182</v>
      </c>
      <c r="DG18" s="84" t="s">
        <v>182</v>
      </c>
      <c r="DH18" s="84" t="s">
        <v>182</v>
      </c>
      <c r="DI18" s="84" t="s">
        <v>183</v>
      </c>
      <c r="DJ18" s="84" t="s">
        <v>184</v>
      </c>
      <c r="DK18" s="84" t="s">
        <v>184</v>
      </c>
      <c r="DL18" s="84" t="s">
        <v>154</v>
      </c>
      <c r="DM18" s="84" t="s">
        <v>154</v>
      </c>
      <c r="DN18" s="83"/>
      <c r="DO18" s="86"/>
      <c r="DP18" s="83"/>
      <c r="DQ18" s="86"/>
      <c r="DR18" s="86"/>
      <c r="DS18" s="83"/>
      <c r="DT18" s="86"/>
      <c r="DU18" s="83"/>
      <c r="DV18" s="762"/>
      <c r="DW18" s="762"/>
      <c r="DX18" s="83"/>
      <c r="DY18" s="86"/>
      <c r="DZ18" s="83"/>
      <c r="EA18" s="762"/>
      <c r="EB18" s="762"/>
      <c r="EC18" s="83"/>
      <c r="ED18" s="84"/>
      <c r="EE18" s="83"/>
      <c r="EF18" s="84"/>
      <c r="EG18" s="84"/>
      <c r="EH18" s="764"/>
      <c r="EI18" s="84"/>
      <c r="EJ18" s="84"/>
      <c r="EK18" s="84"/>
      <c r="EL18" s="91" t="str">
        <f t="shared" si="7"/>
        <v>No se reportó avance</v>
      </c>
      <c r="EM18" s="83" t="str">
        <f t="shared" si="8"/>
        <v>No se reportó avance</v>
      </c>
      <c r="EN18" s="86"/>
      <c r="EO18" s="93" t="str">
        <f t="shared" si="2"/>
        <v>Producto</v>
      </c>
      <c r="EP18" s="93" t="str">
        <f t="shared" si="3"/>
        <v>7</v>
      </c>
    </row>
    <row r="19" spans="1:146" s="93" customFormat="1" ht="202.5" customHeight="1">
      <c r="A19" s="84" t="s">
        <v>149</v>
      </c>
      <c r="B19" s="85" t="s">
        <v>150</v>
      </c>
      <c r="C19" s="85" t="s">
        <v>151</v>
      </c>
      <c r="D19" s="85" t="s">
        <v>152</v>
      </c>
      <c r="E19" s="85" t="s">
        <v>153</v>
      </c>
      <c r="F19" s="84" t="s">
        <v>154</v>
      </c>
      <c r="G19" s="84" t="s">
        <v>154</v>
      </c>
      <c r="H19" s="84" t="s">
        <v>154</v>
      </c>
      <c r="I19" s="84" t="s">
        <v>155</v>
      </c>
      <c r="J19" s="84" t="s">
        <v>156</v>
      </c>
      <c r="K19" s="84" t="s">
        <v>157</v>
      </c>
      <c r="L19" s="94">
        <v>1</v>
      </c>
      <c r="M19" s="84" t="s">
        <v>158</v>
      </c>
      <c r="N19" s="84" t="s">
        <v>159</v>
      </c>
      <c r="O19" s="84" t="s">
        <v>160</v>
      </c>
      <c r="P19" s="84" t="s">
        <v>161</v>
      </c>
      <c r="Q19" s="84" t="s">
        <v>162</v>
      </c>
      <c r="R19" s="83">
        <v>1</v>
      </c>
      <c r="S19" s="84" t="s">
        <v>163</v>
      </c>
      <c r="T19" s="90">
        <v>44927</v>
      </c>
      <c r="U19" s="90">
        <v>46387</v>
      </c>
      <c r="V19" s="90"/>
      <c r="W19" s="90"/>
      <c r="X19" s="90"/>
      <c r="Y19" s="90"/>
      <c r="Z19" s="83">
        <v>1</v>
      </c>
      <c r="AA19" s="83">
        <v>1</v>
      </c>
      <c r="AB19" s="83">
        <v>1</v>
      </c>
      <c r="AC19" s="83">
        <v>1</v>
      </c>
      <c r="AD19" s="83">
        <v>1</v>
      </c>
      <c r="AE19" s="83">
        <v>1</v>
      </c>
      <c r="AF19" s="83">
        <v>1</v>
      </c>
      <c r="AG19" s="83">
        <v>1</v>
      </c>
      <c r="AH19" s="83">
        <v>1</v>
      </c>
      <c r="AI19" s="83">
        <v>1</v>
      </c>
      <c r="AJ19" s="83">
        <v>1</v>
      </c>
      <c r="AK19" s="83">
        <v>1</v>
      </c>
      <c r="AL19" s="83">
        <v>1</v>
      </c>
      <c r="AM19" s="83">
        <v>1</v>
      </c>
      <c r="AN19" s="83">
        <v>1</v>
      </c>
      <c r="AO19" s="83">
        <v>1</v>
      </c>
      <c r="AP19" s="83">
        <v>1</v>
      </c>
      <c r="AQ19" s="84"/>
      <c r="AR19" s="84"/>
      <c r="AS19" s="84"/>
      <c r="AT19" s="84"/>
      <c r="AU19" s="84"/>
      <c r="AV19" s="84"/>
      <c r="AW19" s="84"/>
      <c r="AX19" s="84"/>
      <c r="AY19" s="84"/>
      <c r="AZ19" s="86"/>
      <c r="BA19" s="84"/>
      <c r="BB19" s="84"/>
      <c r="BC19" s="84"/>
      <c r="BD19" s="84"/>
      <c r="BE19" s="84"/>
      <c r="BF19" s="84"/>
      <c r="BG19" s="84"/>
      <c r="BH19" s="84"/>
      <c r="BI19" s="84"/>
      <c r="BJ19" s="86"/>
      <c r="BK19" s="83"/>
      <c r="BL19" s="86"/>
      <c r="BM19" s="84"/>
      <c r="BN19" s="86"/>
      <c r="BO19" s="84"/>
      <c r="BP19" s="86"/>
      <c r="BQ19" s="84"/>
      <c r="BR19" s="84"/>
      <c r="BS19" s="83"/>
      <c r="BT19" s="84"/>
      <c r="BU19" s="84"/>
      <c r="BV19" s="84"/>
      <c r="BW19" s="84"/>
      <c r="BX19" s="84"/>
      <c r="BY19" s="84"/>
      <c r="BZ19" s="84"/>
      <c r="CA19" s="84"/>
      <c r="CB19" s="84"/>
      <c r="CC19" s="84"/>
      <c r="CD19" s="84"/>
      <c r="CE19" s="84"/>
      <c r="CF19" s="84"/>
      <c r="CG19" s="88"/>
      <c r="CH19" s="88"/>
      <c r="CI19" s="88"/>
      <c r="CJ19" s="83" t="str">
        <f t="shared" si="0"/>
        <v>No aplica</v>
      </c>
      <c r="CK19" s="83" t="str">
        <f t="shared" si="1"/>
        <v>No aplica</v>
      </c>
      <c r="CL19" s="83" t="str">
        <f t="shared" si="4"/>
        <v>No requiere reporte</v>
      </c>
      <c r="CM19" s="89" t="str">
        <f t="shared" si="5"/>
        <v>No requiere reporte</v>
      </c>
      <c r="CN19" s="89" t="str">
        <f t="shared" si="6"/>
        <v>No requiere reporte</v>
      </c>
      <c r="CO19" s="94" t="s">
        <v>195</v>
      </c>
      <c r="CP19" s="94" t="s">
        <v>196</v>
      </c>
      <c r="CQ19" s="94" t="s">
        <v>197</v>
      </c>
      <c r="CR19" s="94" t="s">
        <v>198</v>
      </c>
      <c r="CS19" s="94" t="s">
        <v>199</v>
      </c>
      <c r="CT19" s="94" t="s">
        <v>200</v>
      </c>
      <c r="CU19" s="94" t="s">
        <v>162</v>
      </c>
      <c r="CV19" s="97">
        <v>1</v>
      </c>
      <c r="CW19" s="97" t="s">
        <v>163</v>
      </c>
      <c r="CX19" s="90">
        <v>46023</v>
      </c>
      <c r="CY19" s="90">
        <v>46387</v>
      </c>
      <c r="CZ19" s="146">
        <v>1</v>
      </c>
      <c r="DA19" s="146">
        <v>1</v>
      </c>
      <c r="DB19" s="146">
        <v>1</v>
      </c>
      <c r="DC19" s="146">
        <v>1</v>
      </c>
      <c r="DD19" s="146">
        <v>1</v>
      </c>
      <c r="DE19" s="84" t="s">
        <v>182</v>
      </c>
      <c r="DF19" s="84" t="s">
        <v>182</v>
      </c>
      <c r="DG19" s="84" t="s">
        <v>182</v>
      </c>
      <c r="DH19" s="84" t="s">
        <v>182</v>
      </c>
      <c r="DI19" s="84" t="s">
        <v>183</v>
      </c>
      <c r="DJ19" s="84" t="s">
        <v>184</v>
      </c>
      <c r="DK19" s="84" t="s">
        <v>184</v>
      </c>
      <c r="DL19" s="84" t="s">
        <v>154</v>
      </c>
      <c r="DM19" s="84" t="s">
        <v>154</v>
      </c>
      <c r="DN19" s="83"/>
      <c r="DO19" s="86"/>
      <c r="DP19" s="96"/>
      <c r="DQ19" s="86"/>
      <c r="DR19" s="86"/>
      <c r="DS19" s="83"/>
      <c r="DT19" s="86"/>
      <c r="DU19" s="83"/>
      <c r="DV19" s="762"/>
      <c r="DW19" s="762"/>
      <c r="DX19" s="83"/>
      <c r="DY19" s="86"/>
      <c r="DZ19" s="83"/>
      <c r="EA19" s="762"/>
      <c r="EB19" s="762"/>
      <c r="EC19" s="83"/>
      <c r="ED19" s="84"/>
      <c r="EE19" s="83"/>
      <c r="EF19" s="84"/>
      <c r="EG19" s="84"/>
      <c r="EH19" s="764"/>
      <c r="EI19" s="84"/>
      <c r="EJ19" s="84"/>
      <c r="EK19" s="84"/>
      <c r="EL19" s="91" t="str">
        <f t="shared" si="7"/>
        <v>No se reportó avance</v>
      </c>
      <c r="EM19" s="83" t="str">
        <f t="shared" si="8"/>
        <v>No se reportó avance</v>
      </c>
      <c r="EN19" s="86"/>
      <c r="EO19" s="93" t="str">
        <f t="shared" si="2"/>
        <v>Producto</v>
      </c>
      <c r="EP19" s="93" t="str">
        <f t="shared" si="3"/>
        <v>7</v>
      </c>
    </row>
    <row r="20" spans="1:146" s="93" customFormat="1" ht="202.5" customHeight="1">
      <c r="A20" s="84" t="s">
        <v>149</v>
      </c>
      <c r="B20" s="85" t="s">
        <v>150</v>
      </c>
      <c r="C20" s="85" t="s">
        <v>151</v>
      </c>
      <c r="D20" s="85" t="s">
        <v>152</v>
      </c>
      <c r="E20" s="85" t="s">
        <v>153</v>
      </c>
      <c r="F20" s="84" t="s">
        <v>154</v>
      </c>
      <c r="G20" s="84" t="s">
        <v>154</v>
      </c>
      <c r="H20" s="84" t="s">
        <v>154</v>
      </c>
      <c r="I20" s="84" t="s">
        <v>155</v>
      </c>
      <c r="J20" s="84" t="s">
        <v>156</v>
      </c>
      <c r="K20" s="84" t="s">
        <v>157</v>
      </c>
      <c r="L20" s="94">
        <v>1</v>
      </c>
      <c r="M20" s="84" t="s">
        <v>158</v>
      </c>
      <c r="N20" s="84" t="s">
        <v>159</v>
      </c>
      <c r="O20" s="84" t="s">
        <v>160</v>
      </c>
      <c r="P20" s="84" t="s">
        <v>161</v>
      </c>
      <c r="Q20" s="84" t="s">
        <v>162</v>
      </c>
      <c r="R20" s="83">
        <v>1</v>
      </c>
      <c r="S20" s="84" t="s">
        <v>163</v>
      </c>
      <c r="T20" s="90">
        <v>44927</v>
      </c>
      <c r="U20" s="90">
        <v>46387</v>
      </c>
      <c r="V20" s="90"/>
      <c r="W20" s="90"/>
      <c r="X20" s="90"/>
      <c r="Y20" s="90"/>
      <c r="Z20" s="83">
        <v>1</v>
      </c>
      <c r="AA20" s="83">
        <v>1</v>
      </c>
      <c r="AB20" s="83">
        <v>1</v>
      </c>
      <c r="AC20" s="83">
        <v>1</v>
      </c>
      <c r="AD20" s="83">
        <v>1</v>
      </c>
      <c r="AE20" s="83">
        <v>1</v>
      </c>
      <c r="AF20" s="83">
        <v>1</v>
      </c>
      <c r="AG20" s="83">
        <v>1</v>
      </c>
      <c r="AH20" s="83">
        <v>1</v>
      </c>
      <c r="AI20" s="83">
        <v>1</v>
      </c>
      <c r="AJ20" s="83">
        <v>1</v>
      </c>
      <c r="AK20" s="83">
        <v>1</v>
      </c>
      <c r="AL20" s="83">
        <v>1</v>
      </c>
      <c r="AM20" s="83">
        <v>1</v>
      </c>
      <c r="AN20" s="83">
        <v>1</v>
      </c>
      <c r="AO20" s="83">
        <v>1</v>
      </c>
      <c r="AP20" s="83">
        <v>1</v>
      </c>
      <c r="AQ20" s="84"/>
      <c r="AR20" s="84"/>
      <c r="AS20" s="84"/>
      <c r="AT20" s="84"/>
      <c r="AU20" s="84"/>
      <c r="AV20" s="84"/>
      <c r="AW20" s="84"/>
      <c r="AX20" s="84"/>
      <c r="AY20" s="84"/>
      <c r="AZ20" s="86"/>
      <c r="BA20" s="84"/>
      <c r="BB20" s="84"/>
      <c r="BC20" s="84"/>
      <c r="BD20" s="84"/>
      <c r="BE20" s="84"/>
      <c r="BF20" s="84"/>
      <c r="BG20" s="84"/>
      <c r="BH20" s="84"/>
      <c r="BI20" s="84"/>
      <c r="BJ20" s="86"/>
      <c r="BK20" s="83"/>
      <c r="BL20" s="86"/>
      <c r="BM20" s="84"/>
      <c r="BN20" s="86"/>
      <c r="BO20" s="84"/>
      <c r="BP20" s="86"/>
      <c r="BQ20" s="84"/>
      <c r="BR20" s="84"/>
      <c r="BS20" s="83"/>
      <c r="BT20" s="84"/>
      <c r="BU20" s="84"/>
      <c r="BV20" s="84"/>
      <c r="BW20" s="84"/>
      <c r="BX20" s="84"/>
      <c r="BY20" s="84"/>
      <c r="BZ20" s="84"/>
      <c r="CA20" s="84"/>
      <c r="CB20" s="84"/>
      <c r="CC20" s="84"/>
      <c r="CD20" s="84"/>
      <c r="CE20" s="84"/>
      <c r="CF20" s="84"/>
      <c r="CG20" s="88"/>
      <c r="CH20" s="88"/>
      <c r="CI20" s="88"/>
      <c r="CJ20" s="83" t="str">
        <f t="shared" si="0"/>
        <v>No aplica</v>
      </c>
      <c r="CK20" s="83" t="str">
        <f t="shared" si="1"/>
        <v>No aplica</v>
      </c>
      <c r="CL20" s="83" t="str">
        <f t="shared" si="4"/>
        <v>No requiere reporte</v>
      </c>
      <c r="CM20" s="89" t="str">
        <f t="shared" si="5"/>
        <v>No requiere reporte</v>
      </c>
      <c r="CN20" s="89" t="str">
        <f t="shared" si="6"/>
        <v>No requiere reporte</v>
      </c>
      <c r="CO20" s="84" t="s">
        <v>202</v>
      </c>
      <c r="CP20" s="84" t="s">
        <v>203</v>
      </c>
      <c r="CQ20" s="84" t="s">
        <v>204</v>
      </c>
      <c r="CR20" s="84" t="s">
        <v>205</v>
      </c>
      <c r="CS20" s="94" t="s">
        <v>206</v>
      </c>
      <c r="CT20" s="84" t="s">
        <v>161</v>
      </c>
      <c r="CU20" s="84" t="s">
        <v>162</v>
      </c>
      <c r="CV20" s="85">
        <v>1</v>
      </c>
      <c r="CW20" s="85" t="s">
        <v>163</v>
      </c>
      <c r="CX20" s="90">
        <v>46023</v>
      </c>
      <c r="CY20" s="90">
        <v>46387</v>
      </c>
      <c r="CZ20" s="146">
        <v>1</v>
      </c>
      <c r="DA20" s="146">
        <v>1</v>
      </c>
      <c r="DB20" s="146">
        <v>1</v>
      </c>
      <c r="DC20" s="146">
        <v>1</v>
      </c>
      <c r="DD20" s="146">
        <v>1</v>
      </c>
      <c r="DE20" s="84" t="s">
        <v>182</v>
      </c>
      <c r="DF20" s="84" t="s">
        <v>182</v>
      </c>
      <c r="DG20" s="84" t="s">
        <v>182</v>
      </c>
      <c r="DH20" s="84" t="s">
        <v>182</v>
      </c>
      <c r="DI20" s="84" t="s">
        <v>183</v>
      </c>
      <c r="DJ20" s="84" t="s">
        <v>184</v>
      </c>
      <c r="DK20" s="84" t="s">
        <v>184</v>
      </c>
      <c r="DL20" s="84" t="s">
        <v>154</v>
      </c>
      <c r="DM20" s="84" t="s">
        <v>154</v>
      </c>
      <c r="DN20" s="83"/>
      <c r="DO20" s="86"/>
      <c r="DP20" s="83"/>
      <c r="DQ20" s="86"/>
      <c r="DR20" s="86"/>
      <c r="DS20" s="83"/>
      <c r="DT20" s="86"/>
      <c r="DU20" s="96"/>
      <c r="DV20" s="762"/>
      <c r="DW20" s="762"/>
      <c r="DX20" s="83"/>
      <c r="DY20" s="86"/>
      <c r="DZ20" s="96"/>
      <c r="EA20" s="762"/>
      <c r="EB20" s="762"/>
      <c r="EC20" s="83"/>
      <c r="ED20" s="84"/>
      <c r="EE20" s="83"/>
      <c r="EF20" s="84"/>
      <c r="EG20" s="84"/>
      <c r="EH20" s="764"/>
      <c r="EI20" s="84"/>
      <c r="EJ20" s="84"/>
      <c r="EK20" s="84"/>
      <c r="EL20" s="91" t="str">
        <f t="shared" si="7"/>
        <v>No se reportó avance</v>
      </c>
      <c r="EM20" s="83" t="str">
        <f t="shared" si="8"/>
        <v>No se reportó avance</v>
      </c>
      <c r="EN20" s="86"/>
      <c r="EO20" s="93" t="str">
        <f t="shared" si="2"/>
        <v>Producto</v>
      </c>
      <c r="EP20" s="93" t="str">
        <f t="shared" si="3"/>
        <v>7</v>
      </c>
    </row>
    <row r="21" spans="1:146" s="93" customFormat="1" ht="202.5" customHeight="1">
      <c r="A21" s="74" t="s">
        <v>149</v>
      </c>
      <c r="B21" s="75" t="s">
        <v>150</v>
      </c>
      <c r="C21" s="76" t="s">
        <v>151</v>
      </c>
      <c r="D21" s="76" t="s">
        <v>152</v>
      </c>
      <c r="E21" s="75" t="s">
        <v>153</v>
      </c>
      <c r="F21" s="74" t="s">
        <v>154</v>
      </c>
      <c r="G21" s="74" t="s">
        <v>154</v>
      </c>
      <c r="H21" s="74" t="s">
        <v>154</v>
      </c>
      <c r="I21" s="74" t="s">
        <v>155</v>
      </c>
      <c r="J21" s="74" t="s">
        <v>156</v>
      </c>
      <c r="K21" s="74" t="s">
        <v>207</v>
      </c>
      <c r="L21" s="78">
        <v>2</v>
      </c>
      <c r="M21" s="77" t="s">
        <v>208</v>
      </c>
      <c r="N21" s="77" t="s">
        <v>209</v>
      </c>
      <c r="O21" s="78" t="s">
        <v>210</v>
      </c>
      <c r="P21" s="78" t="s">
        <v>161</v>
      </c>
      <c r="Q21" s="78" t="s">
        <v>162</v>
      </c>
      <c r="R21" s="79">
        <v>1</v>
      </c>
      <c r="S21" s="78" t="s">
        <v>163</v>
      </c>
      <c r="T21" s="80">
        <v>44927</v>
      </c>
      <c r="U21" s="80">
        <v>46387</v>
      </c>
      <c r="V21" s="81"/>
      <c r="W21" s="81"/>
      <c r="X21" s="81"/>
      <c r="Y21" s="81"/>
      <c r="Z21" s="79">
        <v>1</v>
      </c>
      <c r="AA21" s="75">
        <v>1</v>
      </c>
      <c r="AB21" s="75">
        <v>1</v>
      </c>
      <c r="AC21" s="75">
        <v>1</v>
      </c>
      <c r="AD21" s="75">
        <v>1</v>
      </c>
      <c r="AE21" s="79">
        <v>1</v>
      </c>
      <c r="AF21" s="82">
        <v>1</v>
      </c>
      <c r="AG21" s="82">
        <v>1</v>
      </c>
      <c r="AH21" s="82">
        <v>1</v>
      </c>
      <c r="AI21" s="82">
        <v>1</v>
      </c>
      <c r="AJ21" s="79">
        <v>1</v>
      </c>
      <c r="AK21" s="75">
        <v>1</v>
      </c>
      <c r="AL21" s="75">
        <v>1</v>
      </c>
      <c r="AM21" s="75">
        <v>1</v>
      </c>
      <c r="AN21" s="75">
        <v>1</v>
      </c>
      <c r="AO21" s="79">
        <v>1</v>
      </c>
      <c r="AP21" s="82">
        <v>1</v>
      </c>
      <c r="AQ21" s="83">
        <f>(1/1)</f>
        <v>1</v>
      </c>
      <c r="AR21" s="84" t="s">
        <v>211</v>
      </c>
      <c r="AS21" s="83">
        <f>(1/1)</f>
        <v>1</v>
      </c>
      <c r="AT21" s="84" t="s">
        <v>212</v>
      </c>
      <c r="AU21" s="83">
        <f>(1/1)</f>
        <v>1</v>
      </c>
      <c r="AV21" s="84" t="s">
        <v>213</v>
      </c>
      <c r="AW21" s="83">
        <f>(1/1)</f>
        <v>1</v>
      </c>
      <c r="AX21" s="84" t="s">
        <v>214</v>
      </c>
      <c r="AY21" s="83">
        <f>(1+1+1+1)/(1+1+1+1)</f>
        <v>1</v>
      </c>
      <c r="AZ21" s="86" t="s">
        <v>215</v>
      </c>
      <c r="BA21" s="83">
        <f>(1/1)</f>
        <v>1</v>
      </c>
      <c r="BB21" s="84" t="s">
        <v>216</v>
      </c>
      <c r="BC21" s="83">
        <f>(1/1)</f>
        <v>1</v>
      </c>
      <c r="BD21" s="84" t="s">
        <v>217</v>
      </c>
      <c r="BE21" s="83">
        <f>1/1</f>
        <v>1</v>
      </c>
      <c r="BF21" s="84" t="s">
        <v>218</v>
      </c>
      <c r="BG21" s="83">
        <f>1/1</f>
        <v>1</v>
      </c>
      <c r="BH21" s="84" t="s">
        <v>219</v>
      </c>
      <c r="BI21" s="83">
        <f>+(1+1+1+1)/(1+1+1+1)</f>
        <v>1</v>
      </c>
      <c r="BJ21" s="87" t="s">
        <v>220</v>
      </c>
      <c r="BK21" s="83">
        <f>2/2</f>
        <v>1</v>
      </c>
      <c r="BL21" s="86" t="s">
        <v>221</v>
      </c>
      <c r="BM21" s="85">
        <f>1/1</f>
        <v>1</v>
      </c>
      <c r="BN21" s="86" t="s">
        <v>222</v>
      </c>
      <c r="BO21" s="85" t="s">
        <v>223</v>
      </c>
      <c r="BP21" s="86" t="s">
        <v>224</v>
      </c>
      <c r="BQ21" s="84"/>
      <c r="BR21" s="84"/>
      <c r="BS21" s="83">
        <v>1</v>
      </c>
      <c r="BT21" s="84"/>
      <c r="BU21" s="84"/>
      <c r="BV21" s="84"/>
      <c r="BW21" s="84"/>
      <c r="BX21" s="84"/>
      <c r="BY21" s="84"/>
      <c r="BZ21" s="84"/>
      <c r="CA21" s="84"/>
      <c r="CB21" s="84"/>
      <c r="CC21" s="84"/>
      <c r="CD21" s="84"/>
      <c r="CE21" s="83"/>
      <c r="CF21" s="84"/>
      <c r="CG21" s="88"/>
      <c r="CH21" s="88"/>
      <c r="CI21" s="88"/>
      <c r="CJ21" s="83" t="str">
        <f t="shared" si="0"/>
        <v>No aplica</v>
      </c>
      <c r="CK21" s="83" t="str">
        <f t="shared" si="1"/>
        <v>No aplica</v>
      </c>
      <c r="CL21" s="83" t="str">
        <f t="shared" si="4"/>
        <v>No se reportó avance</v>
      </c>
      <c r="CM21" s="89" t="str">
        <f t="shared" si="5"/>
        <v>No se reportó avance</v>
      </c>
      <c r="CN21" s="89" t="str">
        <f t="shared" si="6"/>
        <v>No se reportó avance</v>
      </c>
      <c r="CO21" s="84" t="s">
        <v>225</v>
      </c>
      <c r="CP21" s="94" t="s">
        <v>226</v>
      </c>
      <c r="CQ21" s="94" t="s">
        <v>227</v>
      </c>
      <c r="CR21" s="94" t="s">
        <v>228</v>
      </c>
      <c r="CS21" s="94" t="s">
        <v>229</v>
      </c>
      <c r="CT21" s="84" t="s">
        <v>161</v>
      </c>
      <c r="CU21" s="84" t="s">
        <v>162</v>
      </c>
      <c r="CV21" s="85">
        <v>1</v>
      </c>
      <c r="CW21" s="85" t="s">
        <v>163</v>
      </c>
      <c r="CX21" s="90">
        <v>46023</v>
      </c>
      <c r="CY21" s="90">
        <v>46387</v>
      </c>
      <c r="CZ21" s="146">
        <v>1</v>
      </c>
      <c r="DA21" s="146">
        <v>1</v>
      </c>
      <c r="DB21" s="146">
        <v>1</v>
      </c>
      <c r="DC21" s="146">
        <v>1</v>
      </c>
      <c r="DD21" s="146">
        <v>1</v>
      </c>
      <c r="DE21" s="84" t="s">
        <v>182</v>
      </c>
      <c r="DF21" s="84" t="s">
        <v>182</v>
      </c>
      <c r="DG21" s="84" t="s">
        <v>182</v>
      </c>
      <c r="DH21" s="84" t="s">
        <v>182</v>
      </c>
      <c r="DI21" s="84" t="s">
        <v>183</v>
      </c>
      <c r="DJ21" s="84" t="s">
        <v>184</v>
      </c>
      <c r="DK21" s="84" t="s">
        <v>184</v>
      </c>
      <c r="DL21" s="84" t="s">
        <v>154</v>
      </c>
      <c r="DM21" s="84" t="s">
        <v>154</v>
      </c>
      <c r="DN21" s="83"/>
      <c r="DO21" s="86"/>
      <c r="DP21" s="83"/>
      <c r="DQ21" s="86"/>
      <c r="DR21" s="86"/>
      <c r="DS21" s="83"/>
      <c r="DT21" s="86"/>
      <c r="DU21" s="83"/>
      <c r="DV21" s="86"/>
      <c r="DW21" s="86"/>
      <c r="DX21" s="83"/>
      <c r="DY21" s="86"/>
      <c r="DZ21" s="83"/>
      <c r="EA21" s="86"/>
      <c r="EB21" s="86"/>
      <c r="EC21" s="83"/>
      <c r="ED21" s="84"/>
      <c r="EE21" s="83"/>
      <c r="EF21" s="84"/>
      <c r="EG21" s="84"/>
      <c r="EH21" s="175"/>
      <c r="EI21" s="84"/>
      <c r="EJ21" s="84"/>
      <c r="EK21" s="84"/>
      <c r="EL21" s="91" t="str">
        <f t="shared" si="7"/>
        <v>No se reportó avance</v>
      </c>
      <c r="EM21" s="83" t="str">
        <f t="shared" si="8"/>
        <v>No se reportó avance</v>
      </c>
      <c r="EN21" s="86"/>
      <c r="EO21" s="93" t="str">
        <f t="shared" si="2"/>
        <v>Producto</v>
      </c>
      <c r="EP21" s="93" t="str">
        <f t="shared" si="3"/>
        <v>7</v>
      </c>
    </row>
    <row r="22" spans="1:146" s="93" customFormat="1" ht="202.5" customHeight="1">
      <c r="A22" s="98" t="s">
        <v>149</v>
      </c>
      <c r="B22" s="99" t="s">
        <v>150</v>
      </c>
      <c r="C22" s="100" t="s">
        <v>151</v>
      </c>
      <c r="D22" s="100" t="s">
        <v>152</v>
      </c>
      <c r="E22" s="99" t="s">
        <v>153</v>
      </c>
      <c r="F22" s="98" t="s">
        <v>154</v>
      </c>
      <c r="G22" s="98" t="s">
        <v>154</v>
      </c>
      <c r="H22" s="98" t="s">
        <v>154</v>
      </c>
      <c r="I22" s="98" t="s">
        <v>155</v>
      </c>
      <c r="J22" s="98" t="s">
        <v>156</v>
      </c>
      <c r="K22" s="98" t="s">
        <v>207</v>
      </c>
      <c r="L22" s="77">
        <v>3</v>
      </c>
      <c r="M22" s="77" t="s">
        <v>230</v>
      </c>
      <c r="N22" s="77" t="s">
        <v>231</v>
      </c>
      <c r="O22" s="77" t="s">
        <v>232</v>
      </c>
      <c r="P22" s="77" t="s">
        <v>161</v>
      </c>
      <c r="Q22" s="77" t="s">
        <v>233</v>
      </c>
      <c r="R22" s="77">
        <v>1</v>
      </c>
      <c r="S22" s="77" t="s">
        <v>234</v>
      </c>
      <c r="T22" s="101">
        <v>45658</v>
      </c>
      <c r="U22" s="101">
        <v>46387</v>
      </c>
      <c r="V22" s="102"/>
      <c r="W22" s="102"/>
      <c r="X22" s="102"/>
      <c r="Y22" s="102"/>
      <c r="Z22" s="103"/>
      <c r="AA22" s="99"/>
      <c r="AB22" s="99"/>
      <c r="AC22" s="99"/>
      <c r="AD22" s="99"/>
      <c r="AE22" s="103"/>
      <c r="AF22" s="77">
        <v>1</v>
      </c>
      <c r="AG22" s="77">
        <v>0</v>
      </c>
      <c r="AH22" s="77">
        <v>0</v>
      </c>
      <c r="AI22" s="77">
        <v>0</v>
      </c>
      <c r="AJ22" s="77">
        <v>1</v>
      </c>
      <c r="AK22" s="104">
        <v>1</v>
      </c>
      <c r="AL22" s="99"/>
      <c r="AM22" s="99"/>
      <c r="AN22" s="99"/>
      <c r="AO22" s="105">
        <v>1</v>
      </c>
      <c r="AP22" s="105">
        <v>2</v>
      </c>
      <c r="AQ22" s="94" t="s">
        <v>182</v>
      </c>
      <c r="AR22" s="94" t="s">
        <v>182</v>
      </c>
      <c r="AS22" s="94" t="s">
        <v>182</v>
      </c>
      <c r="AT22" s="94" t="s">
        <v>182</v>
      </c>
      <c r="AU22" s="94" t="s">
        <v>182</v>
      </c>
      <c r="AV22" s="94" t="s">
        <v>182</v>
      </c>
      <c r="AW22" s="94" t="s">
        <v>182</v>
      </c>
      <c r="AX22" s="94" t="s">
        <v>182</v>
      </c>
      <c r="AY22" s="94" t="s">
        <v>182</v>
      </c>
      <c r="AZ22" s="106" t="s">
        <v>182</v>
      </c>
      <c r="BA22" s="89" t="s">
        <v>182</v>
      </c>
      <c r="BB22" s="94" t="s">
        <v>182</v>
      </c>
      <c r="BC22" s="89" t="s">
        <v>182</v>
      </c>
      <c r="BD22" s="89" t="s">
        <v>182</v>
      </c>
      <c r="BE22" s="89" t="s">
        <v>182</v>
      </c>
      <c r="BF22" s="89" t="s">
        <v>182</v>
      </c>
      <c r="BG22" s="89" t="s">
        <v>182</v>
      </c>
      <c r="BH22" s="94" t="s">
        <v>182</v>
      </c>
      <c r="BI22" s="89" t="s">
        <v>182</v>
      </c>
      <c r="BJ22" s="107" t="s">
        <v>182</v>
      </c>
      <c r="BK22" s="94">
        <v>1</v>
      </c>
      <c r="BL22" s="86" t="s">
        <v>235</v>
      </c>
      <c r="BM22" s="94" t="s">
        <v>182</v>
      </c>
      <c r="BN22" s="106" t="s">
        <v>201</v>
      </c>
      <c r="BO22" s="94" t="s">
        <v>201</v>
      </c>
      <c r="BP22" s="106" t="s">
        <v>201</v>
      </c>
      <c r="BQ22" s="94"/>
      <c r="BR22" s="94"/>
      <c r="BS22" s="94" t="s">
        <v>201</v>
      </c>
      <c r="BT22" s="94"/>
      <c r="BU22" s="94"/>
      <c r="BV22" s="94"/>
      <c r="BW22" s="94"/>
      <c r="BX22" s="94"/>
      <c r="BY22" s="94"/>
      <c r="BZ22" s="94"/>
      <c r="CA22" s="94"/>
      <c r="CB22" s="94"/>
      <c r="CC22" s="94"/>
      <c r="CD22" s="94"/>
      <c r="CE22" s="108"/>
      <c r="CF22" s="94"/>
      <c r="CG22" s="109"/>
      <c r="CH22" s="109"/>
      <c r="CI22" s="109"/>
      <c r="CJ22" s="83" t="str">
        <f t="shared" si="0"/>
        <v>No aplica</v>
      </c>
      <c r="CK22" s="83" t="str">
        <f t="shared" si="1"/>
        <v>No aplica</v>
      </c>
      <c r="CL22" s="83" t="str">
        <f t="shared" si="4"/>
        <v>No se reportó avance</v>
      </c>
      <c r="CM22" s="89" t="str">
        <f t="shared" si="5"/>
        <v>No se reportó avance</v>
      </c>
      <c r="CN22" s="89" t="str">
        <f t="shared" si="6"/>
        <v>No se reportó avance</v>
      </c>
      <c r="CO22" s="94" t="s">
        <v>236</v>
      </c>
      <c r="CP22" s="94" t="s">
        <v>237</v>
      </c>
      <c r="CQ22" s="94" t="s">
        <v>238</v>
      </c>
      <c r="CR22" s="94" t="s">
        <v>239</v>
      </c>
      <c r="CS22" s="94" t="s">
        <v>240</v>
      </c>
      <c r="CT22" s="94" t="s">
        <v>161</v>
      </c>
      <c r="CU22" s="94" t="s">
        <v>233</v>
      </c>
      <c r="CV22" s="94">
        <v>1</v>
      </c>
      <c r="CW22" s="97" t="s">
        <v>234</v>
      </c>
      <c r="CX22" s="679">
        <v>46023</v>
      </c>
      <c r="CY22" s="679">
        <v>46112</v>
      </c>
      <c r="CZ22" s="110">
        <v>1</v>
      </c>
      <c r="DA22" s="94" t="s">
        <v>182</v>
      </c>
      <c r="DB22" s="94" t="s">
        <v>182</v>
      </c>
      <c r="DC22" s="94" t="s">
        <v>182</v>
      </c>
      <c r="DD22" s="94">
        <v>1</v>
      </c>
      <c r="DE22" s="84" t="s">
        <v>182</v>
      </c>
      <c r="DF22" s="84" t="s">
        <v>182</v>
      </c>
      <c r="DG22" s="84" t="s">
        <v>182</v>
      </c>
      <c r="DH22" s="84" t="s">
        <v>182</v>
      </c>
      <c r="DI22" s="84" t="s">
        <v>183</v>
      </c>
      <c r="DJ22" s="84" t="s">
        <v>184</v>
      </c>
      <c r="DK22" s="84" t="s">
        <v>184</v>
      </c>
      <c r="DL22" s="84" t="s">
        <v>154</v>
      </c>
      <c r="DM22" s="84" t="s">
        <v>154</v>
      </c>
      <c r="DN22" s="108"/>
      <c r="DO22" s="106"/>
      <c r="DP22" s="89"/>
      <c r="DQ22" s="86"/>
      <c r="DR22" s="86"/>
      <c r="DS22" s="89"/>
      <c r="DT22" s="106"/>
      <c r="DU22" s="89"/>
      <c r="DV22" s="106"/>
      <c r="DW22" s="106"/>
      <c r="DX22" s="89"/>
      <c r="DY22" s="106"/>
      <c r="DZ22" s="89"/>
      <c r="EA22" s="106"/>
      <c r="EB22" s="106"/>
      <c r="EC22" s="89"/>
      <c r="ED22" s="94"/>
      <c r="EE22" s="89"/>
      <c r="EF22" s="94"/>
      <c r="EG22" s="94"/>
      <c r="EH22" s="336"/>
      <c r="EI22" s="94"/>
      <c r="EJ22" s="94"/>
      <c r="EK22" s="94"/>
      <c r="EL22" s="91" t="str">
        <f t="shared" si="7"/>
        <v>No se reportó avance</v>
      </c>
      <c r="EM22" s="83" t="str">
        <f t="shared" si="8"/>
        <v>No se reportó avance</v>
      </c>
      <c r="EN22" s="106"/>
      <c r="EO22" s="93" t="str">
        <f t="shared" si="2"/>
        <v>Producto</v>
      </c>
      <c r="EP22" s="93" t="str">
        <f t="shared" si="3"/>
        <v>7</v>
      </c>
    </row>
    <row r="23" spans="1:146" s="93" customFormat="1" ht="150" customHeight="1">
      <c r="A23" s="74" t="s">
        <v>241</v>
      </c>
      <c r="B23" s="98" t="s">
        <v>242</v>
      </c>
      <c r="C23" s="98" t="s">
        <v>243</v>
      </c>
      <c r="D23" s="98" t="s">
        <v>244</v>
      </c>
      <c r="E23" s="98" t="s">
        <v>245</v>
      </c>
      <c r="F23" s="98" t="s">
        <v>246</v>
      </c>
      <c r="G23" s="98" t="s">
        <v>201</v>
      </c>
      <c r="H23" s="98" t="s">
        <v>201</v>
      </c>
      <c r="I23" s="98" t="s">
        <v>247</v>
      </c>
      <c r="J23" s="74" t="s">
        <v>156</v>
      </c>
      <c r="K23" s="98" t="s">
        <v>248</v>
      </c>
      <c r="L23" s="78">
        <v>1</v>
      </c>
      <c r="M23" s="78" t="s">
        <v>249</v>
      </c>
      <c r="N23" s="78" t="s">
        <v>250</v>
      </c>
      <c r="O23" s="77" t="s">
        <v>251</v>
      </c>
      <c r="P23" s="78" t="s">
        <v>200</v>
      </c>
      <c r="Q23" s="78" t="s">
        <v>162</v>
      </c>
      <c r="R23" s="111">
        <v>1</v>
      </c>
      <c r="S23" s="78" t="s">
        <v>252</v>
      </c>
      <c r="T23" s="80">
        <v>44927</v>
      </c>
      <c r="U23" s="80">
        <v>46387</v>
      </c>
      <c r="V23" s="81"/>
      <c r="W23" s="81"/>
      <c r="X23" s="81"/>
      <c r="Y23" s="81"/>
      <c r="Z23" s="79">
        <v>1</v>
      </c>
      <c r="AA23" s="75">
        <v>0</v>
      </c>
      <c r="AB23" s="75">
        <v>0</v>
      </c>
      <c r="AC23" s="75">
        <v>0</v>
      </c>
      <c r="AD23" s="75">
        <v>1</v>
      </c>
      <c r="AE23" s="111">
        <v>1</v>
      </c>
      <c r="AF23" s="112">
        <v>1</v>
      </c>
      <c r="AG23" s="112">
        <v>1</v>
      </c>
      <c r="AH23" s="112">
        <v>1</v>
      </c>
      <c r="AI23" s="82">
        <v>1</v>
      </c>
      <c r="AJ23" s="79">
        <v>1</v>
      </c>
      <c r="AK23" s="113">
        <v>1</v>
      </c>
      <c r="AL23" s="113">
        <v>1</v>
      </c>
      <c r="AM23" s="113">
        <v>1</v>
      </c>
      <c r="AN23" s="113">
        <v>1</v>
      </c>
      <c r="AO23" s="79">
        <v>1</v>
      </c>
      <c r="AP23" s="111">
        <v>1</v>
      </c>
      <c r="AQ23" s="84" t="s">
        <v>182</v>
      </c>
      <c r="AR23" s="84" t="s">
        <v>253</v>
      </c>
      <c r="AS23" s="84" t="s">
        <v>182</v>
      </c>
      <c r="AT23" s="84" t="s">
        <v>253</v>
      </c>
      <c r="AU23" s="84" t="s">
        <v>182</v>
      </c>
      <c r="AV23" s="84" t="s">
        <v>253</v>
      </c>
      <c r="AW23" s="765">
        <f>18/18</f>
        <v>1</v>
      </c>
      <c r="AX23" s="84" t="s">
        <v>254</v>
      </c>
      <c r="AY23" s="765">
        <f>18/18</f>
        <v>1</v>
      </c>
      <c r="AZ23" s="86" t="s">
        <v>255</v>
      </c>
      <c r="BA23" s="83" t="s">
        <v>182</v>
      </c>
      <c r="BB23" s="84" t="s">
        <v>253</v>
      </c>
      <c r="BC23" s="83" t="s">
        <v>182</v>
      </c>
      <c r="BD23" s="84" t="s">
        <v>253</v>
      </c>
      <c r="BE23" s="83" t="s">
        <v>182</v>
      </c>
      <c r="BF23" s="84" t="s">
        <v>253</v>
      </c>
      <c r="BG23" s="83">
        <f>+(7/7)</f>
        <v>1</v>
      </c>
      <c r="BH23" s="84" t="s">
        <v>256</v>
      </c>
      <c r="BI23" s="83">
        <f>+(7/7)</f>
        <v>1</v>
      </c>
      <c r="BJ23" s="87" t="s">
        <v>257</v>
      </c>
      <c r="BK23" s="83">
        <f>+(2/2)</f>
        <v>1</v>
      </c>
      <c r="BL23" s="86" t="s">
        <v>258</v>
      </c>
      <c r="BM23" s="83">
        <f>+(3/3)</f>
        <v>1</v>
      </c>
      <c r="BN23" s="86" t="s">
        <v>259</v>
      </c>
      <c r="BO23" s="83">
        <f>+(4/4)</f>
        <v>1</v>
      </c>
      <c r="BP23" s="86" t="s">
        <v>260</v>
      </c>
      <c r="BQ23" s="84"/>
      <c r="BR23" s="84"/>
      <c r="BS23" s="83">
        <f>+BO23</f>
        <v>1</v>
      </c>
      <c r="BT23" s="84"/>
      <c r="BU23" s="84"/>
      <c r="BV23" s="84"/>
      <c r="BW23" s="84"/>
      <c r="BX23" s="84"/>
      <c r="BY23" s="84"/>
      <c r="BZ23" s="84"/>
      <c r="CA23" s="84"/>
      <c r="CB23" s="84"/>
      <c r="CC23" s="84"/>
      <c r="CD23" s="84"/>
      <c r="CE23" s="83">
        <f>+BS23</f>
        <v>1</v>
      </c>
      <c r="CF23" s="84"/>
      <c r="CG23" s="619">
        <f>SUM(DH23:DH27)</f>
        <v>588230000</v>
      </c>
      <c r="CH23" s="372"/>
      <c r="CI23" s="372"/>
      <c r="CJ23" s="83">
        <f t="shared" si="0"/>
        <v>0</v>
      </c>
      <c r="CK23" s="83">
        <f t="shared" si="1"/>
        <v>0</v>
      </c>
      <c r="CL23" s="83" t="str">
        <f t="shared" si="4"/>
        <v>No se reportó avance</v>
      </c>
      <c r="CM23" s="89" t="str">
        <f t="shared" si="5"/>
        <v>No se reportó avance</v>
      </c>
      <c r="CN23" s="89">
        <f t="shared" si="6"/>
        <v>1</v>
      </c>
      <c r="CO23" s="84" t="s">
        <v>177</v>
      </c>
      <c r="CP23" s="94" t="s">
        <v>261</v>
      </c>
      <c r="CQ23" s="84" t="s">
        <v>262</v>
      </c>
      <c r="CR23" s="94" t="s">
        <v>263</v>
      </c>
      <c r="CS23" s="94" t="s">
        <v>264</v>
      </c>
      <c r="CT23" s="678" t="s">
        <v>161</v>
      </c>
      <c r="CU23" s="84" t="s">
        <v>162</v>
      </c>
      <c r="CV23" s="83">
        <v>1</v>
      </c>
      <c r="CW23" s="678" t="s">
        <v>163</v>
      </c>
      <c r="CX23" s="680">
        <v>46023</v>
      </c>
      <c r="CY23" s="680">
        <v>46387</v>
      </c>
      <c r="CZ23" s="146">
        <v>1</v>
      </c>
      <c r="DA23" s="146">
        <v>1</v>
      </c>
      <c r="DB23" s="146">
        <v>1</v>
      </c>
      <c r="DC23" s="146">
        <v>1</v>
      </c>
      <c r="DD23" s="146">
        <v>1</v>
      </c>
      <c r="DE23" s="84" t="s">
        <v>265</v>
      </c>
      <c r="DF23" s="84" t="s">
        <v>266</v>
      </c>
      <c r="DG23" s="94" t="s">
        <v>267</v>
      </c>
      <c r="DH23" s="620">
        <v>300000000</v>
      </c>
      <c r="DI23" s="94" t="s">
        <v>268</v>
      </c>
      <c r="DJ23" s="84" t="s">
        <v>269</v>
      </c>
      <c r="DK23" s="84" t="s">
        <v>270</v>
      </c>
      <c r="DL23" s="94"/>
      <c r="DM23" s="94"/>
      <c r="DN23" s="115"/>
      <c r="DO23" s="86"/>
      <c r="DP23" s="116"/>
      <c r="DQ23" s="86"/>
      <c r="DR23" s="86"/>
      <c r="DS23" s="115"/>
      <c r="DT23" s="86"/>
      <c r="DU23" s="84"/>
      <c r="DV23" s="86"/>
      <c r="DW23" s="86"/>
      <c r="DX23" s="115"/>
      <c r="DY23" s="86"/>
      <c r="DZ23" s="84"/>
      <c r="EA23" s="86"/>
      <c r="EB23" s="86"/>
      <c r="EC23" s="84"/>
      <c r="ED23" s="84"/>
      <c r="EE23" s="84"/>
      <c r="EF23" s="84"/>
      <c r="EG23" s="84"/>
      <c r="EH23" s="115"/>
      <c r="EI23" s="84"/>
      <c r="EJ23" s="84"/>
      <c r="EK23" s="84"/>
      <c r="EL23" s="91" t="str">
        <f t="shared" si="7"/>
        <v>No se reportó avance</v>
      </c>
      <c r="EM23" s="83" t="str">
        <f t="shared" si="8"/>
        <v>No se reportó avance</v>
      </c>
      <c r="EN23" s="86" t="s">
        <v>271</v>
      </c>
      <c r="EO23" s="93" t="str">
        <f t="shared" si="2"/>
        <v>Gestión</v>
      </c>
      <c r="EP23" s="93" t="str">
        <f t="shared" si="3"/>
        <v>7</v>
      </c>
    </row>
    <row r="24" spans="1:146" s="93" customFormat="1" ht="150" customHeight="1">
      <c r="A24" s="84" t="s">
        <v>241</v>
      </c>
      <c r="B24" s="94" t="s">
        <v>242</v>
      </c>
      <c r="C24" s="94" t="s">
        <v>243</v>
      </c>
      <c r="D24" s="94" t="s">
        <v>244</v>
      </c>
      <c r="E24" s="94" t="s">
        <v>245</v>
      </c>
      <c r="F24" s="94" t="s">
        <v>246</v>
      </c>
      <c r="G24" s="94" t="s">
        <v>201</v>
      </c>
      <c r="H24" s="94" t="s">
        <v>201</v>
      </c>
      <c r="I24" s="94" t="s">
        <v>247</v>
      </c>
      <c r="J24" s="84" t="s">
        <v>156</v>
      </c>
      <c r="K24" s="94" t="s">
        <v>248</v>
      </c>
      <c r="L24" s="84">
        <v>1</v>
      </c>
      <c r="M24" s="84" t="s">
        <v>249</v>
      </c>
      <c r="N24" s="84" t="s">
        <v>250</v>
      </c>
      <c r="O24" s="84" t="s">
        <v>251</v>
      </c>
      <c r="P24" s="84" t="s">
        <v>200</v>
      </c>
      <c r="Q24" s="84" t="s">
        <v>162</v>
      </c>
      <c r="R24" s="83">
        <v>1</v>
      </c>
      <c r="S24" s="84" t="s">
        <v>252</v>
      </c>
      <c r="T24" s="90">
        <v>44927</v>
      </c>
      <c r="U24" s="90">
        <v>46387</v>
      </c>
      <c r="V24" s="90"/>
      <c r="W24" s="90"/>
      <c r="X24" s="90"/>
      <c r="Y24" s="90"/>
      <c r="Z24" s="83"/>
      <c r="AA24" s="85"/>
      <c r="AB24" s="85"/>
      <c r="AC24" s="85"/>
      <c r="AD24" s="83"/>
      <c r="AE24" s="83"/>
      <c r="AF24" s="90"/>
      <c r="AG24" s="90"/>
      <c r="AH24" s="90"/>
      <c r="AI24" s="90"/>
      <c r="AJ24" s="83"/>
      <c r="AK24" s="117"/>
      <c r="AL24" s="117"/>
      <c r="AM24" s="117"/>
      <c r="AN24" s="117"/>
      <c r="AO24" s="83"/>
      <c r="AP24" s="83"/>
      <c r="AQ24" s="84"/>
      <c r="AR24" s="84"/>
      <c r="AS24" s="84"/>
      <c r="AT24" s="84"/>
      <c r="AU24" s="84"/>
      <c r="AV24" s="84"/>
      <c r="AW24" s="84"/>
      <c r="AX24" s="84"/>
      <c r="AY24" s="84"/>
      <c r="AZ24" s="86"/>
      <c r="BA24" s="84"/>
      <c r="BB24" s="84"/>
      <c r="BC24" s="84"/>
      <c r="BD24" s="84"/>
      <c r="BE24" s="84"/>
      <c r="BF24" s="84"/>
      <c r="BG24" s="84"/>
      <c r="BH24" s="84"/>
      <c r="BI24" s="84"/>
      <c r="BJ24" s="86"/>
      <c r="BK24" s="84"/>
      <c r="BL24" s="86"/>
      <c r="BM24" s="84"/>
      <c r="BN24" s="86"/>
      <c r="BO24" s="84"/>
      <c r="BP24" s="86"/>
      <c r="BQ24" s="84"/>
      <c r="BR24" s="84"/>
      <c r="BS24" s="84"/>
      <c r="BT24" s="84"/>
      <c r="BU24" s="84"/>
      <c r="BV24" s="84"/>
      <c r="BW24" s="84"/>
      <c r="BX24" s="84"/>
      <c r="BY24" s="84"/>
      <c r="BZ24" s="84"/>
      <c r="CA24" s="84"/>
      <c r="CB24" s="84"/>
      <c r="CC24" s="84"/>
      <c r="CD24" s="84"/>
      <c r="CE24" s="84"/>
      <c r="CF24" s="84"/>
      <c r="CG24" s="372"/>
      <c r="CH24" s="372"/>
      <c r="CI24" s="372"/>
      <c r="CJ24" s="83" t="str">
        <f t="shared" si="0"/>
        <v>No aplica</v>
      </c>
      <c r="CK24" s="83" t="str">
        <f t="shared" si="1"/>
        <v>No aplica</v>
      </c>
      <c r="CL24" s="83" t="str">
        <f t="shared" si="4"/>
        <v>No requiere reporte</v>
      </c>
      <c r="CM24" s="89" t="str">
        <f t="shared" si="5"/>
        <v>No requiere reporte</v>
      </c>
      <c r="CN24" s="89" t="str">
        <f t="shared" si="6"/>
        <v>No requiere reporte</v>
      </c>
      <c r="CO24" s="84" t="s">
        <v>185</v>
      </c>
      <c r="CP24" s="94" t="s">
        <v>272</v>
      </c>
      <c r="CQ24" s="84" t="s">
        <v>262</v>
      </c>
      <c r="CR24" s="94" t="s">
        <v>273</v>
      </c>
      <c r="CS24" s="94" t="s">
        <v>274</v>
      </c>
      <c r="CT24" s="94" t="s">
        <v>200</v>
      </c>
      <c r="CU24" s="84" t="s">
        <v>275</v>
      </c>
      <c r="CV24" s="85">
        <v>0.8</v>
      </c>
      <c r="CW24" s="678" t="s">
        <v>163</v>
      </c>
      <c r="CX24" s="680">
        <v>46023</v>
      </c>
      <c r="CY24" s="680">
        <v>46387</v>
      </c>
      <c r="CZ24" s="85">
        <v>0.8</v>
      </c>
      <c r="DA24" s="85">
        <v>0.8</v>
      </c>
      <c r="DB24" s="85">
        <v>0.8</v>
      </c>
      <c r="DC24" s="85">
        <v>0.8</v>
      </c>
      <c r="DD24" s="85">
        <v>0.8</v>
      </c>
      <c r="DE24" s="84"/>
      <c r="DF24" s="94"/>
      <c r="DG24" s="94"/>
      <c r="DH24" s="620">
        <v>0</v>
      </c>
      <c r="DI24" s="94" t="s">
        <v>268</v>
      </c>
      <c r="DJ24" s="84" t="s">
        <v>269</v>
      </c>
      <c r="DK24" s="84" t="s">
        <v>270</v>
      </c>
      <c r="DL24" s="94"/>
      <c r="DM24" s="94"/>
      <c r="DN24" s="84"/>
      <c r="DO24" s="86"/>
      <c r="DP24" s="84"/>
      <c r="DQ24" s="86"/>
      <c r="DR24" s="86"/>
      <c r="DS24" s="84"/>
      <c r="DT24" s="86"/>
      <c r="DU24" s="84"/>
      <c r="DV24" s="86"/>
      <c r="DW24" s="86"/>
      <c r="DX24" s="84"/>
      <c r="DY24" s="86"/>
      <c r="DZ24" s="118"/>
      <c r="EA24" s="86"/>
      <c r="EB24" s="86"/>
      <c r="EC24" s="84"/>
      <c r="ED24" s="84"/>
      <c r="EE24" s="84"/>
      <c r="EF24" s="84"/>
      <c r="EG24" s="84"/>
      <c r="EH24" s="84"/>
      <c r="EI24" s="84"/>
      <c r="EJ24" s="84"/>
      <c r="EK24" s="84"/>
      <c r="EL24" s="91" t="str">
        <f t="shared" si="7"/>
        <v>No se reportó avance</v>
      </c>
      <c r="EM24" s="83" t="str">
        <f t="shared" si="8"/>
        <v>No se reportó avance</v>
      </c>
      <c r="EN24" s="86"/>
      <c r="EO24" s="93" t="str">
        <f t="shared" si="2"/>
        <v>Gestión</v>
      </c>
      <c r="EP24" s="93" t="str">
        <f t="shared" si="3"/>
        <v>7</v>
      </c>
    </row>
    <row r="25" spans="1:146" s="93" customFormat="1" ht="150" customHeight="1">
      <c r="A25" s="84" t="s">
        <v>241</v>
      </c>
      <c r="B25" s="94" t="s">
        <v>242</v>
      </c>
      <c r="C25" s="94" t="s">
        <v>243</v>
      </c>
      <c r="D25" s="94" t="s">
        <v>244</v>
      </c>
      <c r="E25" s="94" t="s">
        <v>245</v>
      </c>
      <c r="F25" s="94" t="s">
        <v>246</v>
      </c>
      <c r="G25" s="94" t="s">
        <v>201</v>
      </c>
      <c r="H25" s="94" t="s">
        <v>201</v>
      </c>
      <c r="I25" s="94" t="s">
        <v>247</v>
      </c>
      <c r="J25" s="84" t="s">
        <v>156</v>
      </c>
      <c r="K25" s="94" t="s">
        <v>248</v>
      </c>
      <c r="L25" s="84">
        <v>1</v>
      </c>
      <c r="M25" s="84" t="s">
        <v>249</v>
      </c>
      <c r="N25" s="84" t="s">
        <v>250</v>
      </c>
      <c r="O25" s="84" t="s">
        <v>251</v>
      </c>
      <c r="P25" s="84" t="s">
        <v>200</v>
      </c>
      <c r="Q25" s="84" t="s">
        <v>162</v>
      </c>
      <c r="R25" s="83">
        <v>1</v>
      </c>
      <c r="S25" s="84" t="s">
        <v>252</v>
      </c>
      <c r="T25" s="90">
        <v>44927</v>
      </c>
      <c r="U25" s="90">
        <v>46387</v>
      </c>
      <c r="V25" s="90"/>
      <c r="W25" s="90"/>
      <c r="X25" s="90"/>
      <c r="Y25" s="90"/>
      <c r="Z25" s="83"/>
      <c r="AA25" s="85"/>
      <c r="AB25" s="85"/>
      <c r="AC25" s="85"/>
      <c r="AD25" s="83"/>
      <c r="AE25" s="83"/>
      <c r="AF25" s="90"/>
      <c r="AG25" s="90"/>
      <c r="AH25" s="90"/>
      <c r="AI25" s="90"/>
      <c r="AJ25" s="83"/>
      <c r="AK25" s="117"/>
      <c r="AL25" s="117"/>
      <c r="AM25" s="117"/>
      <c r="AN25" s="117"/>
      <c r="AO25" s="83"/>
      <c r="AP25" s="83"/>
      <c r="AQ25" s="84"/>
      <c r="AR25" s="84"/>
      <c r="AS25" s="84"/>
      <c r="AT25" s="84"/>
      <c r="AU25" s="84"/>
      <c r="AV25" s="84"/>
      <c r="AW25" s="84"/>
      <c r="AX25" s="84"/>
      <c r="AY25" s="84"/>
      <c r="AZ25" s="86"/>
      <c r="BA25" s="84"/>
      <c r="BB25" s="84"/>
      <c r="BC25" s="84"/>
      <c r="BD25" s="84"/>
      <c r="BE25" s="84"/>
      <c r="BF25" s="84"/>
      <c r="BG25" s="84"/>
      <c r="BH25" s="84"/>
      <c r="BI25" s="84"/>
      <c r="BJ25" s="86"/>
      <c r="BK25" s="84"/>
      <c r="BL25" s="86"/>
      <c r="BM25" s="84"/>
      <c r="BN25" s="86"/>
      <c r="BO25" s="84"/>
      <c r="BP25" s="86"/>
      <c r="BQ25" s="84"/>
      <c r="BR25" s="84"/>
      <c r="BS25" s="84"/>
      <c r="BT25" s="84"/>
      <c r="BU25" s="84"/>
      <c r="BV25" s="84"/>
      <c r="BW25" s="84"/>
      <c r="BX25" s="84"/>
      <c r="BY25" s="84"/>
      <c r="BZ25" s="84"/>
      <c r="CA25" s="84"/>
      <c r="CB25" s="84"/>
      <c r="CC25" s="84"/>
      <c r="CD25" s="84"/>
      <c r="CE25" s="84"/>
      <c r="CF25" s="84"/>
      <c r="CG25" s="372"/>
      <c r="CH25" s="372"/>
      <c r="CI25" s="372"/>
      <c r="CJ25" s="83" t="str">
        <f t="shared" si="0"/>
        <v>No aplica</v>
      </c>
      <c r="CK25" s="83" t="str">
        <f t="shared" si="1"/>
        <v>No aplica</v>
      </c>
      <c r="CL25" s="83" t="str">
        <f t="shared" si="4"/>
        <v>No requiere reporte</v>
      </c>
      <c r="CM25" s="89" t="str">
        <f t="shared" si="5"/>
        <v>No requiere reporte</v>
      </c>
      <c r="CN25" s="89" t="str">
        <f t="shared" si="6"/>
        <v>No requiere reporte</v>
      </c>
      <c r="CO25" s="84" t="s">
        <v>190</v>
      </c>
      <c r="CP25" s="94" t="s">
        <v>276</v>
      </c>
      <c r="CQ25" s="84" t="s">
        <v>262</v>
      </c>
      <c r="CR25" s="94" t="s">
        <v>277</v>
      </c>
      <c r="CS25" s="94" t="s">
        <v>278</v>
      </c>
      <c r="CT25" s="678" t="s">
        <v>161</v>
      </c>
      <c r="CU25" s="94" t="s">
        <v>233</v>
      </c>
      <c r="CV25" s="84">
        <v>16</v>
      </c>
      <c r="CW25" s="678" t="s">
        <v>234</v>
      </c>
      <c r="CX25" s="680">
        <v>46023</v>
      </c>
      <c r="CY25" s="680">
        <v>46387</v>
      </c>
      <c r="CZ25" s="678">
        <v>0</v>
      </c>
      <c r="DA25" s="678">
        <v>0</v>
      </c>
      <c r="DB25" s="94">
        <v>0</v>
      </c>
      <c r="DC25" s="94">
        <v>1</v>
      </c>
      <c r="DD25" s="678">
        <v>1</v>
      </c>
      <c r="DE25" s="84" t="s">
        <v>265</v>
      </c>
      <c r="DF25" s="94" t="s">
        <v>266</v>
      </c>
      <c r="DG25" s="94" t="s">
        <v>267</v>
      </c>
      <c r="DH25" s="620">
        <v>268230000</v>
      </c>
      <c r="DI25" s="94" t="s">
        <v>268</v>
      </c>
      <c r="DJ25" s="84" t="s">
        <v>269</v>
      </c>
      <c r="DK25" s="84" t="s">
        <v>270</v>
      </c>
      <c r="DL25" s="94" t="s">
        <v>279</v>
      </c>
      <c r="DM25" s="94" t="s">
        <v>280</v>
      </c>
      <c r="DN25" s="84"/>
      <c r="DO25" s="86"/>
      <c r="DP25" s="84"/>
      <c r="DQ25" s="86"/>
      <c r="DR25" s="86"/>
      <c r="DS25" s="84"/>
      <c r="DT25" s="86"/>
      <c r="DU25" s="84"/>
      <c r="DV25" s="86"/>
      <c r="DW25" s="86"/>
      <c r="DX25" s="84"/>
      <c r="DY25" s="86"/>
      <c r="DZ25" s="118"/>
      <c r="EA25" s="86"/>
      <c r="EB25" s="86"/>
      <c r="EC25" s="84"/>
      <c r="ED25" s="84"/>
      <c r="EE25" s="84"/>
      <c r="EF25" s="84"/>
      <c r="EG25" s="84"/>
      <c r="EH25" s="84"/>
      <c r="EI25" s="84"/>
      <c r="EJ25" s="84"/>
      <c r="EK25" s="84"/>
      <c r="EL25" s="91" t="str">
        <f t="shared" si="7"/>
        <v>No aplica, no hay meta</v>
      </c>
      <c r="EM25" s="83" t="str">
        <f t="shared" si="8"/>
        <v>No se reportó avance</v>
      </c>
      <c r="EN25" s="86"/>
    </row>
    <row r="26" spans="1:146" s="93" customFormat="1" ht="150" customHeight="1">
      <c r="A26" s="84" t="s">
        <v>241</v>
      </c>
      <c r="B26" s="94" t="s">
        <v>242</v>
      </c>
      <c r="C26" s="94" t="s">
        <v>243</v>
      </c>
      <c r="D26" s="94" t="s">
        <v>244</v>
      </c>
      <c r="E26" s="94" t="s">
        <v>245</v>
      </c>
      <c r="F26" s="94" t="s">
        <v>246</v>
      </c>
      <c r="G26" s="94" t="s">
        <v>201</v>
      </c>
      <c r="H26" s="94" t="s">
        <v>201</v>
      </c>
      <c r="I26" s="94" t="s">
        <v>247</v>
      </c>
      <c r="J26" s="84" t="s">
        <v>156</v>
      </c>
      <c r="K26" s="94" t="s">
        <v>248</v>
      </c>
      <c r="L26" s="84">
        <v>1</v>
      </c>
      <c r="M26" s="84" t="s">
        <v>249</v>
      </c>
      <c r="N26" s="84" t="s">
        <v>250</v>
      </c>
      <c r="O26" s="84" t="s">
        <v>251</v>
      </c>
      <c r="P26" s="84" t="s">
        <v>200</v>
      </c>
      <c r="Q26" s="84" t="s">
        <v>162</v>
      </c>
      <c r="R26" s="83">
        <v>1</v>
      </c>
      <c r="S26" s="84" t="s">
        <v>252</v>
      </c>
      <c r="T26" s="90">
        <v>44927</v>
      </c>
      <c r="U26" s="90">
        <v>46387</v>
      </c>
      <c r="V26" s="90"/>
      <c r="W26" s="90"/>
      <c r="X26" s="90"/>
      <c r="Y26" s="90"/>
      <c r="Z26" s="83"/>
      <c r="AA26" s="85"/>
      <c r="AB26" s="85"/>
      <c r="AC26" s="85"/>
      <c r="AD26" s="83"/>
      <c r="AE26" s="83"/>
      <c r="AF26" s="90"/>
      <c r="AG26" s="90"/>
      <c r="AH26" s="90"/>
      <c r="AI26" s="90"/>
      <c r="AJ26" s="83"/>
      <c r="AK26" s="117"/>
      <c r="AL26" s="117"/>
      <c r="AM26" s="117"/>
      <c r="AN26" s="117"/>
      <c r="AO26" s="83"/>
      <c r="AP26" s="83"/>
      <c r="AQ26" s="84"/>
      <c r="AR26" s="84"/>
      <c r="AS26" s="84"/>
      <c r="AT26" s="84"/>
      <c r="AU26" s="84"/>
      <c r="AV26" s="84"/>
      <c r="AW26" s="84"/>
      <c r="AX26" s="84"/>
      <c r="AY26" s="84"/>
      <c r="AZ26" s="86"/>
      <c r="BA26" s="84"/>
      <c r="BB26" s="84"/>
      <c r="BC26" s="84"/>
      <c r="BD26" s="84"/>
      <c r="BE26" s="84"/>
      <c r="BF26" s="84"/>
      <c r="BG26" s="84"/>
      <c r="BH26" s="84"/>
      <c r="BI26" s="84"/>
      <c r="BJ26" s="86"/>
      <c r="BK26" s="84"/>
      <c r="BL26" s="86"/>
      <c r="BM26" s="84"/>
      <c r="BN26" s="86"/>
      <c r="BO26" s="84"/>
      <c r="BP26" s="86"/>
      <c r="BQ26" s="84"/>
      <c r="BR26" s="84"/>
      <c r="BS26" s="84"/>
      <c r="BT26" s="84"/>
      <c r="BU26" s="84"/>
      <c r="BV26" s="84"/>
      <c r="BW26" s="84"/>
      <c r="BX26" s="84"/>
      <c r="BY26" s="84"/>
      <c r="BZ26" s="84"/>
      <c r="CA26" s="84"/>
      <c r="CB26" s="84"/>
      <c r="CC26" s="84"/>
      <c r="CD26" s="84"/>
      <c r="CE26" s="84"/>
      <c r="CF26" s="84"/>
      <c r="CG26" s="372"/>
      <c r="CH26" s="372"/>
      <c r="CI26" s="372"/>
      <c r="CJ26" s="83" t="str">
        <f t="shared" si="0"/>
        <v>No aplica</v>
      </c>
      <c r="CK26" s="83" t="str">
        <f t="shared" si="1"/>
        <v>No aplica</v>
      </c>
      <c r="CL26" s="83" t="str">
        <f t="shared" si="4"/>
        <v>No requiere reporte</v>
      </c>
      <c r="CM26" s="89" t="str">
        <f t="shared" si="5"/>
        <v>No requiere reporte</v>
      </c>
      <c r="CN26" s="89" t="str">
        <f t="shared" si="6"/>
        <v>No requiere reporte</v>
      </c>
      <c r="CO26" s="84" t="s">
        <v>195</v>
      </c>
      <c r="CP26" s="94" t="s">
        <v>281</v>
      </c>
      <c r="CQ26" s="84" t="s">
        <v>282</v>
      </c>
      <c r="CR26" s="94" t="s">
        <v>283</v>
      </c>
      <c r="CS26" s="94" t="s">
        <v>284</v>
      </c>
      <c r="CT26" s="678" t="s">
        <v>161</v>
      </c>
      <c r="CU26" s="94" t="s">
        <v>233</v>
      </c>
      <c r="CV26" s="84">
        <v>300</v>
      </c>
      <c r="CW26" s="678" t="s">
        <v>234</v>
      </c>
      <c r="CX26" s="680">
        <v>46023</v>
      </c>
      <c r="CY26" s="680">
        <v>46387</v>
      </c>
      <c r="CZ26" s="678">
        <v>0</v>
      </c>
      <c r="DA26" s="678">
        <v>0</v>
      </c>
      <c r="DB26" s="678">
        <v>0</v>
      </c>
      <c r="DC26" s="678">
        <v>30</v>
      </c>
      <c r="DD26" s="678">
        <f>+DC26</f>
        <v>30</v>
      </c>
      <c r="DE26" s="84" t="s">
        <v>265</v>
      </c>
      <c r="DF26" s="94" t="s">
        <v>266</v>
      </c>
      <c r="DG26" s="94" t="s">
        <v>267</v>
      </c>
      <c r="DH26" s="620">
        <v>20000000</v>
      </c>
      <c r="DI26" s="94" t="s">
        <v>268</v>
      </c>
      <c r="DJ26" s="84" t="s">
        <v>269</v>
      </c>
      <c r="DK26" s="84" t="s">
        <v>270</v>
      </c>
      <c r="DL26" s="94" t="s">
        <v>279</v>
      </c>
      <c r="DM26" s="94" t="s">
        <v>280</v>
      </c>
      <c r="DN26" s="84"/>
      <c r="DO26" s="86"/>
      <c r="DP26" s="84"/>
      <c r="DQ26" s="86"/>
      <c r="DR26" s="86"/>
      <c r="DS26" s="84"/>
      <c r="DT26" s="86"/>
      <c r="DU26" s="84"/>
      <c r="DV26" s="86"/>
      <c r="DW26" s="86"/>
      <c r="DX26" s="84"/>
      <c r="DY26" s="86"/>
      <c r="DZ26" s="118"/>
      <c r="EA26" s="86"/>
      <c r="EB26" s="86"/>
      <c r="EC26" s="84"/>
      <c r="ED26" s="84"/>
      <c r="EE26" s="84"/>
      <c r="EF26" s="84"/>
      <c r="EG26" s="84"/>
      <c r="EH26" s="84"/>
      <c r="EI26" s="84"/>
      <c r="EJ26" s="84"/>
      <c r="EK26" s="84"/>
      <c r="EL26" s="91" t="str">
        <f t="shared" si="7"/>
        <v>No aplica, no hay meta</v>
      </c>
      <c r="EM26" s="83" t="str">
        <f t="shared" si="8"/>
        <v>No se reportó avance</v>
      </c>
      <c r="EN26" s="86"/>
    </row>
    <row r="27" spans="1:146" s="93" customFormat="1" ht="150" customHeight="1">
      <c r="A27" s="84" t="s">
        <v>241</v>
      </c>
      <c r="B27" s="94" t="s">
        <v>242</v>
      </c>
      <c r="C27" s="94" t="s">
        <v>243</v>
      </c>
      <c r="D27" s="94" t="s">
        <v>244</v>
      </c>
      <c r="E27" s="94" t="s">
        <v>245</v>
      </c>
      <c r="F27" s="94" t="s">
        <v>246</v>
      </c>
      <c r="G27" s="94" t="s">
        <v>201</v>
      </c>
      <c r="H27" s="94" t="s">
        <v>201</v>
      </c>
      <c r="I27" s="94" t="s">
        <v>247</v>
      </c>
      <c r="J27" s="84" t="s">
        <v>156</v>
      </c>
      <c r="K27" s="94" t="s">
        <v>248</v>
      </c>
      <c r="L27" s="84">
        <v>1</v>
      </c>
      <c r="M27" s="84" t="s">
        <v>249</v>
      </c>
      <c r="N27" s="84" t="s">
        <v>250</v>
      </c>
      <c r="O27" s="84" t="s">
        <v>251</v>
      </c>
      <c r="P27" s="84" t="s">
        <v>200</v>
      </c>
      <c r="Q27" s="84" t="s">
        <v>162</v>
      </c>
      <c r="R27" s="83">
        <v>1</v>
      </c>
      <c r="S27" s="84" t="s">
        <v>252</v>
      </c>
      <c r="T27" s="90">
        <v>44927</v>
      </c>
      <c r="U27" s="90">
        <v>46387</v>
      </c>
      <c r="V27" s="90"/>
      <c r="W27" s="90"/>
      <c r="X27" s="90"/>
      <c r="Y27" s="90"/>
      <c r="Z27" s="83"/>
      <c r="AA27" s="85"/>
      <c r="AB27" s="85"/>
      <c r="AC27" s="85"/>
      <c r="AD27" s="83"/>
      <c r="AE27" s="83"/>
      <c r="AF27" s="90"/>
      <c r="AG27" s="90"/>
      <c r="AH27" s="90"/>
      <c r="AI27" s="90"/>
      <c r="AJ27" s="83"/>
      <c r="AK27" s="117"/>
      <c r="AL27" s="117"/>
      <c r="AM27" s="117"/>
      <c r="AN27" s="117"/>
      <c r="AO27" s="83"/>
      <c r="AP27" s="83"/>
      <c r="AQ27" s="84"/>
      <c r="AR27" s="84"/>
      <c r="AS27" s="84"/>
      <c r="AT27" s="84"/>
      <c r="AU27" s="84"/>
      <c r="AV27" s="84"/>
      <c r="AW27" s="84"/>
      <c r="AX27" s="84"/>
      <c r="AY27" s="84"/>
      <c r="AZ27" s="86"/>
      <c r="BA27" s="84"/>
      <c r="BB27" s="84"/>
      <c r="BC27" s="84"/>
      <c r="BD27" s="84"/>
      <c r="BE27" s="84"/>
      <c r="BF27" s="84"/>
      <c r="BG27" s="84"/>
      <c r="BH27" s="84"/>
      <c r="BI27" s="84"/>
      <c r="BJ27" s="86"/>
      <c r="BK27" s="84"/>
      <c r="BL27" s="86"/>
      <c r="BM27" s="84"/>
      <c r="BN27" s="86"/>
      <c r="BO27" s="84"/>
      <c r="BP27" s="86"/>
      <c r="BQ27" s="84"/>
      <c r="BR27" s="84"/>
      <c r="BS27" s="84"/>
      <c r="BT27" s="84"/>
      <c r="BU27" s="84"/>
      <c r="BV27" s="84"/>
      <c r="BW27" s="84"/>
      <c r="BX27" s="84"/>
      <c r="BY27" s="84"/>
      <c r="BZ27" s="84"/>
      <c r="CA27" s="84"/>
      <c r="CB27" s="84"/>
      <c r="CC27" s="84"/>
      <c r="CD27" s="84"/>
      <c r="CE27" s="84"/>
      <c r="CF27" s="84"/>
      <c r="CG27" s="372"/>
      <c r="CH27" s="372"/>
      <c r="CI27" s="372"/>
      <c r="CJ27" s="83" t="str">
        <f t="shared" si="0"/>
        <v>No aplica</v>
      </c>
      <c r="CK27" s="83" t="str">
        <f t="shared" si="1"/>
        <v>No aplica</v>
      </c>
      <c r="CL27" s="83" t="str">
        <f t="shared" si="4"/>
        <v>No requiere reporte</v>
      </c>
      <c r="CM27" s="89" t="str">
        <f t="shared" si="5"/>
        <v>No requiere reporte</v>
      </c>
      <c r="CN27" s="89" t="str">
        <f t="shared" si="6"/>
        <v>No requiere reporte</v>
      </c>
      <c r="CO27" s="84" t="s">
        <v>202</v>
      </c>
      <c r="CP27" s="94" t="s">
        <v>285</v>
      </c>
      <c r="CQ27" s="84" t="s">
        <v>262</v>
      </c>
      <c r="CR27" s="94" t="s">
        <v>286</v>
      </c>
      <c r="CS27" s="94" t="s">
        <v>287</v>
      </c>
      <c r="CT27" s="678" t="s">
        <v>200</v>
      </c>
      <c r="CU27" s="94" t="s">
        <v>233</v>
      </c>
      <c r="CV27" s="84">
        <v>21</v>
      </c>
      <c r="CW27" s="678" t="s">
        <v>234</v>
      </c>
      <c r="CX27" s="680">
        <v>46023</v>
      </c>
      <c r="CY27" s="680">
        <v>46387</v>
      </c>
      <c r="CZ27" s="678">
        <v>0</v>
      </c>
      <c r="DA27" s="678">
        <v>1</v>
      </c>
      <c r="DB27" s="678">
        <v>0</v>
      </c>
      <c r="DC27" s="678">
        <v>1</v>
      </c>
      <c r="DD27" s="678">
        <v>2</v>
      </c>
      <c r="DE27" s="84" t="s">
        <v>182</v>
      </c>
      <c r="DF27" s="84" t="s">
        <v>182</v>
      </c>
      <c r="DG27" s="84" t="s">
        <v>182</v>
      </c>
      <c r="DH27" s="119">
        <v>0</v>
      </c>
      <c r="DI27" s="94" t="s">
        <v>268</v>
      </c>
      <c r="DJ27" s="84" t="s">
        <v>269</v>
      </c>
      <c r="DK27" s="84" t="s">
        <v>270</v>
      </c>
      <c r="DL27" s="94" t="s">
        <v>182</v>
      </c>
      <c r="DM27" s="94" t="s">
        <v>182</v>
      </c>
      <c r="DN27" s="84"/>
      <c r="DO27" s="86"/>
      <c r="DP27" s="84"/>
      <c r="DQ27" s="86"/>
      <c r="DR27" s="86"/>
      <c r="DS27" s="84"/>
      <c r="DT27" s="86"/>
      <c r="DU27" s="84"/>
      <c r="DV27" s="86"/>
      <c r="DW27" s="86"/>
      <c r="DX27" s="84"/>
      <c r="DY27" s="86"/>
      <c r="DZ27" s="118"/>
      <c r="EA27" s="86"/>
      <c r="EB27" s="86"/>
      <c r="EC27" s="84"/>
      <c r="ED27" s="84"/>
      <c r="EE27" s="84"/>
      <c r="EF27" s="84"/>
      <c r="EG27" s="84"/>
      <c r="EH27" s="84"/>
      <c r="EI27" s="84"/>
      <c r="EJ27" s="84"/>
      <c r="EK27" s="84"/>
      <c r="EL27" s="91" t="str">
        <f t="shared" si="7"/>
        <v>No aplica, no hay meta</v>
      </c>
      <c r="EM27" s="83" t="str">
        <f t="shared" si="8"/>
        <v>No se reportó avance</v>
      </c>
      <c r="EN27" s="86"/>
    </row>
    <row r="28" spans="1:146" s="93" customFormat="1" ht="186" customHeight="1">
      <c r="A28" s="74" t="s">
        <v>241</v>
      </c>
      <c r="B28" s="98" t="s">
        <v>288</v>
      </c>
      <c r="C28" s="98" t="s">
        <v>243</v>
      </c>
      <c r="D28" s="98" t="s">
        <v>244</v>
      </c>
      <c r="E28" s="98" t="s">
        <v>245</v>
      </c>
      <c r="F28" s="98" t="s">
        <v>246</v>
      </c>
      <c r="G28" s="98" t="s">
        <v>201</v>
      </c>
      <c r="H28" s="98" t="s">
        <v>201</v>
      </c>
      <c r="I28" s="98" t="s">
        <v>247</v>
      </c>
      <c r="J28" s="74" t="s">
        <v>156</v>
      </c>
      <c r="K28" s="98" t="s">
        <v>248</v>
      </c>
      <c r="L28" s="78">
        <v>2</v>
      </c>
      <c r="M28" s="78" t="s">
        <v>289</v>
      </c>
      <c r="N28" s="78" t="s">
        <v>290</v>
      </c>
      <c r="O28" s="78" t="s">
        <v>291</v>
      </c>
      <c r="P28" s="78" t="s">
        <v>200</v>
      </c>
      <c r="Q28" s="78" t="s">
        <v>162</v>
      </c>
      <c r="R28" s="82">
        <v>1</v>
      </c>
      <c r="S28" s="120" t="s">
        <v>163</v>
      </c>
      <c r="T28" s="80">
        <v>44927</v>
      </c>
      <c r="U28" s="80">
        <v>46387</v>
      </c>
      <c r="V28" s="121">
        <v>1</v>
      </c>
      <c r="W28" s="121">
        <v>1</v>
      </c>
      <c r="X28" s="121">
        <v>1</v>
      </c>
      <c r="Y28" s="121">
        <v>1</v>
      </c>
      <c r="Z28" s="82">
        <v>1</v>
      </c>
      <c r="AA28" s="121">
        <v>1</v>
      </c>
      <c r="AB28" s="121">
        <v>1</v>
      </c>
      <c r="AC28" s="121">
        <v>1</v>
      </c>
      <c r="AD28" s="121">
        <v>1</v>
      </c>
      <c r="AE28" s="82">
        <v>1</v>
      </c>
      <c r="AF28" s="82">
        <v>1</v>
      </c>
      <c r="AG28" s="82">
        <v>1</v>
      </c>
      <c r="AH28" s="82">
        <v>1</v>
      </c>
      <c r="AI28" s="82">
        <v>1</v>
      </c>
      <c r="AJ28" s="82">
        <v>1</v>
      </c>
      <c r="AK28" s="79">
        <v>1</v>
      </c>
      <c r="AL28" s="79">
        <v>1</v>
      </c>
      <c r="AM28" s="79">
        <v>1</v>
      </c>
      <c r="AN28" s="79">
        <v>1</v>
      </c>
      <c r="AO28" s="82">
        <v>1</v>
      </c>
      <c r="AP28" s="82">
        <v>1</v>
      </c>
      <c r="AQ28" s="83">
        <f>+(10/10)</f>
        <v>1</v>
      </c>
      <c r="AR28" s="84" t="s">
        <v>292</v>
      </c>
      <c r="AS28" s="83">
        <f>+(8/8)</f>
        <v>1</v>
      </c>
      <c r="AT28" s="84" t="s">
        <v>293</v>
      </c>
      <c r="AU28" s="83">
        <f>+(8/8)</f>
        <v>1</v>
      </c>
      <c r="AV28" s="84" t="s">
        <v>294</v>
      </c>
      <c r="AW28" s="83">
        <f>+(6/6)</f>
        <v>1</v>
      </c>
      <c r="AX28" s="84" t="s">
        <v>295</v>
      </c>
      <c r="AY28" s="83">
        <f>(10+8+8+6)/(10+8+8+6)</f>
        <v>1</v>
      </c>
      <c r="AZ28" s="86" t="s">
        <v>296</v>
      </c>
      <c r="BA28" s="83">
        <f>7/7</f>
        <v>1</v>
      </c>
      <c r="BB28" s="84" t="s">
        <v>297</v>
      </c>
      <c r="BC28" s="83">
        <f>4/4</f>
        <v>1</v>
      </c>
      <c r="BD28" s="84" t="s">
        <v>298</v>
      </c>
      <c r="BE28" s="83">
        <f>5/5</f>
        <v>1</v>
      </c>
      <c r="BF28" s="84" t="s">
        <v>299</v>
      </c>
      <c r="BG28" s="83">
        <f>+(6/6)</f>
        <v>1</v>
      </c>
      <c r="BH28" s="84" t="s">
        <v>300</v>
      </c>
      <c r="BI28" s="83">
        <f>+((7+4+5+6)/(7+4+5+6))</f>
        <v>1</v>
      </c>
      <c r="BJ28" s="87" t="s">
        <v>301</v>
      </c>
      <c r="BK28" s="83">
        <f>+(5/5)</f>
        <v>1</v>
      </c>
      <c r="BL28" s="86" t="s">
        <v>302</v>
      </c>
      <c r="BM28" s="83">
        <f>+(5/5)</f>
        <v>1</v>
      </c>
      <c r="BN28" s="86" t="s">
        <v>303</v>
      </c>
      <c r="BO28" s="83">
        <f>+(5/5)</f>
        <v>1</v>
      </c>
      <c r="BP28" s="86" t="s">
        <v>304</v>
      </c>
      <c r="BQ28" s="84"/>
      <c r="BR28" s="84"/>
      <c r="BS28" s="83">
        <f>+BO28</f>
        <v>1</v>
      </c>
      <c r="BT28" s="84"/>
      <c r="BU28" s="84"/>
      <c r="BV28" s="84"/>
      <c r="BW28" s="84"/>
      <c r="BX28" s="84"/>
      <c r="BY28" s="84"/>
      <c r="BZ28" s="84"/>
      <c r="CA28" s="84"/>
      <c r="CB28" s="84"/>
      <c r="CC28" s="84"/>
      <c r="CD28" s="84"/>
      <c r="CE28" s="83">
        <f>+BS28</f>
        <v>1</v>
      </c>
      <c r="CF28" s="84"/>
      <c r="CG28" s="620">
        <f>SUM(DH28:DH33)</f>
        <v>1099760000</v>
      </c>
      <c r="CH28" s="372"/>
      <c r="CI28" s="372"/>
      <c r="CJ28" s="83">
        <f t="shared" si="0"/>
        <v>0</v>
      </c>
      <c r="CK28" s="83">
        <f t="shared" si="1"/>
        <v>0</v>
      </c>
      <c r="CL28" s="83" t="str">
        <f t="shared" si="4"/>
        <v>No se reportó avance</v>
      </c>
      <c r="CM28" s="89" t="str">
        <f t="shared" si="5"/>
        <v>No se reportó avance</v>
      </c>
      <c r="CN28" s="89">
        <f t="shared" si="6"/>
        <v>1</v>
      </c>
      <c r="CO28" s="84" t="s">
        <v>225</v>
      </c>
      <c r="CP28" s="94" t="s">
        <v>305</v>
      </c>
      <c r="CQ28" s="84" t="s">
        <v>306</v>
      </c>
      <c r="CR28" s="84" t="s">
        <v>307</v>
      </c>
      <c r="CS28" s="84" t="s">
        <v>308</v>
      </c>
      <c r="CT28" s="84" t="s">
        <v>200</v>
      </c>
      <c r="CU28" s="84" t="s">
        <v>162</v>
      </c>
      <c r="CV28" s="83">
        <v>1</v>
      </c>
      <c r="CW28" s="85" t="s">
        <v>163</v>
      </c>
      <c r="CX28" s="90">
        <v>46023</v>
      </c>
      <c r="CY28" s="680">
        <v>46387</v>
      </c>
      <c r="CZ28" s="146">
        <v>1</v>
      </c>
      <c r="DA28" s="146">
        <v>1</v>
      </c>
      <c r="DB28" s="146">
        <v>1</v>
      </c>
      <c r="DC28" s="146">
        <v>1</v>
      </c>
      <c r="DD28" s="146">
        <v>1</v>
      </c>
      <c r="DE28" s="84" t="s">
        <v>265</v>
      </c>
      <c r="DF28" s="84" t="s">
        <v>266</v>
      </c>
      <c r="DG28" s="94" t="s">
        <v>267</v>
      </c>
      <c r="DH28" s="619">
        <v>129800000</v>
      </c>
      <c r="DI28" s="94" t="s">
        <v>268</v>
      </c>
      <c r="DJ28" s="84" t="s">
        <v>309</v>
      </c>
      <c r="DK28" s="84" t="s">
        <v>270</v>
      </c>
      <c r="DL28" s="94" t="s">
        <v>279</v>
      </c>
      <c r="DM28" s="94" t="s">
        <v>280</v>
      </c>
      <c r="DN28" s="115"/>
      <c r="DO28" s="86"/>
      <c r="DP28" s="115"/>
      <c r="DQ28" s="86"/>
      <c r="DR28" s="86"/>
      <c r="DS28" s="115"/>
      <c r="DT28" s="86"/>
      <c r="DU28" s="116"/>
      <c r="DV28" s="86"/>
      <c r="DW28" s="86"/>
      <c r="DX28" s="115"/>
      <c r="DY28" s="670"/>
      <c r="DZ28" s="84"/>
      <c r="EA28" s="86"/>
      <c r="EB28" s="86"/>
      <c r="EC28" s="115"/>
      <c r="ED28" s="84"/>
      <c r="EE28" s="115"/>
      <c r="EF28" s="84"/>
      <c r="EG28" s="84"/>
      <c r="EH28" s="115"/>
      <c r="EI28" s="84"/>
      <c r="EJ28" s="84"/>
      <c r="EK28" s="84"/>
      <c r="EL28" s="91" t="str">
        <f t="shared" si="7"/>
        <v>No se reportó avance</v>
      </c>
      <c r="EM28" s="83" t="str">
        <f t="shared" si="8"/>
        <v>No se reportó avance</v>
      </c>
      <c r="EN28" s="86" t="s">
        <v>310</v>
      </c>
      <c r="EO28" s="93" t="str">
        <f t="shared" si="2"/>
        <v>Gestión</v>
      </c>
      <c r="EP28" s="93" t="str">
        <f t="shared" si="3"/>
        <v>7</v>
      </c>
    </row>
    <row r="29" spans="1:146" s="93" customFormat="1" ht="150" customHeight="1">
      <c r="A29" s="84" t="s">
        <v>241</v>
      </c>
      <c r="B29" s="94" t="s">
        <v>311</v>
      </c>
      <c r="C29" s="94" t="s">
        <v>243</v>
      </c>
      <c r="D29" s="94" t="s">
        <v>312</v>
      </c>
      <c r="E29" s="94" t="s">
        <v>245</v>
      </c>
      <c r="F29" s="94" t="s">
        <v>246</v>
      </c>
      <c r="G29" s="94" t="s">
        <v>201</v>
      </c>
      <c r="H29" s="94" t="s">
        <v>201</v>
      </c>
      <c r="I29" s="94" t="s">
        <v>247</v>
      </c>
      <c r="J29" s="84" t="s">
        <v>156</v>
      </c>
      <c r="K29" s="94" t="s">
        <v>248</v>
      </c>
      <c r="L29" s="84">
        <v>2</v>
      </c>
      <c r="M29" s="84" t="s">
        <v>289</v>
      </c>
      <c r="N29" s="84" t="s">
        <v>290</v>
      </c>
      <c r="O29" s="84" t="s">
        <v>291</v>
      </c>
      <c r="P29" s="84" t="s">
        <v>200</v>
      </c>
      <c r="Q29" s="84" t="s">
        <v>162</v>
      </c>
      <c r="R29" s="83">
        <v>1</v>
      </c>
      <c r="S29" s="84" t="s">
        <v>163</v>
      </c>
      <c r="T29" s="90">
        <v>44927</v>
      </c>
      <c r="U29" s="90">
        <v>46387</v>
      </c>
      <c r="V29" s="83"/>
      <c r="W29" s="83"/>
      <c r="X29" s="83"/>
      <c r="Y29" s="83"/>
      <c r="Z29" s="83"/>
      <c r="AA29" s="83"/>
      <c r="AB29" s="83"/>
      <c r="AC29" s="83"/>
      <c r="AD29" s="83"/>
      <c r="AE29" s="83"/>
      <c r="AF29" s="83"/>
      <c r="AG29" s="83"/>
      <c r="AH29" s="83"/>
      <c r="AI29" s="83"/>
      <c r="AJ29" s="83"/>
      <c r="AK29" s="117"/>
      <c r="AL29" s="117"/>
      <c r="AM29" s="117"/>
      <c r="AN29" s="117"/>
      <c r="AO29" s="83"/>
      <c r="AP29" s="83"/>
      <c r="AQ29" s="84"/>
      <c r="AR29" s="84"/>
      <c r="AS29" s="84"/>
      <c r="AT29" s="84"/>
      <c r="AU29" s="84"/>
      <c r="AV29" s="84"/>
      <c r="AW29" s="84"/>
      <c r="AX29" s="84"/>
      <c r="AY29" s="84"/>
      <c r="AZ29" s="86"/>
      <c r="BA29" s="84"/>
      <c r="BB29" s="84"/>
      <c r="BC29" s="84"/>
      <c r="BD29" s="84"/>
      <c r="BE29" s="84"/>
      <c r="BF29" s="84"/>
      <c r="BG29" s="84"/>
      <c r="BH29" s="84"/>
      <c r="BI29" s="84"/>
      <c r="BJ29" s="86"/>
      <c r="BK29" s="84"/>
      <c r="BL29" s="86"/>
      <c r="BM29" s="84"/>
      <c r="BN29" s="86"/>
      <c r="BO29" s="84"/>
      <c r="BP29" s="86"/>
      <c r="BQ29" s="84"/>
      <c r="BR29" s="84"/>
      <c r="BS29" s="84"/>
      <c r="BT29" s="84"/>
      <c r="BU29" s="84"/>
      <c r="BV29" s="84"/>
      <c r="BW29" s="84"/>
      <c r="BX29" s="84"/>
      <c r="BY29" s="84"/>
      <c r="BZ29" s="84"/>
      <c r="CA29" s="84"/>
      <c r="CB29" s="84"/>
      <c r="CC29" s="84"/>
      <c r="CD29" s="84"/>
      <c r="CE29" s="84"/>
      <c r="CF29" s="84"/>
      <c r="CG29" s="372"/>
      <c r="CH29" s="372"/>
      <c r="CI29" s="372"/>
      <c r="CJ29" s="83" t="str">
        <f t="shared" si="0"/>
        <v>No aplica</v>
      </c>
      <c r="CK29" s="83" t="str">
        <f t="shared" si="1"/>
        <v>No aplica</v>
      </c>
      <c r="CL29" s="83" t="str">
        <f t="shared" si="4"/>
        <v>No requiere reporte</v>
      </c>
      <c r="CM29" s="89" t="str">
        <f t="shared" si="5"/>
        <v>No requiere reporte</v>
      </c>
      <c r="CN29" s="89" t="str">
        <f t="shared" si="6"/>
        <v>No requiere reporte</v>
      </c>
      <c r="CO29" s="84" t="s">
        <v>313</v>
      </c>
      <c r="CP29" s="84" t="s">
        <v>314</v>
      </c>
      <c r="CQ29" s="84" t="s">
        <v>315</v>
      </c>
      <c r="CR29" s="84" t="s">
        <v>316</v>
      </c>
      <c r="CS29" s="84" t="s">
        <v>317</v>
      </c>
      <c r="CT29" s="84" t="s">
        <v>200</v>
      </c>
      <c r="CU29" s="84" t="s">
        <v>162</v>
      </c>
      <c r="CV29" s="83">
        <v>1</v>
      </c>
      <c r="CW29" s="85" t="s">
        <v>163</v>
      </c>
      <c r="CX29" s="90">
        <v>46023</v>
      </c>
      <c r="CY29" s="680">
        <v>46387</v>
      </c>
      <c r="CZ29" s="146">
        <v>1</v>
      </c>
      <c r="DA29" s="146">
        <v>1</v>
      </c>
      <c r="DB29" s="146">
        <v>1</v>
      </c>
      <c r="DC29" s="146">
        <v>1</v>
      </c>
      <c r="DD29" s="146">
        <v>1</v>
      </c>
      <c r="DE29" s="84" t="s">
        <v>265</v>
      </c>
      <c r="DF29" s="84" t="s">
        <v>266</v>
      </c>
      <c r="DG29" s="94" t="s">
        <v>267</v>
      </c>
      <c r="DH29" s="619">
        <v>709960000</v>
      </c>
      <c r="DI29" s="94" t="s">
        <v>268</v>
      </c>
      <c r="DJ29" s="84" t="s">
        <v>309</v>
      </c>
      <c r="DK29" s="84" t="s">
        <v>270</v>
      </c>
      <c r="DL29" s="94" t="s">
        <v>279</v>
      </c>
      <c r="DM29" s="94" t="s">
        <v>280</v>
      </c>
      <c r="DN29" s="115"/>
      <c r="DO29" s="86"/>
      <c r="DP29" s="115"/>
      <c r="DQ29" s="86"/>
      <c r="DR29" s="86"/>
      <c r="DS29" s="115"/>
      <c r="DT29" s="86"/>
      <c r="DU29" s="116"/>
      <c r="DV29" s="86"/>
      <c r="DW29" s="86"/>
      <c r="DX29" s="115"/>
      <c r="DY29" s="86"/>
      <c r="DZ29" s="84"/>
      <c r="EA29" s="86"/>
      <c r="EB29" s="86"/>
      <c r="EC29" s="115"/>
      <c r="ED29" s="84"/>
      <c r="EE29" s="115"/>
      <c r="EF29" s="84"/>
      <c r="EG29" s="84"/>
      <c r="EH29" s="115"/>
      <c r="EI29" s="84"/>
      <c r="EJ29" s="84"/>
      <c r="EK29" s="84"/>
      <c r="EL29" s="91" t="str">
        <f t="shared" si="7"/>
        <v>No se reportó avance</v>
      </c>
      <c r="EM29" s="83" t="str">
        <f t="shared" si="8"/>
        <v>No se reportó avance</v>
      </c>
      <c r="EN29" s="86"/>
      <c r="EO29" s="93" t="str">
        <f t="shared" si="2"/>
        <v>Gestión</v>
      </c>
      <c r="EP29" s="93" t="str">
        <f t="shared" si="3"/>
        <v>7</v>
      </c>
    </row>
    <row r="30" spans="1:146" s="93" customFormat="1" ht="150" customHeight="1">
      <c r="A30" s="84" t="s">
        <v>241</v>
      </c>
      <c r="B30" s="94" t="s">
        <v>311</v>
      </c>
      <c r="C30" s="94" t="s">
        <v>243</v>
      </c>
      <c r="D30" s="94" t="s">
        <v>312</v>
      </c>
      <c r="E30" s="94" t="s">
        <v>245</v>
      </c>
      <c r="F30" s="94" t="s">
        <v>246</v>
      </c>
      <c r="G30" s="94" t="s">
        <v>201</v>
      </c>
      <c r="H30" s="94" t="s">
        <v>201</v>
      </c>
      <c r="I30" s="94" t="s">
        <v>247</v>
      </c>
      <c r="J30" s="84" t="s">
        <v>156</v>
      </c>
      <c r="K30" s="94" t="s">
        <v>248</v>
      </c>
      <c r="L30" s="84">
        <v>2</v>
      </c>
      <c r="M30" s="84" t="s">
        <v>289</v>
      </c>
      <c r="N30" s="84" t="s">
        <v>290</v>
      </c>
      <c r="O30" s="84" t="s">
        <v>291</v>
      </c>
      <c r="P30" s="84" t="s">
        <v>200</v>
      </c>
      <c r="Q30" s="84" t="s">
        <v>162</v>
      </c>
      <c r="R30" s="83">
        <v>1</v>
      </c>
      <c r="S30" s="84" t="s">
        <v>163</v>
      </c>
      <c r="T30" s="90">
        <v>44927</v>
      </c>
      <c r="U30" s="90">
        <v>46387</v>
      </c>
      <c r="V30" s="83"/>
      <c r="W30" s="83"/>
      <c r="X30" s="83"/>
      <c r="Y30" s="83"/>
      <c r="Z30" s="83"/>
      <c r="AA30" s="83"/>
      <c r="AB30" s="83"/>
      <c r="AC30" s="83"/>
      <c r="AD30" s="83"/>
      <c r="AE30" s="83"/>
      <c r="AF30" s="83"/>
      <c r="AG30" s="83"/>
      <c r="AH30" s="83"/>
      <c r="AI30" s="83"/>
      <c r="AJ30" s="83"/>
      <c r="AK30" s="117"/>
      <c r="AL30" s="117"/>
      <c r="AM30" s="117"/>
      <c r="AN30" s="117"/>
      <c r="AO30" s="83"/>
      <c r="AP30" s="83"/>
      <c r="AQ30" s="84"/>
      <c r="AR30" s="84"/>
      <c r="AS30" s="84"/>
      <c r="AT30" s="84"/>
      <c r="AU30" s="84"/>
      <c r="AV30" s="84"/>
      <c r="AW30" s="84"/>
      <c r="AX30" s="84"/>
      <c r="AY30" s="84"/>
      <c r="AZ30" s="86"/>
      <c r="BA30" s="84"/>
      <c r="BB30" s="84"/>
      <c r="BC30" s="84"/>
      <c r="BD30" s="84"/>
      <c r="BE30" s="84"/>
      <c r="BF30" s="84"/>
      <c r="BG30" s="84"/>
      <c r="BH30" s="84"/>
      <c r="BI30" s="84"/>
      <c r="BJ30" s="86"/>
      <c r="BK30" s="84"/>
      <c r="BL30" s="86"/>
      <c r="BM30" s="84"/>
      <c r="BN30" s="86"/>
      <c r="BO30" s="84"/>
      <c r="BP30" s="86"/>
      <c r="BQ30" s="84"/>
      <c r="BR30" s="84"/>
      <c r="BS30" s="84"/>
      <c r="BT30" s="84"/>
      <c r="BU30" s="84"/>
      <c r="BV30" s="84"/>
      <c r="BW30" s="84"/>
      <c r="BX30" s="84"/>
      <c r="BY30" s="84"/>
      <c r="BZ30" s="84"/>
      <c r="CA30" s="84"/>
      <c r="CB30" s="84"/>
      <c r="CC30" s="84"/>
      <c r="CD30" s="84"/>
      <c r="CE30" s="84"/>
      <c r="CF30" s="84"/>
      <c r="CG30" s="372"/>
      <c r="CH30" s="372"/>
      <c r="CI30" s="372"/>
      <c r="CJ30" s="83" t="str">
        <f t="shared" si="0"/>
        <v>No aplica</v>
      </c>
      <c r="CK30" s="83" t="str">
        <f t="shared" si="1"/>
        <v>No aplica</v>
      </c>
      <c r="CL30" s="83" t="str">
        <f t="shared" si="4"/>
        <v>No requiere reporte</v>
      </c>
      <c r="CM30" s="89" t="str">
        <f t="shared" si="5"/>
        <v>No requiere reporte</v>
      </c>
      <c r="CN30" s="89" t="str">
        <f t="shared" si="6"/>
        <v>No requiere reporte</v>
      </c>
      <c r="CO30" s="84" t="s">
        <v>318</v>
      </c>
      <c r="CP30" s="94" t="s">
        <v>319</v>
      </c>
      <c r="CQ30" s="84" t="s">
        <v>315</v>
      </c>
      <c r="CR30" s="84" t="s">
        <v>320</v>
      </c>
      <c r="CS30" s="84" t="s">
        <v>321</v>
      </c>
      <c r="CT30" s="84" t="s">
        <v>200</v>
      </c>
      <c r="CU30" s="84" t="s">
        <v>162</v>
      </c>
      <c r="CV30" s="83">
        <v>1</v>
      </c>
      <c r="CW30" s="85" t="s">
        <v>163</v>
      </c>
      <c r="CX30" s="90">
        <v>46023</v>
      </c>
      <c r="CY30" s="680">
        <v>46387</v>
      </c>
      <c r="CZ30" s="146">
        <v>1</v>
      </c>
      <c r="DA30" s="146">
        <v>1</v>
      </c>
      <c r="DB30" s="146">
        <v>1</v>
      </c>
      <c r="DC30" s="146">
        <v>1</v>
      </c>
      <c r="DD30" s="146">
        <v>1</v>
      </c>
      <c r="DE30" s="84" t="s">
        <v>265</v>
      </c>
      <c r="DF30" s="84" t="s">
        <v>266</v>
      </c>
      <c r="DG30" s="94" t="s">
        <v>267</v>
      </c>
      <c r="DH30" s="619">
        <v>260000000</v>
      </c>
      <c r="DI30" s="94" t="s">
        <v>268</v>
      </c>
      <c r="DJ30" s="84" t="s">
        <v>309</v>
      </c>
      <c r="DK30" s="84" t="s">
        <v>270</v>
      </c>
      <c r="DL30" s="94" t="s">
        <v>279</v>
      </c>
      <c r="DM30" s="94" t="s">
        <v>280</v>
      </c>
      <c r="DN30" s="115"/>
      <c r="DO30" s="86"/>
      <c r="DP30" s="115"/>
      <c r="DQ30" s="86"/>
      <c r="DR30" s="86"/>
      <c r="DS30" s="115"/>
      <c r="DT30" s="86"/>
      <c r="DU30" s="116"/>
      <c r="DV30" s="86"/>
      <c r="DW30" s="86"/>
      <c r="DX30" s="115"/>
      <c r="DY30" s="670"/>
      <c r="DZ30" s="84"/>
      <c r="EA30" s="86"/>
      <c r="EB30" s="86"/>
      <c r="EC30" s="115"/>
      <c r="ED30" s="84"/>
      <c r="EE30" s="115"/>
      <c r="EF30" s="84"/>
      <c r="EG30" s="84"/>
      <c r="EH30" s="115"/>
      <c r="EI30" s="84"/>
      <c r="EJ30" s="84"/>
      <c r="EK30" s="84"/>
      <c r="EL30" s="91" t="str">
        <f t="shared" si="7"/>
        <v>No se reportó avance</v>
      </c>
      <c r="EM30" s="83" t="str">
        <f t="shared" si="8"/>
        <v>No se reportó avance</v>
      </c>
      <c r="EN30" s="86"/>
      <c r="EO30" s="93" t="str">
        <f t="shared" si="2"/>
        <v>Gestión</v>
      </c>
      <c r="EP30" s="93" t="str">
        <f t="shared" si="3"/>
        <v>7</v>
      </c>
    </row>
    <row r="31" spans="1:146" s="93" customFormat="1" ht="150" customHeight="1">
      <c r="A31" s="84" t="s">
        <v>241</v>
      </c>
      <c r="B31" s="94" t="s">
        <v>311</v>
      </c>
      <c r="C31" s="94" t="s">
        <v>243</v>
      </c>
      <c r="D31" s="94" t="s">
        <v>312</v>
      </c>
      <c r="E31" s="94" t="s">
        <v>245</v>
      </c>
      <c r="F31" s="94" t="s">
        <v>246</v>
      </c>
      <c r="G31" s="94" t="s">
        <v>201</v>
      </c>
      <c r="H31" s="94" t="s">
        <v>201</v>
      </c>
      <c r="I31" s="94" t="s">
        <v>247</v>
      </c>
      <c r="J31" s="84" t="s">
        <v>156</v>
      </c>
      <c r="K31" s="94" t="s">
        <v>248</v>
      </c>
      <c r="L31" s="84">
        <v>2</v>
      </c>
      <c r="M31" s="84" t="s">
        <v>289</v>
      </c>
      <c r="N31" s="84" t="s">
        <v>290</v>
      </c>
      <c r="O31" s="84" t="s">
        <v>291</v>
      </c>
      <c r="P31" s="84" t="s">
        <v>200</v>
      </c>
      <c r="Q31" s="84" t="s">
        <v>162</v>
      </c>
      <c r="R31" s="83">
        <v>1</v>
      </c>
      <c r="S31" s="84" t="s">
        <v>163</v>
      </c>
      <c r="T31" s="90">
        <v>44927</v>
      </c>
      <c r="U31" s="90">
        <v>46387</v>
      </c>
      <c r="V31" s="83"/>
      <c r="W31" s="83"/>
      <c r="X31" s="83"/>
      <c r="Y31" s="83"/>
      <c r="Z31" s="83"/>
      <c r="AA31" s="83"/>
      <c r="AB31" s="83"/>
      <c r="AC31" s="83"/>
      <c r="AD31" s="83"/>
      <c r="AE31" s="83"/>
      <c r="AF31" s="83"/>
      <c r="AG31" s="83"/>
      <c r="AH31" s="83"/>
      <c r="AI31" s="83"/>
      <c r="AJ31" s="83"/>
      <c r="AK31" s="117"/>
      <c r="AL31" s="117"/>
      <c r="AM31" s="117"/>
      <c r="AN31" s="117"/>
      <c r="AO31" s="83"/>
      <c r="AP31" s="83"/>
      <c r="AQ31" s="84"/>
      <c r="AR31" s="84"/>
      <c r="AS31" s="84"/>
      <c r="AT31" s="84"/>
      <c r="AU31" s="84"/>
      <c r="AV31" s="84"/>
      <c r="AW31" s="84"/>
      <c r="AX31" s="84"/>
      <c r="AY31" s="84"/>
      <c r="AZ31" s="86"/>
      <c r="BA31" s="84"/>
      <c r="BB31" s="84"/>
      <c r="BC31" s="84"/>
      <c r="BD31" s="84"/>
      <c r="BE31" s="84"/>
      <c r="BF31" s="84"/>
      <c r="BG31" s="84"/>
      <c r="BH31" s="84"/>
      <c r="BI31" s="84"/>
      <c r="BJ31" s="86"/>
      <c r="BK31" s="84"/>
      <c r="BL31" s="86"/>
      <c r="BM31" s="84"/>
      <c r="BN31" s="86"/>
      <c r="BO31" s="84"/>
      <c r="BP31" s="86"/>
      <c r="BQ31" s="84"/>
      <c r="BR31" s="84"/>
      <c r="BS31" s="84"/>
      <c r="BT31" s="84"/>
      <c r="BU31" s="84"/>
      <c r="BV31" s="84"/>
      <c r="BW31" s="84"/>
      <c r="BX31" s="84"/>
      <c r="BY31" s="84"/>
      <c r="BZ31" s="84"/>
      <c r="CA31" s="84"/>
      <c r="CB31" s="84"/>
      <c r="CC31" s="84"/>
      <c r="CD31" s="84"/>
      <c r="CE31" s="84"/>
      <c r="CF31" s="84"/>
      <c r="CG31" s="372"/>
      <c r="CH31" s="372"/>
      <c r="CI31" s="372"/>
      <c r="CJ31" s="83" t="str">
        <f t="shared" si="0"/>
        <v>No aplica</v>
      </c>
      <c r="CK31" s="83" t="str">
        <f t="shared" si="1"/>
        <v>No aplica</v>
      </c>
      <c r="CL31" s="83" t="str">
        <f t="shared" si="4"/>
        <v>No requiere reporte</v>
      </c>
      <c r="CM31" s="89" t="str">
        <f t="shared" si="5"/>
        <v>No requiere reporte</v>
      </c>
      <c r="CN31" s="89" t="str">
        <f t="shared" si="6"/>
        <v>No requiere reporte</v>
      </c>
      <c r="CO31" s="84" t="s">
        <v>322</v>
      </c>
      <c r="CP31" s="94" t="s">
        <v>323</v>
      </c>
      <c r="CQ31" s="84" t="s">
        <v>324</v>
      </c>
      <c r="CR31" s="84" t="s">
        <v>325</v>
      </c>
      <c r="CS31" s="84" t="s">
        <v>326</v>
      </c>
      <c r="CT31" s="84" t="s">
        <v>200</v>
      </c>
      <c r="CU31" s="84" t="s">
        <v>233</v>
      </c>
      <c r="CV31" s="83" t="s">
        <v>182</v>
      </c>
      <c r="CW31" s="85" t="s">
        <v>234</v>
      </c>
      <c r="CX31" s="90">
        <v>46023</v>
      </c>
      <c r="CY31" s="680">
        <v>46387</v>
      </c>
      <c r="CZ31" s="84">
        <f>1+2</f>
        <v>3</v>
      </c>
      <c r="DA31" s="84">
        <f>1+3</f>
        <v>4</v>
      </c>
      <c r="DB31" s="84">
        <f>1+3+1</f>
        <v>5</v>
      </c>
      <c r="DC31" s="84">
        <f>1+2</f>
        <v>3</v>
      </c>
      <c r="DD31" s="115">
        <f>+CZ31+DA31+DB31+DC31</f>
        <v>15</v>
      </c>
      <c r="DE31" s="84" t="s">
        <v>265</v>
      </c>
      <c r="DF31" s="84" t="s">
        <v>266</v>
      </c>
      <c r="DG31" s="94" t="s">
        <v>267</v>
      </c>
      <c r="DH31" s="619">
        <v>0</v>
      </c>
      <c r="DI31" s="94" t="s">
        <v>268</v>
      </c>
      <c r="DJ31" s="84" t="s">
        <v>309</v>
      </c>
      <c r="DK31" s="84" t="s">
        <v>270</v>
      </c>
      <c r="DL31" s="94" t="s">
        <v>279</v>
      </c>
      <c r="DM31" s="94" t="s">
        <v>280</v>
      </c>
      <c r="DN31" s="115"/>
      <c r="DO31" s="86"/>
      <c r="DP31" s="115"/>
      <c r="DQ31" s="86"/>
      <c r="DR31" s="86"/>
      <c r="DS31" s="115"/>
      <c r="DT31" s="86"/>
      <c r="DU31" s="116"/>
      <c r="DV31" s="86"/>
      <c r="DW31" s="86"/>
      <c r="DX31" s="115"/>
      <c r="DY31" s="86"/>
      <c r="DZ31" s="84"/>
      <c r="EA31" s="86"/>
      <c r="EB31" s="86"/>
      <c r="EC31" s="115"/>
      <c r="ED31" s="84"/>
      <c r="EE31" s="115"/>
      <c r="EF31" s="84"/>
      <c r="EG31" s="84"/>
      <c r="EH31" s="115"/>
      <c r="EI31" s="84"/>
      <c r="EJ31" s="84"/>
      <c r="EK31" s="84"/>
      <c r="EL31" s="91" t="str">
        <f t="shared" si="7"/>
        <v>No se reportó avance</v>
      </c>
      <c r="EM31" s="83" t="str">
        <f t="shared" si="8"/>
        <v>No se reportó avance</v>
      </c>
      <c r="EN31" s="86"/>
      <c r="EO31" s="93" t="str">
        <f t="shared" si="2"/>
        <v>Gestión</v>
      </c>
      <c r="EP31" s="93" t="str">
        <f t="shared" si="3"/>
        <v>7</v>
      </c>
    </row>
    <row r="32" spans="1:146" s="93" customFormat="1" ht="150" customHeight="1">
      <c r="A32" s="84" t="s">
        <v>241</v>
      </c>
      <c r="B32" s="94" t="s">
        <v>311</v>
      </c>
      <c r="C32" s="94" t="s">
        <v>243</v>
      </c>
      <c r="D32" s="94" t="s">
        <v>312</v>
      </c>
      <c r="E32" s="94" t="s">
        <v>245</v>
      </c>
      <c r="F32" s="94" t="s">
        <v>246</v>
      </c>
      <c r="G32" s="94" t="s">
        <v>201</v>
      </c>
      <c r="H32" s="94" t="s">
        <v>201</v>
      </c>
      <c r="I32" s="94" t="s">
        <v>247</v>
      </c>
      <c r="J32" s="84" t="s">
        <v>156</v>
      </c>
      <c r="K32" s="94" t="s">
        <v>248</v>
      </c>
      <c r="L32" s="84">
        <v>2</v>
      </c>
      <c r="M32" s="84" t="s">
        <v>289</v>
      </c>
      <c r="N32" s="84" t="s">
        <v>290</v>
      </c>
      <c r="O32" s="84" t="s">
        <v>291</v>
      </c>
      <c r="P32" s="84" t="s">
        <v>200</v>
      </c>
      <c r="Q32" s="84" t="s">
        <v>162</v>
      </c>
      <c r="R32" s="83">
        <v>1</v>
      </c>
      <c r="S32" s="84" t="s">
        <v>163</v>
      </c>
      <c r="T32" s="90">
        <v>44927</v>
      </c>
      <c r="U32" s="90">
        <v>46387</v>
      </c>
      <c r="V32" s="83"/>
      <c r="W32" s="83"/>
      <c r="X32" s="83"/>
      <c r="Y32" s="83"/>
      <c r="Z32" s="83"/>
      <c r="AA32" s="83"/>
      <c r="AB32" s="83"/>
      <c r="AC32" s="83"/>
      <c r="AD32" s="83"/>
      <c r="AE32" s="83"/>
      <c r="AF32" s="83"/>
      <c r="AG32" s="83"/>
      <c r="AH32" s="83"/>
      <c r="AI32" s="83"/>
      <c r="AJ32" s="83"/>
      <c r="AK32" s="117"/>
      <c r="AL32" s="117"/>
      <c r="AM32" s="117"/>
      <c r="AN32" s="117"/>
      <c r="AO32" s="83"/>
      <c r="AP32" s="83"/>
      <c r="AQ32" s="84"/>
      <c r="AR32" s="84"/>
      <c r="AS32" s="84"/>
      <c r="AT32" s="84"/>
      <c r="AU32" s="84"/>
      <c r="AV32" s="84"/>
      <c r="AW32" s="84"/>
      <c r="AX32" s="84"/>
      <c r="AY32" s="84"/>
      <c r="AZ32" s="86"/>
      <c r="BA32" s="84"/>
      <c r="BB32" s="84"/>
      <c r="BC32" s="84"/>
      <c r="BD32" s="84"/>
      <c r="BE32" s="84"/>
      <c r="BF32" s="84"/>
      <c r="BG32" s="84"/>
      <c r="BH32" s="84"/>
      <c r="BI32" s="84"/>
      <c r="BJ32" s="86"/>
      <c r="BK32" s="84"/>
      <c r="BL32" s="86"/>
      <c r="BM32" s="84"/>
      <c r="BN32" s="86"/>
      <c r="BO32" s="84"/>
      <c r="BP32" s="86"/>
      <c r="BQ32" s="84"/>
      <c r="BR32" s="84"/>
      <c r="BS32" s="84"/>
      <c r="BT32" s="84"/>
      <c r="BU32" s="84"/>
      <c r="BV32" s="84"/>
      <c r="BW32" s="84"/>
      <c r="BX32" s="84"/>
      <c r="BY32" s="84"/>
      <c r="BZ32" s="84"/>
      <c r="CA32" s="84"/>
      <c r="CB32" s="84"/>
      <c r="CC32" s="84"/>
      <c r="CD32" s="84"/>
      <c r="CE32" s="84"/>
      <c r="CF32" s="84"/>
      <c r="CG32" s="372"/>
      <c r="CH32" s="372"/>
      <c r="CI32" s="372"/>
      <c r="CJ32" s="83" t="str">
        <f t="shared" si="0"/>
        <v>No aplica</v>
      </c>
      <c r="CK32" s="83" t="str">
        <f t="shared" si="1"/>
        <v>No aplica</v>
      </c>
      <c r="CL32" s="83" t="str">
        <f t="shared" si="4"/>
        <v>No requiere reporte</v>
      </c>
      <c r="CM32" s="89" t="str">
        <f t="shared" si="5"/>
        <v>No requiere reporte</v>
      </c>
      <c r="CN32" s="89" t="str">
        <f t="shared" si="6"/>
        <v>No requiere reporte</v>
      </c>
      <c r="CO32" s="84" t="s">
        <v>327</v>
      </c>
      <c r="CP32" s="84" t="s">
        <v>328</v>
      </c>
      <c r="CQ32" s="84" t="s">
        <v>329</v>
      </c>
      <c r="CR32" s="84" t="s">
        <v>330</v>
      </c>
      <c r="CS32" s="84" t="s">
        <v>331</v>
      </c>
      <c r="CT32" s="84" t="s">
        <v>161</v>
      </c>
      <c r="CU32" s="84" t="s">
        <v>233</v>
      </c>
      <c r="CV32" s="83" t="s">
        <v>182</v>
      </c>
      <c r="CW32" s="85" t="s">
        <v>234</v>
      </c>
      <c r="CX32" s="90">
        <v>46113</v>
      </c>
      <c r="CY32" s="680">
        <v>46387</v>
      </c>
      <c r="CZ32" s="122">
        <v>0</v>
      </c>
      <c r="DA32" s="122">
        <v>2</v>
      </c>
      <c r="DB32" s="122">
        <v>0</v>
      </c>
      <c r="DC32" s="122">
        <v>2</v>
      </c>
      <c r="DD32" s="115">
        <f>+CZ32+DA32+DB32+DC32</f>
        <v>4</v>
      </c>
      <c r="DE32" s="84" t="s">
        <v>182</v>
      </c>
      <c r="DF32" s="84" t="s">
        <v>182</v>
      </c>
      <c r="DG32" s="84" t="s">
        <v>182</v>
      </c>
      <c r="DH32" s="619">
        <v>0</v>
      </c>
      <c r="DI32" s="94" t="s">
        <v>268</v>
      </c>
      <c r="DJ32" s="84" t="s">
        <v>309</v>
      </c>
      <c r="DK32" s="84" t="s">
        <v>270</v>
      </c>
      <c r="DL32" s="94" t="s">
        <v>280</v>
      </c>
      <c r="DM32" s="94" t="s">
        <v>280</v>
      </c>
      <c r="DN32" s="115"/>
      <c r="DO32" s="86"/>
      <c r="DP32" s="115"/>
      <c r="DQ32" s="86"/>
      <c r="DR32" s="86"/>
      <c r="DS32" s="115"/>
      <c r="DT32" s="86"/>
      <c r="DU32" s="116"/>
      <c r="DV32" s="86"/>
      <c r="DW32" s="86"/>
      <c r="DX32" s="115"/>
      <c r="DY32" s="86"/>
      <c r="DZ32" s="84"/>
      <c r="EA32" s="86"/>
      <c r="EB32" s="86"/>
      <c r="EC32" s="115"/>
      <c r="ED32" s="84"/>
      <c r="EE32" s="115"/>
      <c r="EF32" s="84"/>
      <c r="EG32" s="84"/>
      <c r="EH32" s="115"/>
      <c r="EI32" s="84"/>
      <c r="EJ32" s="84"/>
      <c r="EK32" s="84"/>
      <c r="EL32" s="91" t="str">
        <f t="shared" si="7"/>
        <v>No aplica, no hay meta</v>
      </c>
      <c r="EM32" s="83" t="str">
        <f t="shared" si="8"/>
        <v>No se reportó avance</v>
      </c>
      <c r="EN32" s="86"/>
      <c r="EO32" s="93" t="str">
        <f t="shared" si="2"/>
        <v>Gestión</v>
      </c>
      <c r="EP32" s="93" t="str">
        <f t="shared" si="3"/>
        <v>7</v>
      </c>
    </row>
    <row r="33" spans="1:149" s="93" customFormat="1" ht="150" customHeight="1">
      <c r="A33" s="84" t="s">
        <v>241</v>
      </c>
      <c r="B33" s="94" t="s">
        <v>311</v>
      </c>
      <c r="C33" s="94" t="s">
        <v>243</v>
      </c>
      <c r="D33" s="94" t="s">
        <v>312</v>
      </c>
      <c r="E33" s="94" t="s">
        <v>245</v>
      </c>
      <c r="F33" s="94" t="s">
        <v>246</v>
      </c>
      <c r="G33" s="94" t="s">
        <v>201</v>
      </c>
      <c r="H33" s="94" t="s">
        <v>201</v>
      </c>
      <c r="I33" s="94" t="s">
        <v>247</v>
      </c>
      <c r="J33" s="84" t="s">
        <v>156</v>
      </c>
      <c r="K33" s="94" t="s">
        <v>248</v>
      </c>
      <c r="L33" s="84">
        <v>2</v>
      </c>
      <c r="M33" s="84" t="s">
        <v>289</v>
      </c>
      <c r="N33" s="84" t="s">
        <v>290</v>
      </c>
      <c r="O33" s="84" t="s">
        <v>291</v>
      </c>
      <c r="P33" s="84" t="s">
        <v>200</v>
      </c>
      <c r="Q33" s="84" t="s">
        <v>162</v>
      </c>
      <c r="R33" s="83">
        <v>1</v>
      </c>
      <c r="S33" s="84" t="s">
        <v>163</v>
      </c>
      <c r="T33" s="90">
        <v>44927</v>
      </c>
      <c r="U33" s="90">
        <v>46387</v>
      </c>
      <c r="V33" s="83"/>
      <c r="W33" s="83"/>
      <c r="X33" s="83"/>
      <c r="Y33" s="83"/>
      <c r="Z33" s="83"/>
      <c r="AA33" s="83"/>
      <c r="AB33" s="83"/>
      <c r="AC33" s="83"/>
      <c r="AD33" s="83"/>
      <c r="AE33" s="83"/>
      <c r="AF33" s="83"/>
      <c r="AG33" s="83"/>
      <c r="AH33" s="83"/>
      <c r="AI33" s="83"/>
      <c r="AJ33" s="83"/>
      <c r="AK33" s="117"/>
      <c r="AL33" s="117"/>
      <c r="AM33" s="117"/>
      <c r="AN33" s="117"/>
      <c r="AO33" s="83"/>
      <c r="AP33" s="83"/>
      <c r="AQ33" s="84"/>
      <c r="AR33" s="84"/>
      <c r="AS33" s="84"/>
      <c r="AT33" s="84"/>
      <c r="AU33" s="84"/>
      <c r="AV33" s="84"/>
      <c r="AW33" s="84"/>
      <c r="AX33" s="84"/>
      <c r="AY33" s="84"/>
      <c r="AZ33" s="86"/>
      <c r="BA33" s="84"/>
      <c r="BB33" s="84"/>
      <c r="BC33" s="84"/>
      <c r="BD33" s="84"/>
      <c r="BE33" s="84"/>
      <c r="BF33" s="84"/>
      <c r="BG33" s="84"/>
      <c r="BH33" s="84"/>
      <c r="BI33" s="84"/>
      <c r="BJ33" s="86"/>
      <c r="BK33" s="84"/>
      <c r="BL33" s="86"/>
      <c r="BM33" s="84"/>
      <c r="BN33" s="86"/>
      <c r="BO33" s="84"/>
      <c r="BP33" s="86"/>
      <c r="BQ33" s="84"/>
      <c r="BR33" s="84"/>
      <c r="BS33" s="84"/>
      <c r="BT33" s="84"/>
      <c r="BU33" s="84"/>
      <c r="BV33" s="84"/>
      <c r="BW33" s="84"/>
      <c r="BX33" s="84"/>
      <c r="BY33" s="84"/>
      <c r="BZ33" s="84"/>
      <c r="CA33" s="84"/>
      <c r="CB33" s="84"/>
      <c r="CC33" s="84"/>
      <c r="CD33" s="84"/>
      <c r="CE33" s="84"/>
      <c r="CF33" s="84"/>
      <c r="CG33" s="372"/>
      <c r="CH33" s="372"/>
      <c r="CI33" s="372"/>
      <c r="CJ33" s="83" t="str">
        <f t="shared" si="0"/>
        <v>No aplica</v>
      </c>
      <c r="CK33" s="83" t="str">
        <f t="shared" si="1"/>
        <v>No aplica</v>
      </c>
      <c r="CL33" s="83" t="str">
        <f t="shared" si="4"/>
        <v>No requiere reporte</v>
      </c>
      <c r="CM33" s="89" t="str">
        <f t="shared" si="5"/>
        <v>No requiere reporte</v>
      </c>
      <c r="CN33" s="89" t="str">
        <f t="shared" si="6"/>
        <v>No requiere reporte</v>
      </c>
      <c r="CO33" s="84" t="s">
        <v>332</v>
      </c>
      <c r="CP33" s="84" t="s">
        <v>333</v>
      </c>
      <c r="CQ33" s="84" t="s">
        <v>334</v>
      </c>
      <c r="CR33" s="84" t="s">
        <v>335</v>
      </c>
      <c r="CS33" s="84" t="s">
        <v>336</v>
      </c>
      <c r="CT33" s="84" t="s">
        <v>161</v>
      </c>
      <c r="CU33" s="84" t="s">
        <v>233</v>
      </c>
      <c r="CV33" s="83" t="s">
        <v>182</v>
      </c>
      <c r="CW33" s="85" t="s">
        <v>234</v>
      </c>
      <c r="CX33" s="90">
        <v>46113</v>
      </c>
      <c r="CY33" s="680">
        <v>46387</v>
      </c>
      <c r="CZ33" s="122">
        <v>0</v>
      </c>
      <c r="DA33" s="122">
        <v>1</v>
      </c>
      <c r="DB33" s="122">
        <v>1</v>
      </c>
      <c r="DC33" s="122">
        <v>2</v>
      </c>
      <c r="DD33" s="123">
        <f>+CZ33+DA33+DB33+DC33</f>
        <v>4</v>
      </c>
      <c r="DE33" s="84" t="s">
        <v>182</v>
      </c>
      <c r="DF33" s="84" t="s">
        <v>182</v>
      </c>
      <c r="DG33" s="84" t="s">
        <v>182</v>
      </c>
      <c r="DH33" s="619">
        <v>0</v>
      </c>
      <c r="DI33" s="94" t="s">
        <v>268</v>
      </c>
      <c r="DJ33" s="84" t="s">
        <v>309</v>
      </c>
      <c r="DK33" s="84" t="s">
        <v>270</v>
      </c>
      <c r="DL33" s="94" t="s">
        <v>337</v>
      </c>
      <c r="DM33" s="94" t="s">
        <v>280</v>
      </c>
      <c r="DN33" s="115"/>
      <c r="DO33" s="86"/>
      <c r="DP33" s="115"/>
      <c r="DQ33" s="86"/>
      <c r="DR33" s="86"/>
      <c r="DS33" s="115"/>
      <c r="DT33" s="86"/>
      <c r="DU33" s="116"/>
      <c r="DV33" s="86"/>
      <c r="DW33" s="86"/>
      <c r="DX33" s="115"/>
      <c r="DY33" s="86"/>
      <c r="DZ33" s="84"/>
      <c r="EA33" s="86"/>
      <c r="EB33" s="86"/>
      <c r="EC33" s="115"/>
      <c r="ED33" s="84"/>
      <c r="EE33" s="115"/>
      <c r="EF33" s="84"/>
      <c r="EG33" s="84"/>
      <c r="EH33" s="115"/>
      <c r="EI33" s="84"/>
      <c r="EJ33" s="84"/>
      <c r="EK33" s="84"/>
      <c r="EL33" s="91" t="str">
        <f t="shared" si="7"/>
        <v>No aplica, no hay meta</v>
      </c>
      <c r="EM33" s="83" t="str">
        <f t="shared" si="8"/>
        <v>No se reportó avance</v>
      </c>
      <c r="EN33" s="86"/>
    </row>
    <row r="34" spans="1:149" s="93" customFormat="1" ht="150" customHeight="1">
      <c r="A34" s="74" t="s">
        <v>241</v>
      </c>
      <c r="B34" s="98" t="s">
        <v>338</v>
      </c>
      <c r="C34" s="98" t="s">
        <v>243</v>
      </c>
      <c r="D34" s="98" t="s">
        <v>312</v>
      </c>
      <c r="E34" s="98" t="s">
        <v>245</v>
      </c>
      <c r="F34" s="98" t="s">
        <v>246</v>
      </c>
      <c r="G34" s="98" t="s">
        <v>201</v>
      </c>
      <c r="H34" s="98" t="s">
        <v>201</v>
      </c>
      <c r="I34" s="98" t="s">
        <v>247</v>
      </c>
      <c r="J34" s="74" t="s">
        <v>156</v>
      </c>
      <c r="K34" s="98" t="s">
        <v>248</v>
      </c>
      <c r="L34" s="78">
        <v>3</v>
      </c>
      <c r="M34" s="78" t="s">
        <v>339</v>
      </c>
      <c r="N34" s="78" t="s">
        <v>340</v>
      </c>
      <c r="O34" s="78" t="s">
        <v>341</v>
      </c>
      <c r="P34" s="78" t="s">
        <v>200</v>
      </c>
      <c r="Q34" s="78" t="s">
        <v>162</v>
      </c>
      <c r="R34" s="82">
        <v>1</v>
      </c>
      <c r="S34" s="120" t="s">
        <v>252</v>
      </c>
      <c r="T34" s="80">
        <v>44928</v>
      </c>
      <c r="U34" s="80">
        <v>46387</v>
      </c>
      <c r="V34" s="81"/>
      <c r="W34" s="81"/>
      <c r="X34" s="81"/>
      <c r="Y34" s="81"/>
      <c r="Z34" s="82">
        <v>1</v>
      </c>
      <c r="AA34" s="121">
        <v>1</v>
      </c>
      <c r="AB34" s="121">
        <v>1</v>
      </c>
      <c r="AC34" s="121">
        <v>1</v>
      </c>
      <c r="AD34" s="121">
        <v>1</v>
      </c>
      <c r="AE34" s="82">
        <v>1</v>
      </c>
      <c r="AF34" s="82">
        <v>1</v>
      </c>
      <c r="AG34" s="82">
        <v>1</v>
      </c>
      <c r="AH34" s="82">
        <v>1</v>
      </c>
      <c r="AI34" s="82">
        <v>1</v>
      </c>
      <c r="AJ34" s="82">
        <v>1</v>
      </c>
      <c r="AK34" s="75">
        <v>1</v>
      </c>
      <c r="AL34" s="75">
        <v>1</v>
      </c>
      <c r="AM34" s="75">
        <v>1</v>
      </c>
      <c r="AN34" s="75">
        <v>1</v>
      </c>
      <c r="AO34" s="82">
        <v>1</v>
      </c>
      <c r="AP34" s="82">
        <v>1</v>
      </c>
      <c r="AQ34" s="83">
        <f>+(1/1)</f>
        <v>1</v>
      </c>
      <c r="AR34" s="84" t="s">
        <v>342</v>
      </c>
      <c r="AS34" s="83">
        <f>+(3/3)</f>
        <v>1</v>
      </c>
      <c r="AT34" s="84" t="s">
        <v>343</v>
      </c>
      <c r="AU34" s="83">
        <f>+(3/3)</f>
        <v>1</v>
      </c>
      <c r="AV34" s="84" t="s">
        <v>344</v>
      </c>
      <c r="AW34" s="83">
        <f>+(3/3)</f>
        <v>1</v>
      </c>
      <c r="AX34" s="84" t="s">
        <v>345</v>
      </c>
      <c r="AY34" s="83">
        <f>+(10/10)</f>
        <v>1</v>
      </c>
      <c r="AZ34" s="86" t="s">
        <v>346</v>
      </c>
      <c r="BA34" s="83">
        <f>4/4</f>
        <v>1</v>
      </c>
      <c r="BB34" s="84" t="s">
        <v>347</v>
      </c>
      <c r="BC34" s="83">
        <f>+(3/3)</f>
        <v>1</v>
      </c>
      <c r="BD34" s="84" t="s">
        <v>348</v>
      </c>
      <c r="BE34" s="83">
        <f>+(3/3)</f>
        <v>1</v>
      </c>
      <c r="BF34" s="84" t="s">
        <v>349</v>
      </c>
      <c r="BG34" s="83">
        <f>+(2/2)</f>
        <v>1</v>
      </c>
      <c r="BH34" s="84" t="s">
        <v>350</v>
      </c>
      <c r="BI34" s="83">
        <f>+(11/11)</f>
        <v>1</v>
      </c>
      <c r="BJ34" s="87" t="s">
        <v>351</v>
      </c>
      <c r="BK34" s="83">
        <f>+(2/2)</f>
        <v>1</v>
      </c>
      <c r="BL34" s="761" t="s">
        <v>352</v>
      </c>
      <c r="BM34" s="83">
        <f>+(2/2)</f>
        <v>1</v>
      </c>
      <c r="BN34" s="86" t="s">
        <v>353</v>
      </c>
      <c r="BO34" s="83">
        <f>+(3/3)</f>
        <v>1</v>
      </c>
      <c r="BP34" s="86" t="s">
        <v>354</v>
      </c>
      <c r="BQ34" s="84"/>
      <c r="BR34" s="84"/>
      <c r="BS34" s="83">
        <f>+BO34</f>
        <v>1</v>
      </c>
      <c r="BT34" s="84"/>
      <c r="BU34" s="84"/>
      <c r="BV34" s="84"/>
      <c r="BW34" s="84"/>
      <c r="BX34" s="84"/>
      <c r="BY34" s="84"/>
      <c r="BZ34" s="84"/>
      <c r="CA34" s="84"/>
      <c r="CB34" s="84"/>
      <c r="CC34" s="84"/>
      <c r="CD34" s="84"/>
      <c r="CE34" s="83">
        <f>+BS34</f>
        <v>1</v>
      </c>
      <c r="CF34" s="84"/>
      <c r="CG34" s="362">
        <f>+SUM(DH34:DH37)</f>
        <v>312010000</v>
      </c>
      <c r="CH34" s="372"/>
      <c r="CI34" s="372"/>
      <c r="CJ34" s="83">
        <f t="shared" si="0"/>
        <v>0</v>
      </c>
      <c r="CK34" s="83">
        <f t="shared" si="1"/>
        <v>0</v>
      </c>
      <c r="CL34" s="83" t="str">
        <f t="shared" si="4"/>
        <v>No se reportó avance</v>
      </c>
      <c r="CM34" s="89" t="str">
        <f t="shared" si="5"/>
        <v>No se reportó avance</v>
      </c>
      <c r="CN34" s="89">
        <f t="shared" si="6"/>
        <v>1</v>
      </c>
      <c r="CO34" s="84" t="s">
        <v>236</v>
      </c>
      <c r="CP34" s="84" t="s">
        <v>355</v>
      </c>
      <c r="CQ34" s="84" t="s">
        <v>262</v>
      </c>
      <c r="CR34" s="84" t="s">
        <v>356</v>
      </c>
      <c r="CS34" s="84" t="s">
        <v>357</v>
      </c>
      <c r="CT34" s="84" t="s">
        <v>200</v>
      </c>
      <c r="CU34" s="84" t="s">
        <v>233</v>
      </c>
      <c r="CV34" s="83" t="s">
        <v>182</v>
      </c>
      <c r="CW34" s="84" t="s">
        <v>234</v>
      </c>
      <c r="CX34" s="90">
        <v>46024</v>
      </c>
      <c r="CY34" s="90">
        <v>46386</v>
      </c>
      <c r="CZ34" s="122">
        <v>1</v>
      </c>
      <c r="DA34" s="122">
        <v>1</v>
      </c>
      <c r="DB34" s="122">
        <v>0</v>
      </c>
      <c r="DC34" s="123">
        <v>0</v>
      </c>
      <c r="DD34" s="122">
        <f>+DB34+CZ34+DA34+DC34</f>
        <v>2</v>
      </c>
      <c r="DE34" s="84" t="s">
        <v>265</v>
      </c>
      <c r="DF34" s="84" t="s">
        <v>266</v>
      </c>
      <c r="DG34" s="94" t="s">
        <v>267</v>
      </c>
      <c r="DH34" s="362">
        <v>312010000</v>
      </c>
      <c r="DI34" s="84" t="s">
        <v>268</v>
      </c>
      <c r="DJ34" s="84" t="s">
        <v>358</v>
      </c>
      <c r="DK34" s="84" t="s">
        <v>359</v>
      </c>
      <c r="DL34" s="84" t="s">
        <v>280</v>
      </c>
      <c r="DM34" s="94" t="s">
        <v>280</v>
      </c>
      <c r="DN34" s="84"/>
      <c r="DO34" s="761"/>
      <c r="DP34" s="678"/>
      <c r="DQ34" s="86"/>
      <c r="DR34" s="86"/>
      <c r="DS34" s="84"/>
      <c r="DT34" s="86"/>
      <c r="DU34" s="84"/>
      <c r="DV34" s="86"/>
      <c r="DW34" s="86"/>
      <c r="DX34" s="84"/>
      <c r="DY34" s="86"/>
      <c r="DZ34" s="84"/>
      <c r="EA34" s="86"/>
      <c r="EB34" s="86"/>
      <c r="EC34" s="84"/>
      <c r="ED34" s="84"/>
      <c r="EE34" s="84"/>
      <c r="EF34" s="84"/>
      <c r="EG34" s="84"/>
      <c r="EH34" s="84"/>
      <c r="EI34" s="84"/>
      <c r="EJ34" s="84"/>
      <c r="EK34" s="84"/>
      <c r="EL34" s="91" t="str">
        <f t="shared" si="7"/>
        <v>No se reportó avance</v>
      </c>
      <c r="EM34" s="83" t="str">
        <f t="shared" si="8"/>
        <v>No se reportó avance</v>
      </c>
      <c r="EN34" s="86" t="s">
        <v>360</v>
      </c>
      <c r="EO34" s="93" t="str">
        <f t="shared" si="2"/>
        <v>Gestión</v>
      </c>
      <c r="EP34" s="93" t="str">
        <f t="shared" si="3"/>
        <v>7</v>
      </c>
    </row>
    <row r="35" spans="1:149" s="93" customFormat="1" ht="150" customHeight="1">
      <c r="A35" s="84" t="s">
        <v>241</v>
      </c>
      <c r="B35" s="94" t="s">
        <v>338</v>
      </c>
      <c r="C35" s="94" t="s">
        <v>243</v>
      </c>
      <c r="D35" s="94" t="s">
        <v>312</v>
      </c>
      <c r="E35" s="94" t="s">
        <v>245</v>
      </c>
      <c r="F35" s="94" t="s">
        <v>246</v>
      </c>
      <c r="G35" s="94" t="s">
        <v>201</v>
      </c>
      <c r="H35" s="94" t="s">
        <v>201</v>
      </c>
      <c r="I35" s="94" t="s">
        <v>247</v>
      </c>
      <c r="J35" s="84" t="s">
        <v>156</v>
      </c>
      <c r="K35" s="94" t="s">
        <v>248</v>
      </c>
      <c r="L35" s="84">
        <v>3</v>
      </c>
      <c r="M35" s="84" t="s">
        <v>339</v>
      </c>
      <c r="N35" s="84" t="s">
        <v>340</v>
      </c>
      <c r="O35" s="84" t="s">
        <v>341</v>
      </c>
      <c r="P35" s="124" t="s">
        <v>200</v>
      </c>
      <c r="Q35" s="125" t="s">
        <v>162</v>
      </c>
      <c r="R35" s="83">
        <v>1</v>
      </c>
      <c r="S35" s="124" t="s">
        <v>252</v>
      </c>
      <c r="T35" s="90">
        <v>44928</v>
      </c>
      <c r="U35" s="90">
        <v>46387</v>
      </c>
      <c r="V35" s="90"/>
      <c r="W35" s="90"/>
      <c r="X35" s="90"/>
      <c r="Y35" s="90"/>
      <c r="Z35" s="83"/>
      <c r="AA35" s="83"/>
      <c r="AB35" s="83"/>
      <c r="AC35" s="83"/>
      <c r="AD35" s="83"/>
      <c r="AE35" s="83"/>
      <c r="AF35" s="83"/>
      <c r="AG35" s="83"/>
      <c r="AH35" s="83"/>
      <c r="AI35" s="83"/>
      <c r="AJ35" s="83"/>
      <c r="AK35" s="126"/>
      <c r="AL35" s="126"/>
      <c r="AM35" s="126"/>
      <c r="AN35" s="126"/>
      <c r="AO35" s="83"/>
      <c r="AP35" s="83"/>
      <c r="AQ35" s="84"/>
      <c r="AR35" s="84"/>
      <c r="AS35" s="84"/>
      <c r="AT35" s="84"/>
      <c r="AU35" s="84"/>
      <c r="AV35" s="84"/>
      <c r="AW35" s="84"/>
      <c r="AX35" s="84"/>
      <c r="AY35" s="84"/>
      <c r="AZ35" s="86"/>
      <c r="BA35" s="84"/>
      <c r="BB35" s="84"/>
      <c r="BC35" s="84"/>
      <c r="BD35" s="84"/>
      <c r="BE35" s="84"/>
      <c r="BF35" s="84"/>
      <c r="BG35" s="84"/>
      <c r="BH35" s="84"/>
      <c r="BI35" s="84"/>
      <c r="BJ35" s="86"/>
      <c r="BK35" s="84"/>
      <c r="BL35" s="86"/>
      <c r="BM35" s="84"/>
      <c r="BN35" s="86"/>
      <c r="BO35" s="84"/>
      <c r="BP35" s="86"/>
      <c r="BQ35" s="84"/>
      <c r="BR35" s="84"/>
      <c r="BS35" s="84"/>
      <c r="BT35" s="84"/>
      <c r="BU35" s="84"/>
      <c r="BV35" s="84"/>
      <c r="BW35" s="84"/>
      <c r="BX35" s="84"/>
      <c r="BY35" s="84"/>
      <c r="BZ35" s="84"/>
      <c r="CA35" s="84"/>
      <c r="CB35" s="84"/>
      <c r="CC35" s="84"/>
      <c r="CD35" s="84"/>
      <c r="CE35" s="84"/>
      <c r="CF35" s="84"/>
      <c r="CG35" s="372"/>
      <c r="CH35" s="372"/>
      <c r="CI35" s="372"/>
      <c r="CJ35" s="83" t="str">
        <f t="shared" si="0"/>
        <v>No aplica</v>
      </c>
      <c r="CK35" s="83" t="str">
        <f t="shared" si="1"/>
        <v>No aplica</v>
      </c>
      <c r="CL35" s="83" t="str">
        <f t="shared" si="4"/>
        <v>No requiere reporte</v>
      </c>
      <c r="CM35" s="89" t="str">
        <f t="shared" si="5"/>
        <v>No requiere reporte</v>
      </c>
      <c r="CN35" s="89" t="str">
        <f t="shared" si="6"/>
        <v>No requiere reporte</v>
      </c>
      <c r="CO35" s="84" t="s">
        <v>361</v>
      </c>
      <c r="CP35" s="84" t="s">
        <v>362</v>
      </c>
      <c r="CQ35" s="84" t="s">
        <v>363</v>
      </c>
      <c r="CR35" s="84" t="s">
        <v>364</v>
      </c>
      <c r="CS35" s="84" t="s">
        <v>365</v>
      </c>
      <c r="CT35" s="84" t="s">
        <v>200</v>
      </c>
      <c r="CU35" s="84" t="s">
        <v>233</v>
      </c>
      <c r="CV35" s="83" t="s">
        <v>182</v>
      </c>
      <c r="CW35" s="84" t="s">
        <v>234</v>
      </c>
      <c r="CX35" s="90">
        <v>46054</v>
      </c>
      <c r="CY35" s="90">
        <v>46386</v>
      </c>
      <c r="CZ35" s="115">
        <v>40</v>
      </c>
      <c r="DA35" s="122">
        <v>60</v>
      </c>
      <c r="DB35" s="122">
        <v>60</v>
      </c>
      <c r="DC35" s="122">
        <v>60</v>
      </c>
      <c r="DD35" s="122">
        <f>+DB35+CZ35+DA35+DC35</f>
        <v>220</v>
      </c>
      <c r="DE35" s="84" t="s">
        <v>182</v>
      </c>
      <c r="DF35" s="84" t="s">
        <v>182</v>
      </c>
      <c r="DG35" s="84" t="s">
        <v>182</v>
      </c>
      <c r="DH35" s="362">
        <v>0</v>
      </c>
      <c r="DI35" s="84" t="s">
        <v>268</v>
      </c>
      <c r="DJ35" s="84" t="s">
        <v>358</v>
      </c>
      <c r="DK35" s="84" t="s">
        <v>359</v>
      </c>
      <c r="DL35" s="84" t="s">
        <v>280</v>
      </c>
      <c r="DM35" s="94" t="s">
        <v>280</v>
      </c>
      <c r="DN35" s="84"/>
      <c r="DO35" s="86"/>
      <c r="DP35" s="84"/>
      <c r="DQ35" s="86"/>
      <c r="DR35" s="86"/>
      <c r="DS35" s="84"/>
      <c r="DT35" s="86"/>
      <c r="DU35" s="84"/>
      <c r="DV35" s="86"/>
      <c r="DW35" s="86"/>
      <c r="DX35" s="84"/>
      <c r="DY35" s="86"/>
      <c r="DZ35" s="84"/>
      <c r="EA35" s="86"/>
      <c r="EB35" s="86"/>
      <c r="EC35" s="84"/>
      <c r="ED35" s="84"/>
      <c r="EE35" s="84"/>
      <c r="EF35" s="84"/>
      <c r="EG35" s="84"/>
      <c r="EH35" s="84"/>
      <c r="EI35" s="84"/>
      <c r="EJ35" s="84"/>
      <c r="EK35" s="84"/>
      <c r="EL35" s="91" t="str">
        <f t="shared" si="7"/>
        <v>No se reportó avance</v>
      </c>
      <c r="EM35" s="83" t="str">
        <f t="shared" si="8"/>
        <v>No se reportó avance</v>
      </c>
      <c r="EN35" s="86"/>
      <c r="EO35" s="93" t="str">
        <f t="shared" si="2"/>
        <v>Gestión</v>
      </c>
      <c r="EP35" s="93" t="str">
        <f t="shared" si="3"/>
        <v>7</v>
      </c>
    </row>
    <row r="36" spans="1:149" s="93" customFormat="1" ht="150" customHeight="1">
      <c r="A36" s="84" t="s">
        <v>241</v>
      </c>
      <c r="B36" s="94" t="s">
        <v>338</v>
      </c>
      <c r="C36" s="94" t="s">
        <v>243</v>
      </c>
      <c r="D36" s="94" t="s">
        <v>312</v>
      </c>
      <c r="E36" s="94" t="s">
        <v>245</v>
      </c>
      <c r="F36" s="94" t="s">
        <v>246</v>
      </c>
      <c r="G36" s="94" t="s">
        <v>201</v>
      </c>
      <c r="H36" s="94" t="s">
        <v>201</v>
      </c>
      <c r="I36" s="94" t="s">
        <v>247</v>
      </c>
      <c r="J36" s="84" t="s">
        <v>156</v>
      </c>
      <c r="K36" s="94" t="s">
        <v>248</v>
      </c>
      <c r="L36" s="84">
        <v>3</v>
      </c>
      <c r="M36" s="84" t="s">
        <v>339</v>
      </c>
      <c r="N36" s="84" t="s">
        <v>340</v>
      </c>
      <c r="O36" s="84" t="s">
        <v>341</v>
      </c>
      <c r="P36" s="124" t="s">
        <v>200</v>
      </c>
      <c r="Q36" s="125" t="s">
        <v>162</v>
      </c>
      <c r="R36" s="83">
        <v>1</v>
      </c>
      <c r="S36" s="124" t="s">
        <v>252</v>
      </c>
      <c r="T36" s="90">
        <v>44928</v>
      </c>
      <c r="U36" s="90">
        <v>46387</v>
      </c>
      <c r="V36" s="90"/>
      <c r="W36" s="90"/>
      <c r="X36" s="90"/>
      <c r="Y36" s="90"/>
      <c r="Z36" s="83"/>
      <c r="AA36" s="83"/>
      <c r="AB36" s="83"/>
      <c r="AC36" s="83"/>
      <c r="AD36" s="83"/>
      <c r="AE36" s="83"/>
      <c r="AF36" s="83"/>
      <c r="AG36" s="83"/>
      <c r="AH36" s="83"/>
      <c r="AI36" s="83"/>
      <c r="AJ36" s="83"/>
      <c r="AK36" s="126"/>
      <c r="AL36" s="126"/>
      <c r="AM36" s="126"/>
      <c r="AN36" s="126"/>
      <c r="AO36" s="83"/>
      <c r="AP36" s="83"/>
      <c r="AQ36" s="84"/>
      <c r="AR36" s="84"/>
      <c r="AS36" s="84"/>
      <c r="AT36" s="84"/>
      <c r="AU36" s="84"/>
      <c r="AV36" s="84"/>
      <c r="AW36" s="84"/>
      <c r="AX36" s="84"/>
      <c r="AY36" s="84"/>
      <c r="AZ36" s="86"/>
      <c r="BA36" s="84"/>
      <c r="BB36" s="84"/>
      <c r="BC36" s="84"/>
      <c r="BD36" s="84"/>
      <c r="BE36" s="84"/>
      <c r="BF36" s="84"/>
      <c r="BG36" s="84"/>
      <c r="BH36" s="84"/>
      <c r="BI36" s="84"/>
      <c r="BJ36" s="86"/>
      <c r="BK36" s="84"/>
      <c r="BL36" s="86"/>
      <c r="BM36" s="84"/>
      <c r="BN36" s="86"/>
      <c r="BO36" s="84"/>
      <c r="BP36" s="86"/>
      <c r="BQ36" s="84"/>
      <c r="BR36" s="84"/>
      <c r="BS36" s="84"/>
      <c r="BT36" s="84"/>
      <c r="BU36" s="84"/>
      <c r="BV36" s="84"/>
      <c r="BW36" s="84"/>
      <c r="BX36" s="84"/>
      <c r="BY36" s="84"/>
      <c r="BZ36" s="84"/>
      <c r="CA36" s="84"/>
      <c r="CB36" s="84"/>
      <c r="CC36" s="84"/>
      <c r="CD36" s="84"/>
      <c r="CE36" s="84"/>
      <c r="CF36" s="84"/>
      <c r="CG36" s="372"/>
      <c r="CH36" s="372"/>
      <c r="CI36" s="372"/>
      <c r="CJ36" s="83" t="str">
        <f t="shared" si="0"/>
        <v>No aplica</v>
      </c>
      <c r="CK36" s="83" t="str">
        <f t="shared" si="1"/>
        <v>No aplica</v>
      </c>
      <c r="CL36" s="83" t="str">
        <f t="shared" si="4"/>
        <v>No requiere reporte</v>
      </c>
      <c r="CM36" s="89" t="str">
        <f t="shared" si="5"/>
        <v>No requiere reporte</v>
      </c>
      <c r="CN36" s="89" t="str">
        <f t="shared" si="6"/>
        <v>No requiere reporte</v>
      </c>
      <c r="CO36" s="84" t="s">
        <v>366</v>
      </c>
      <c r="CP36" s="84" t="s">
        <v>367</v>
      </c>
      <c r="CQ36" s="84" t="s">
        <v>368</v>
      </c>
      <c r="CR36" s="84" t="s">
        <v>369</v>
      </c>
      <c r="CS36" s="84" t="s">
        <v>370</v>
      </c>
      <c r="CT36" s="84" t="s">
        <v>200</v>
      </c>
      <c r="CU36" s="84" t="s">
        <v>162</v>
      </c>
      <c r="CV36" s="83">
        <v>1</v>
      </c>
      <c r="CW36" s="85" t="s">
        <v>163</v>
      </c>
      <c r="CX36" s="90">
        <v>46024</v>
      </c>
      <c r="CY36" s="90">
        <v>46386</v>
      </c>
      <c r="CZ36" s="146">
        <v>1</v>
      </c>
      <c r="DA36" s="146">
        <v>1</v>
      </c>
      <c r="DB36" s="146">
        <v>1</v>
      </c>
      <c r="DC36" s="146">
        <v>1</v>
      </c>
      <c r="DD36" s="146">
        <v>1</v>
      </c>
      <c r="DE36" s="84" t="s">
        <v>182</v>
      </c>
      <c r="DF36" s="84" t="s">
        <v>182</v>
      </c>
      <c r="DG36" s="84" t="s">
        <v>182</v>
      </c>
      <c r="DH36" s="362">
        <v>0</v>
      </c>
      <c r="DI36" s="84" t="s">
        <v>268</v>
      </c>
      <c r="DJ36" s="84" t="s">
        <v>358</v>
      </c>
      <c r="DK36" s="84" t="s">
        <v>359</v>
      </c>
      <c r="DL36" s="84" t="s">
        <v>280</v>
      </c>
      <c r="DM36" s="94" t="s">
        <v>280</v>
      </c>
      <c r="DN36" s="84"/>
      <c r="DO36" s="86"/>
      <c r="DP36" s="84"/>
      <c r="DQ36" s="86"/>
      <c r="DR36" s="86"/>
      <c r="DS36" s="84"/>
      <c r="DT36" s="86"/>
      <c r="DU36" s="84"/>
      <c r="DV36" s="86"/>
      <c r="DW36" s="86"/>
      <c r="DX36" s="84"/>
      <c r="DY36" s="86"/>
      <c r="DZ36" s="84"/>
      <c r="EA36" s="86"/>
      <c r="EB36" s="86"/>
      <c r="EC36" s="84"/>
      <c r="ED36" s="84"/>
      <c r="EE36" s="84"/>
      <c r="EF36" s="84"/>
      <c r="EG36" s="84"/>
      <c r="EH36" s="84"/>
      <c r="EI36" s="84"/>
      <c r="EJ36" s="84"/>
      <c r="EK36" s="84"/>
      <c r="EL36" s="91" t="str">
        <f t="shared" si="7"/>
        <v>No se reportó avance</v>
      </c>
      <c r="EM36" s="83" t="str">
        <f t="shared" si="8"/>
        <v>No se reportó avance</v>
      </c>
      <c r="EN36" s="86"/>
    </row>
    <row r="37" spans="1:149" s="93" customFormat="1" ht="150" customHeight="1">
      <c r="A37" s="84" t="s">
        <v>241</v>
      </c>
      <c r="B37" s="94" t="s">
        <v>338</v>
      </c>
      <c r="C37" s="94" t="s">
        <v>243</v>
      </c>
      <c r="D37" s="94" t="s">
        <v>312</v>
      </c>
      <c r="E37" s="94" t="s">
        <v>245</v>
      </c>
      <c r="F37" s="94" t="s">
        <v>246</v>
      </c>
      <c r="G37" s="94" t="s">
        <v>201</v>
      </c>
      <c r="H37" s="94" t="s">
        <v>201</v>
      </c>
      <c r="I37" s="94" t="s">
        <v>247</v>
      </c>
      <c r="J37" s="84" t="s">
        <v>156</v>
      </c>
      <c r="K37" s="94" t="s">
        <v>248</v>
      </c>
      <c r="L37" s="84">
        <v>3</v>
      </c>
      <c r="M37" s="84" t="s">
        <v>339</v>
      </c>
      <c r="N37" s="84" t="s">
        <v>340</v>
      </c>
      <c r="O37" s="84" t="s">
        <v>341</v>
      </c>
      <c r="P37" s="124" t="s">
        <v>200</v>
      </c>
      <c r="Q37" s="125" t="s">
        <v>162</v>
      </c>
      <c r="R37" s="83">
        <v>1</v>
      </c>
      <c r="S37" s="124" t="s">
        <v>252</v>
      </c>
      <c r="T37" s="90">
        <v>44928</v>
      </c>
      <c r="U37" s="90">
        <v>46387</v>
      </c>
      <c r="V37" s="90"/>
      <c r="W37" s="90"/>
      <c r="X37" s="90"/>
      <c r="Y37" s="90"/>
      <c r="Z37" s="83"/>
      <c r="AA37" s="83"/>
      <c r="AB37" s="83"/>
      <c r="AC37" s="83"/>
      <c r="AD37" s="83"/>
      <c r="AE37" s="83"/>
      <c r="AF37" s="83"/>
      <c r="AG37" s="83"/>
      <c r="AH37" s="83"/>
      <c r="AI37" s="83"/>
      <c r="AJ37" s="83"/>
      <c r="AK37" s="126"/>
      <c r="AL37" s="126"/>
      <c r="AM37" s="126"/>
      <c r="AN37" s="126"/>
      <c r="AO37" s="83"/>
      <c r="AP37" s="83"/>
      <c r="AQ37" s="84"/>
      <c r="AR37" s="84"/>
      <c r="AS37" s="84"/>
      <c r="AT37" s="84"/>
      <c r="AU37" s="84"/>
      <c r="AV37" s="84"/>
      <c r="AW37" s="84"/>
      <c r="AX37" s="84"/>
      <c r="AY37" s="84"/>
      <c r="AZ37" s="86"/>
      <c r="BA37" s="84"/>
      <c r="BB37" s="84"/>
      <c r="BC37" s="84"/>
      <c r="BD37" s="84"/>
      <c r="BE37" s="84"/>
      <c r="BF37" s="84"/>
      <c r="BG37" s="84"/>
      <c r="BH37" s="84"/>
      <c r="BI37" s="84"/>
      <c r="BJ37" s="86"/>
      <c r="BK37" s="84"/>
      <c r="BL37" s="86"/>
      <c r="BM37" s="84"/>
      <c r="BN37" s="86"/>
      <c r="BO37" s="84"/>
      <c r="BP37" s="86"/>
      <c r="BQ37" s="84"/>
      <c r="BR37" s="84"/>
      <c r="BS37" s="84"/>
      <c r="BT37" s="84"/>
      <c r="BU37" s="84"/>
      <c r="BV37" s="84"/>
      <c r="BW37" s="84"/>
      <c r="BX37" s="84"/>
      <c r="BY37" s="84"/>
      <c r="BZ37" s="84"/>
      <c r="CA37" s="84"/>
      <c r="CB37" s="84"/>
      <c r="CC37" s="84"/>
      <c r="CD37" s="84"/>
      <c r="CE37" s="84"/>
      <c r="CF37" s="84"/>
      <c r="CG37" s="372"/>
      <c r="CH37" s="372"/>
      <c r="CI37" s="372"/>
      <c r="CJ37" s="83" t="str">
        <f t="shared" si="0"/>
        <v>No aplica</v>
      </c>
      <c r="CK37" s="83" t="str">
        <f t="shared" si="1"/>
        <v>No aplica</v>
      </c>
      <c r="CL37" s="83" t="str">
        <f t="shared" si="4"/>
        <v>No requiere reporte</v>
      </c>
      <c r="CM37" s="89" t="str">
        <f t="shared" si="5"/>
        <v>No requiere reporte</v>
      </c>
      <c r="CN37" s="89" t="str">
        <f t="shared" si="6"/>
        <v>No requiere reporte</v>
      </c>
      <c r="CO37" s="84" t="s">
        <v>371</v>
      </c>
      <c r="CP37" s="84" t="s">
        <v>372</v>
      </c>
      <c r="CQ37" s="84" t="s">
        <v>373</v>
      </c>
      <c r="CR37" s="84" t="s">
        <v>374</v>
      </c>
      <c r="CS37" s="84" t="s">
        <v>375</v>
      </c>
      <c r="CT37" s="84" t="s">
        <v>200</v>
      </c>
      <c r="CU37" s="84" t="s">
        <v>162</v>
      </c>
      <c r="CV37" s="83">
        <v>1</v>
      </c>
      <c r="CW37" s="85" t="s">
        <v>163</v>
      </c>
      <c r="CX37" s="90">
        <v>46024</v>
      </c>
      <c r="CY37" s="90">
        <v>46386</v>
      </c>
      <c r="CZ37" s="146">
        <v>1</v>
      </c>
      <c r="DA37" s="146">
        <v>1</v>
      </c>
      <c r="DB37" s="146">
        <v>1</v>
      </c>
      <c r="DC37" s="146">
        <v>1</v>
      </c>
      <c r="DD37" s="146">
        <v>1</v>
      </c>
      <c r="DE37" s="84" t="s">
        <v>182</v>
      </c>
      <c r="DF37" s="84" t="s">
        <v>182</v>
      </c>
      <c r="DG37" s="84" t="s">
        <v>182</v>
      </c>
      <c r="DH37" s="362">
        <v>0</v>
      </c>
      <c r="DI37" s="84" t="s">
        <v>268</v>
      </c>
      <c r="DJ37" s="84" t="s">
        <v>358</v>
      </c>
      <c r="DK37" s="84" t="s">
        <v>359</v>
      </c>
      <c r="DL37" s="84" t="s">
        <v>280</v>
      </c>
      <c r="DM37" s="94" t="s">
        <v>280</v>
      </c>
      <c r="DN37" s="115"/>
      <c r="DO37" s="761"/>
      <c r="DP37" s="127"/>
      <c r="DQ37" s="86"/>
      <c r="DR37" s="86"/>
      <c r="DS37" s="115"/>
      <c r="DT37" s="86"/>
      <c r="DU37" s="115"/>
      <c r="DV37" s="86"/>
      <c r="DW37" s="86"/>
      <c r="DX37" s="115"/>
      <c r="DY37" s="86"/>
      <c r="DZ37" s="84"/>
      <c r="EA37" s="86"/>
      <c r="EB37" s="86"/>
      <c r="EC37" s="115"/>
      <c r="ED37" s="84"/>
      <c r="EE37" s="115"/>
      <c r="EF37" s="84"/>
      <c r="EG37" s="84"/>
      <c r="EH37" s="115"/>
      <c r="EI37" s="84"/>
      <c r="EJ37" s="84"/>
      <c r="EK37" s="84"/>
      <c r="EL37" s="91" t="str">
        <f t="shared" si="7"/>
        <v>No se reportó avance</v>
      </c>
      <c r="EM37" s="83" t="str">
        <f t="shared" si="8"/>
        <v>No se reportó avance</v>
      </c>
      <c r="EN37" s="86"/>
      <c r="EO37" s="93" t="str">
        <f t="shared" si="2"/>
        <v>Gestión</v>
      </c>
      <c r="EP37" s="93" t="str">
        <f t="shared" si="3"/>
        <v>7</v>
      </c>
    </row>
    <row r="38" spans="1:149" s="93" customFormat="1" ht="150" customHeight="1">
      <c r="A38" s="74" t="s">
        <v>241</v>
      </c>
      <c r="B38" s="75" t="s">
        <v>376</v>
      </c>
      <c r="C38" s="98" t="s">
        <v>243</v>
      </c>
      <c r="D38" s="98" t="s">
        <v>312</v>
      </c>
      <c r="E38" s="98" t="s">
        <v>245</v>
      </c>
      <c r="F38" s="98" t="s">
        <v>246</v>
      </c>
      <c r="G38" s="98" t="s">
        <v>201</v>
      </c>
      <c r="H38" s="98" t="s">
        <v>201</v>
      </c>
      <c r="I38" s="98" t="s">
        <v>247</v>
      </c>
      <c r="J38" s="74" t="s">
        <v>156</v>
      </c>
      <c r="K38" s="98" t="s">
        <v>377</v>
      </c>
      <c r="L38" s="78">
        <v>4</v>
      </c>
      <c r="M38" s="78" t="s">
        <v>378</v>
      </c>
      <c r="N38" s="78" t="s">
        <v>379</v>
      </c>
      <c r="O38" s="78" t="s">
        <v>380</v>
      </c>
      <c r="P38" s="78" t="s">
        <v>161</v>
      </c>
      <c r="Q38" s="78" t="s">
        <v>275</v>
      </c>
      <c r="R38" s="79">
        <v>0.59</v>
      </c>
      <c r="S38" s="78" t="s">
        <v>163</v>
      </c>
      <c r="T38" s="80">
        <v>45292</v>
      </c>
      <c r="U38" s="80">
        <v>46387</v>
      </c>
      <c r="V38" s="81"/>
      <c r="W38" s="81"/>
      <c r="X38" s="81"/>
      <c r="Y38" s="81"/>
      <c r="Z38" s="80" t="s">
        <v>201</v>
      </c>
      <c r="AA38" s="128">
        <v>0.59499999999999997</v>
      </c>
      <c r="AB38" s="75">
        <v>0.6</v>
      </c>
      <c r="AC38" s="75">
        <v>0.61</v>
      </c>
      <c r="AD38" s="75">
        <v>0.62</v>
      </c>
      <c r="AE38" s="79">
        <v>0.62</v>
      </c>
      <c r="AF38" s="129">
        <v>0.625</v>
      </c>
      <c r="AG38" s="82">
        <v>0.63</v>
      </c>
      <c r="AH38" s="82">
        <v>0.64</v>
      </c>
      <c r="AI38" s="82">
        <v>0.65</v>
      </c>
      <c r="AJ38" s="79">
        <v>0.65</v>
      </c>
      <c r="AK38" s="113" t="s">
        <v>381</v>
      </c>
      <c r="AL38" s="75">
        <v>0.67</v>
      </c>
      <c r="AM38" s="113" t="s">
        <v>382</v>
      </c>
      <c r="AN38" s="75">
        <v>0.7</v>
      </c>
      <c r="AO38" s="79">
        <v>0.7</v>
      </c>
      <c r="AP38" s="79">
        <v>0.7</v>
      </c>
      <c r="AQ38" s="84" t="s">
        <v>182</v>
      </c>
      <c r="AR38" s="84" t="s">
        <v>182</v>
      </c>
      <c r="AS38" s="84" t="s">
        <v>182</v>
      </c>
      <c r="AT38" s="84" t="s">
        <v>182</v>
      </c>
      <c r="AU38" s="84" t="s">
        <v>182</v>
      </c>
      <c r="AV38" s="84" t="s">
        <v>182</v>
      </c>
      <c r="AW38" s="84" t="s">
        <v>182</v>
      </c>
      <c r="AX38" s="84" t="s">
        <v>182</v>
      </c>
      <c r="AY38" s="85" t="s">
        <v>182</v>
      </c>
      <c r="AZ38" s="86" t="s">
        <v>182</v>
      </c>
      <c r="BA38" s="130">
        <f>(1/1)*AA38</f>
        <v>0.59499999999999997</v>
      </c>
      <c r="BB38" s="84" t="s">
        <v>383</v>
      </c>
      <c r="BC38" s="130">
        <f>+((2/2)*0.61)</f>
        <v>0.61</v>
      </c>
      <c r="BD38" s="84" t="s">
        <v>384</v>
      </c>
      <c r="BE38" s="130">
        <f>+((1/1)*0.61)</f>
        <v>0.61</v>
      </c>
      <c r="BF38" s="678" t="s">
        <v>385</v>
      </c>
      <c r="BG38" s="83">
        <f>+(3/5)*0.62</f>
        <v>0.372</v>
      </c>
      <c r="BH38" s="84" t="s">
        <v>386</v>
      </c>
      <c r="BI38" s="83">
        <f>+(7/8)*0.62</f>
        <v>0.54249999999999998</v>
      </c>
      <c r="BJ38" s="87" t="s">
        <v>387</v>
      </c>
      <c r="BK38" s="83">
        <f>+(2/2)*AF38</f>
        <v>0.625</v>
      </c>
      <c r="BL38" s="86" t="s">
        <v>388</v>
      </c>
      <c r="BM38" s="83">
        <f>+(6/6)*AG38</f>
        <v>0.63</v>
      </c>
      <c r="BN38" s="86" t="s">
        <v>389</v>
      </c>
      <c r="BO38" s="83">
        <f>+(6/6)*AH38</f>
        <v>0.64</v>
      </c>
      <c r="BP38" s="670" t="s">
        <v>390</v>
      </c>
      <c r="BQ38" s="84"/>
      <c r="BR38" s="84"/>
      <c r="BS38" s="83">
        <f>+BO38</f>
        <v>0.64</v>
      </c>
      <c r="BT38" s="84"/>
      <c r="BU38" s="84"/>
      <c r="BV38" s="84"/>
      <c r="BW38" s="84"/>
      <c r="BX38" s="84"/>
      <c r="BY38" s="84"/>
      <c r="BZ38" s="84"/>
      <c r="CA38" s="84"/>
      <c r="CB38" s="84"/>
      <c r="CC38" s="84"/>
      <c r="CD38" s="84"/>
      <c r="CE38" s="83">
        <f>+BS38</f>
        <v>0.64</v>
      </c>
      <c r="CF38" s="84"/>
      <c r="CG38" s="362">
        <f>SUM(DH38:DH47)</f>
        <v>3000000000</v>
      </c>
      <c r="CH38" s="372"/>
      <c r="CI38" s="372"/>
      <c r="CJ38" s="83">
        <f t="shared" si="0"/>
        <v>0</v>
      </c>
      <c r="CK38" s="83">
        <f t="shared" si="1"/>
        <v>0</v>
      </c>
      <c r="CL38" s="83" t="str">
        <f t="shared" si="4"/>
        <v>No se reportó avance</v>
      </c>
      <c r="CM38" s="89" t="str">
        <f t="shared" si="5"/>
        <v>No se reportó avance</v>
      </c>
      <c r="CN38" s="89">
        <f t="shared" si="6"/>
        <v>0.91428571428571437</v>
      </c>
      <c r="CO38" s="84" t="s">
        <v>391</v>
      </c>
      <c r="CP38" s="84" t="s">
        <v>392</v>
      </c>
      <c r="CQ38" s="84" t="s">
        <v>393</v>
      </c>
      <c r="CR38" s="84" t="s">
        <v>394</v>
      </c>
      <c r="CS38" s="84" t="s">
        <v>395</v>
      </c>
      <c r="CT38" s="84" t="s">
        <v>161</v>
      </c>
      <c r="CU38" s="84" t="s">
        <v>233</v>
      </c>
      <c r="CV38" s="83" t="s">
        <v>182</v>
      </c>
      <c r="CW38" s="84" t="s">
        <v>234</v>
      </c>
      <c r="CX38" s="90">
        <v>46054</v>
      </c>
      <c r="CY38" s="90">
        <v>46387</v>
      </c>
      <c r="CZ38" s="84">
        <v>0</v>
      </c>
      <c r="DA38" s="84">
        <v>0</v>
      </c>
      <c r="DB38" s="84">
        <v>1</v>
      </c>
      <c r="DC38" s="84">
        <v>1</v>
      </c>
      <c r="DD38" s="84">
        <v>2</v>
      </c>
      <c r="DE38" s="84" t="s">
        <v>396</v>
      </c>
      <c r="DF38" s="84" t="s">
        <v>397</v>
      </c>
      <c r="DG38" s="84" t="s">
        <v>398</v>
      </c>
      <c r="DH38" s="362">
        <f>131000000+250000000</f>
        <v>381000000</v>
      </c>
      <c r="DI38" s="84" t="s">
        <v>399</v>
      </c>
      <c r="DJ38" s="84" t="s">
        <v>399</v>
      </c>
      <c r="DK38" s="84" t="s">
        <v>399</v>
      </c>
      <c r="DL38" s="84" t="s">
        <v>279</v>
      </c>
      <c r="DM38" s="94" t="s">
        <v>280</v>
      </c>
      <c r="DN38" s="131"/>
      <c r="DO38" s="86"/>
      <c r="DP38" s="131"/>
      <c r="DQ38" s="86"/>
      <c r="DR38" s="86"/>
      <c r="DS38" s="131"/>
      <c r="DT38" s="86"/>
      <c r="DU38" s="84"/>
      <c r="DV38" s="86"/>
      <c r="DW38" s="86"/>
      <c r="DX38" s="131"/>
      <c r="DY38" s="86"/>
      <c r="DZ38" s="84"/>
      <c r="EA38" s="86"/>
      <c r="EB38" s="86"/>
      <c r="EC38" s="131"/>
      <c r="ED38" s="84"/>
      <c r="EE38" s="131"/>
      <c r="EF38" s="84"/>
      <c r="EG38" s="84"/>
      <c r="EH38" s="131"/>
      <c r="EI38" s="84"/>
      <c r="EJ38" s="84"/>
      <c r="EK38" s="84"/>
      <c r="EL38" s="91" t="str">
        <f t="shared" si="7"/>
        <v>No aplica, no hay meta</v>
      </c>
      <c r="EM38" s="83" t="str">
        <f t="shared" si="8"/>
        <v>No se reportó avance</v>
      </c>
      <c r="EN38" s="86" t="s">
        <v>400</v>
      </c>
      <c r="EO38" s="93" t="str">
        <f t="shared" si="2"/>
        <v>Producto</v>
      </c>
      <c r="EP38" s="93" t="str">
        <f t="shared" si="3"/>
        <v>7</v>
      </c>
    </row>
    <row r="39" spans="1:149" s="93" customFormat="1" ht="150" customHeight="1">
      <c r="A39" s="84" t="s">
        <v>241</v>
      </c>
      <c r="B39" s="85" t="s">
        <v>376</v>
      </c>
      <c r="C39" s="94" t="s">
        <v>243</v>
      </c>
      <c r="D39" s="94" t="s">
        <v>312</v>
      </c>
      <c r="E39" s="94" t="s">
        <v>245</v>
      </c>
      <c r="F39" s="94" t="s">
        <v>246</v>
      </c>
      <c r="G39" s="94" t="s">
        <v>201</v>
      </c>
      <c r="H39" s="94" t="s">
        <v>201</v>
      </c>
      <c r="I39" s="94" t="s">
        <v>247</v>
      </c>
      <c r="J39" s="84" t="s">
        <v>156</v>
      </c>
      <c r="K39" s="94" t="s">
        <v>377</v>
      </c>
      <c r="L39" s="84">
        <v>4</v>
      </c>
      <c r="M39" s="84" t="s">
        <v>378</v>
      </c>
      <c r="N39" s="84" t="s">
        <v>379</v>
      </c>
      <c r="O39" s="84" t="s">
        <v>401</v>
      </c>
      <c r="P39" s="84" t="s">
        <v>161</v>
      </c>
      <c r="Q39" s="84" t="s">
        <v>275</v>
      </c>
      <c r="R39" s="85">
        <v>0.59</v>
      </c>
      <c r="S39" s="84" t="s">
        <v>402</v>
      </c>
      <c r="T39" s="90">
        <v>45292</v>
      </c>
      <c r="U39" s="90">
        <v>46387</v>
      </c>
      <c r="V39" s="90"/>
      <c r="W39" s="90"/>
      <c r="X39" s="90"/>
      <c r="Y39" s="90"/>
      <c r="Z39" s="90"/>
      <c r="AA39" s="85"/>
      <c r="AB39" s="85"/>
      <c r="AC39" s="85"/>
      <c r="AD39" s="85"/>
      <c r="AE39" s="85"/>
      <c r="AF39" s="90"/>
      <c r="AG39" s="90"/>
      <c r="AH39" s="90"/>
      <c r="AI39" s="90"/>
      <c r="AJ39" s="85"/>
      <c r="AK39" s="126"/>
      <c r="AL39" s="126"/>
      <c r="AM39" s="126"/>
      <c r="AN39" s="126"/>
      <c r="AO39" s="85"/>
      <c r="AP39" s="83"/>
      <c r="AQ39" s="84"/>
      <c r="AR39" s="84"/>
      <c r="AS39" s="84"/>
      <c r="AT39" s="84"/>
      <c r="AU39" s="84"/>
      <c r="AV39" s="84"/>
      <c r="AW39" s="84"/>
      <c r="AX39" s="84"/>
      <c r="AY39" s="84"/>
      <c r="AZ39" s="86"/>
      <c r="BA39" s="84"/>
      <c r="BB39" s="84"/>
      <c r="BC39" s="84"/>
      <c r="BD39" s="84"/>
      <c r="BE39" s="84"/>
      <c r="BF39" s="84"/>
      <c r="BG39" s="84"/>
      <c r="BH39" s="84"/>
      <c r="BI39" s="84"/>
      <c r="BJ39" s="86"/>
      <c r="BK39" s="84"/>
      <c r="BL39" s="86"/>
      <c r="BM39" s="84"/>
      <c r="BN39" s="86"/>
      <c r="BO39" s="84"/>
      <c r="BP39" s="86"/>
      <c r="BQ39" s="84"/>
      <c r="BR39" s="84"/>
      <c r="BS39" s="84"/>
      <c r="BT39" s="84"/>
      <c r="BU39" s="84"/>
      <c r="BV39" s="84"/>
      <c r="BW39" s="84"/>
      <c r="BX39" s="84"/>
      <c r="BY39" s="84"/>
      <c r="BZ39" s="84"/>
      <c r="CA39" s="84"/>
      <c r="CB39" s="84"/>
      <c r="CC39" s="84"/>
      <c r="CD39" s="84"/>
      <c r="CE39" s="84"/>
      <c r="CF39" s="84"/>
      <c r="CG39" s="372"/>
      <c r="CH39" s="372"/>
      <c r="CI39" s="372"/>
      <c r="CJ39" s="83" t="str">
        <f t="shared" si="0"/>
        <v>No aplica</v>
      </c>
      <c r="CK39" s="83" t="str">
        <f t="shared" si="1"/>
        <v>No aplica</v>
      </c>
      <c r="CL39" s="83" t="str">
        <f t="shared" si="4"/>
        <v>No requiere reporte</v>
      </c>
      <c r="CM39" s="89" t="str">
        <f t="shared" si="5"/>
        <v>No requiere reporte</v>
      </c>
      <c r="CN39" s="89" t="str">
        <f t="shared" si="6"/>
        <v>No requiere reporte</v>
      </c>
      <c r="CO39" s="84" t="s">
        <v>403</v>
      </c>
      <c r="CP39" s="84" t="s">
        <v>404</v>
      </c>
      <c r="CQ39" s="84" t="s">
        <v>405</v>
      </c>
      <c r="CR39" s="84" t="s">
        <v>406</v>
      </c>
      <c r="CS39" s="84" t="s">
        <v>407</v>
      </c>
      <c r="CT39" s="84" t="s">
        <v>200</v>
      </c>
      <c r="CU39" s="84" t="s">
        <v>233</v>
      </c>
      <c r="CV39" s="83" t="s">
        <v>182</v>
      </c>
      <c r="CW39" s="84" t="s">
        <v>234</v>
      </c>
      <c r="CX39" s="90">
        <v>46054</v>
      </c>
      <c r="CY39" s="90">
        <v>46387</v>
      </c>
      <c r="CZ39" s="84">
        <v>1</v>
      </c>
      <c r="DA39" s="84">
        <v>1</v>
      </c>
      <c r="DB39" s="84">
        <v>0</v>
      </c>
      <c r="DC39" s="84">
        <v>0</v>
      </c>
      <c r="DD39" s="84">
        <v>2</v>
      </c>
      <c r="DE39" s="84" t="s">
        <v>396</v>
      </c>
      <c r="DF39" s="84" t="s">
        <v>397</v>
      </c>
      <c r="DG39" s="84" t="s">
        <v>398</v>
      </c>
      <c r="DH39" s="362">
        <v>20000000</v>
      </c>
      <c r="DI39" s="84" t="s">
        <v>399</v>
      </c>
      <c r="DJ39" s="84" t="s">
        <v>399</v>
      </c>
      <c r="DK39" s="84" t="s">
        <v>399</v>
      </c>
      <c r="DL39" s="84" t="s">
        <v>280</v>
      </c>
      <c r="DM39" s="94" t="s">
        <v>280</v>
      </c>
      <c r="DN39" s="131"/>
      <c r="DO39" s="86"/>
      <c r="DP39" s="131"/>
      <c r="DQ39" s="86"/>
      <c r="DR39" s="86"/>
      <c r="DS39" s="131"/>
      <c r="DT39" s="86"/>
      <c r="DU39" s="84"/>
      <c r="DV39" s="86"/>
      <c r="DW39" s="86"/>
      <c r="DX39" s="131"/>
      <c r="DY39" s="86"/>
      <c r="DZ39" s="84"/>
      <c r="EA39" s="86"/>
      <c r="EB39" s="86"/>
      <c r="EC39" s="131"/>
      <c r="ED39" s="84"/>
      <c r="EE39" s="131"/>
      <c r="EF39" s="84"/>
      <c r="EG39" s="84"/>
      <c r="EH39" s="131"/>
      <c r="EI39" s="84"/>
      <c r="EJ39" s="84"/>
      <c r="EK39" s="84"/>
      <c r="EL39" s="91" t="str">
        <f t="shared" si="7"/>
        <v>No se reportó avance</v>
      </c>
      <c r="EM39" s="83" t="str">
        <f t="shared" si="8"/>
        <v>No se reportó avance</v>
      </c>
      <c r="EN39" s="86"/>
      <c r="EO39" s="93" t="str">
        <f t="shared" si="2"/>
        <v>Producto</v>
      </c>
      <c r="EP39" s="93" t="str">
        <f t="shared" si="3"/>
        <v>7</v>
      </c>
    </row>
    <row r="40" spans="1:149" s="93" customFormat="1" ht="150" customHeight="1">
      <c r="A40" s="84" t="s">
        <v>241</v>
      </c>
      <c r="B40" s="85" t="s">
        <v>376</v>
      </c>
      <c r="C40" s="94" t="s">
        <v>243</v>
      </c>
      <c r="D40" s="94" t="s">
        <v>312</v>
      </c>
      <c r="E40" s="94" t="s">
        <v>245</v>
      </c>
      <c r="F40" s="94" t="s">
        <v>246</v>
      </c>
      <c r="G40" s="94" t="s">
        <v>201</v>
      </c>
      <c r="H40" s="94" t="s">
        <v>201</v>
      </c>
      <c r="I40" s="94" t="s">
        <v>247</v>
      </c>
      <c r="J40" s="84" t="s">
        <v>156</v>
      </c>
      <c r="K40" s="94" t="s">
        <v>377</v>
      </c>
      <c r="L40" s="84">
        <v>4</v>
      </c>
      <c r="M40" s="84" t="s">
        <v>378</v>
      </c>
      <c r="N40" s="84" t="s">
        <v>379</v>
      </c>
      <c r="O40" s="84" t="s">
        <v>401</v>
      </c>
      <c r="P40" s="84" t="s">
        <v>161</v>
      </c>
      <c r="Q40" s="84" t="s">
        <v>275</v>
      </c>
      <c r="R40" s="85">
        <v>0.4</v>
      </c>
      <c r="S40" s="84" t="s">
        <v>402</v>
      </c>
      <c r="T40" s="90">
        <v>45293</v>
      </c>
      <c r="U40" s="90">
        <v>46387</v>
      </c>
      <c r="V40" s="90"/>
      <c r="W40" s="90"/>
      <c r="X40" s="90"/>
      <c r="Y40" s="90"/>
      <c r="Z40" s="90"/>
      <c r="AA40" s="85"/>
      <c r="AB40" s="85"/>
      <c r="AC40" s="85"/>
      <c r="AD40" s="85"/>
      <c r="AE40" s="85"/>
      <c r="AF40" s="90"/>
      <c r="AG40" s="90"/>
      <c r="AH40" s="90"/>
      <c r="AI40" s="90"/>
      <c r="AJ40" s="85"/>
      <c r="AK40" s="126"/>
      <c r="AL40" s="126"/>
      <c r="AM40" s="126"/>
      <c r="AN40" s="126"/>
      <c r="AO40" s="85"/>
      <c r="AP40" s="83"/>
      <c r="AQ40" s="84"/>
      <c r="AR40" s="84"/>
      <c r="AS40" s="84"/>
      <c r="AT40" s="84"/>
      <c r="AU40" s="84"/>
      <c r="AV40" s="84"/>
      <c r="AW40" s="84"/>
      <c r="AX40" s="84"/>
      <c r="AY40" s="84"/>
      <c r="AZ40" s="86"/>
      <c r="BA40" s="84"/>
      <c r="BB40" s="84"/>
      <c r="BC40" s="84"/>
      <c r="BD40" s="84"/>
      <c r="BE40" s="84"/>
      <c r="BF40" s="84"/>
      <c r="BG40" s="84"/>
      <c r="BH40" s="84"/>
      <c r="BI40" s="84"/>
      <c r="BJ40" s="86"/>
      <c r="BK40" s="84"/>
      <c r="BL40" s="86"/>
      <c r="BM40" s="84"/>
      <c r="BN40" s="86"/>
      <c r="BO40" s="84"/>
      <c r="BP40" s="86"/>
      <c r="BQ40" s="84"/>
      <c r="BR40" s="84"/>
      <c r="BS40" s="84"/>
      <c r="BT40" s="84"/>
      <c r="BU40" s="84"/>
      <c r="BV40" s="84"/>
      <c r="BW40" s="84"/>
      <c r="BX40" s="84"/>
      <c r="BY40" s="84"/>
      <c r="BZ40" s="84"/>
      <c r="CA40" s="84"/>
      <c r="CB40" s="84"/>
      <c r="CC40" s="84"/>
      <c r="CD40" s="84"/>
      <c r="CE40" s="84"/>
      <c r="CF40" s="84"/>
      <c r="CG40" s="372"/>
      <c r="CH40" s="372"/>
      <c r="CI40" s="372"/>
      <c r="CJ40" s="83" t="str">
        <f t="shared" si="0"/>
        <v>No aplica</v>
      </c>
      <c r="CK40" s="83" t="str">
        <f t="shared" si="1"/>
        <v>No aplica</v>
      </c>
      <c r="CL40" s="83" t="str">
        <f t="shared" si="4"/>
        <v>No requiere reporte</v>
      </c>
      <c r="CM40" s="89" t="str">
        <f t="shared" si="5"/>
        <v>No requiere reporte</v>
      </c>
      <c r="CN40" s="89" t="str">
        <f t="shared" si="6"/>
        <v>No requiere reporte</v>
      </c>
      <c r="CO40" s="84" t="s">
        <v>408</v>
      </c>
      <c r="CP40" s="84" t="s">
        <v>409</v>
      </c>
      <c r="CQ40" s="84" t="s">
        <v>410</v>
      </c>
      <c r="CR40" s="84" t="s">
        <v>411</v>
      </c>
      <c r="CS40" s="84" t="s">
        <v>412</v>
      </c>
      <c r="CT40" s="84" t="s">
        <v>200</v>
      </c>
      <c r="CU40" s="84" t="s">
        <v>233</v>
      </c>
      <c r="CV40" s="83" t="s">
        <v>182</v>
      </c>
      <c r="CW40" s="84" t="s">
        <v>234</v>
      </c>
      <c r="CX40" s="90">
        <v>46054</v>
      </c>
      <c r="CY40" s="90">
        <v>46387</v>
      </c>
      <c r="CZ40" s="84">
        <v>0</v>
      </c>
      <c r="DA40" s="84">
        <v>1</v>
      </c>
      <c r="DB40" s="84">
        <v>1</v>
      </c>
      <c r="DC40" s="84">
        <v>0</v>
      </c>
      <c r="DD40" s="84">
        <v>2</v>
      </c>
      <c r="DE40" s="84" t="s">
        <v>396</v>
      </c>
      <c r="DF40" s="84" t="s">
        <v>397</v>
      </c>
      <c r="DG40" s="84" t="s">
        <v>398</v>
      </c>
      <c r="DH40" s="362">
        <f>39000000+206900000+549773000</f>
        <v>795673000</v>
      </c>
      <c r="DI40" s="84" t="s">
        <v>399</v>
      </c>
      <c r="DJ40" s="84" t="s">
        <v>399</v>
      </c>
      <c r="DK40" s="84" t="s">
        <v>399</v>
      </c>
      <c r="DL40" s="84" t="s">
        <v>279</v>
      </c>
      <c r="DM40" s="94" t="s">
        <v>280</v>
      </c>
      <c r="DN40" s="131"/>
      <c r="DO40" s="86"/>
      <c r="DP40" s="131"/>
      <c r="DQ40" s="86"/>
      <c r="DR40" s="86"/>
      <c r="DS40" s="131"/>
      <c r="DT40" s="86"/>
      <c r="DU40" s="84"/>
      <c r="DV40" s="86"/>
      <c r="DW40" s="86"/>
      <c r="DX40" s="131"/>
      <c r="DY40" s="86"/>
      <c r="DZ40" s="84"/>
      <c r="EA40" s="86"/>
      <c r="EB40" s="86"/>
      <c r="EC40" s="131"/>
      <c r="ED40" s="84"/>
      <c r="EE40" s="131"/>
      <c r="EF40" s="84"/>
      <c r="EG40" s="84"/>
      <c r="EH40" s="131"/>
      <c r="EI40" s="84"/>
      <c r="EJ40" s="84"/>
      <c r="EK40" s="84"/>
      <c r="EL40" s="91" t="str">
        <f t="shared" si="7"/>
        <v>No aplica, no hay meta</v>
      </c>
      <c r="EM40" s="83" t="str">
        <f t="shared" si="8"/>
        <v>No se reportó avance</v>
      </c>
      <c r="EN40" s="86"/>
      <c r="EO40" s="93" t="str">
        <f t="shared" si="2"/>
        <v>Producto</v>
      </c>
      <c r="EP40" s="93" t="str">
        <f t="shared" si="3"/>
        <v>7</v>
      </c>
      <c r="EQ40" s="132"/>
      <c r="ES40" s="132"/>
    </row>
    <row r="41" spans="1:149" s="93" customFormat="1" ht="150" customHeight="1">
      <c r="A41" s="84" t="s">
        <v>241</v>
      </c>
      <c r="B41" s="85" t="s">
        <v>376</v>
      </c>
      <c r="C41" s="94" t="s">
        <v>243</v>
      </c>
      <c r="D41" s="94" t="s">
        <v>312</v>
      </c>
      <c r="E41" s="94" t="s">
        <v>245</v>
      </c>
      <c r="F41" s="94" t="s">
        <v>246</v>
      </c>
      <c r="G41" s="94" t="s">
        <v>201</v>
      </c>
      <c r="H41" s="94" t="s">
        <v>201</v>
      </c>
      <c r="I41" s="94" t="s">
        <v>247</v>
      </c>
      <c r="J41" s="84" t="s">
        <v>156</v>
      </c>
      <c r="K41" s="94" t="s">
        <v>377</v>
      </c>
      <c r="L41" s="84">
        <v>4</v>
      </c>
      <c r="M41" s="84" t="s">
        <v>378</v>
      </c>
      <c r="N41" s="84" t="s">
        <v>379</v>
      </c>
      <c r="O41" s="84" t="s">
        <v>401</v>
      </c>
      <c r="P41" s="84" t="s">
        <v>161</v>
      </c>
      <c r="Q41" s="84" t="s">
        <v>275</v>
      </c>
      <c r="R41" s="85">
        <v>0.4</v>
      </c>
      <c r="S41" s="84" t="s">
        <v>402</v>
      </c>
      <c r="T41" s="90">
        <v>45293</v>
      </c>
      <c r="U41" s="90">
        <v>46387</v>
      </c>
      <c r="V41" s="90"/>
      <c r="W41" s="90"/>
      <c r="X41" s="90"/>
      <c r="Y41" s="90"/>
      <c r="Z41" s="90"/>
      <c r="AA41" s="85"/>
      <c r="AB41" s="85"/>
      <c r="AC41" s="85"/>
      <c r="AD41" s="85"/>
      <c r="AE41" s="85"/>
      <c r="AF41" s="90"/>
      <c r="AG41" s="90"/>
      <c r="AH41" s="90"/>
      <c r="AI41" s="90"/>
      <c r="AJ41" s="85"/>
      <c r="AK41" s="126"/>
      <c r="AL41" s="126"/>
      <c r="AM41" s="126"/>
      <c r="AN41" s="126"/>
      <c r="AO41" s="85"/>
      <c r="AP41" s="83"/>
      <c r="AQ41" s="84"/>
      <c r="AR41" s="84"/>
      <c r="AS41" s="84"/>
      <c r="AT41" s="84"/>
      <c r="AU41" s="84"/>
      <c r="AV41" s="84"/>
      <c r="AW41" s="84"/>
      <c r="AX41" s="84"/>
      <c r="AY41" s="84"/>
      <c r="AZ41" s="86"/>
      <c r="BA41" s="84"/>
      <c r="BB41" s="84"/>
      <c r="BC41" s="84"/>
      <c r="BD41" s="84"/>
      <c r="BE41" s="84"/>
      <c r="BF41" s="84"/>
      <c r="BG41" s="84"/>
      <c r="BH41" s="84"/>
      <c r="BI41" s="84"/>
      <c r="BJ41" s="86"/>
      <c r="BK41" s="84"/>
      <c r="BL41" s="86"/>
      <c r="BM41" s="84"/>
      <c r="BN41" s="86"/>
      <c r="BO41" s="84"/>
      <c r="BP41" s="86"/>
      <c r="BQ41" s="84"/>
      <c r="BR41" s="84"/>
      <c r="BS41" s="84"/>
      <c r="BT41" s="84"/>
      <c r="BU41" s="84"/>
      <c r="BV41" s="84"/>
      <c r="BW41" s="84"/>
      <c r="BX41" s="84"/>
      <c r="BY41" s="84"/>
      <c r="BZ41" s="84"/>
      <c r="CA41" s="84"/>
      <c r="CB41" s="84"/>
      <c r="CC41" s="84"/>
      <c r="CD41" s="84"/>
      <c r="CE41" s="84"/>
      <c r="CF41" s="84"/>
      <c r="CG41" s="372"/>
      <c r="CH41" s="372"/>
      <c r="CI41" s="372"/>
      <c r="CJ41" s="83" t="str">
        <f t="shared" si="0"/>
        <v>No aplica</v>
      </c>
      <c r="CK41" s="83" t="str">
        <f t="shared" si="1"/>
        <v>No aplica</v>
      </c>
      <c r="CL41" s="83" t="str">
        <f t="shared" si="4"/>
        <v>No requiere reporte</v>
      </c>
      <c r="CM41" s="89" t="str">
        <f t="shared" si="5"/>
        <v>No requiere reporte</v>
      </c>
      <c r="CN41" s="89" t="str">
        <f t="shared" si="6"/>
        <v>No requiere reporte</v>
      </c>
      <c r="CO41" s="84" t="s">
        <v>413</v>
      </c>
      <c r="CP41" s="84" t="s">
        <v>414</v>
      </c>
      <c r="CQ41" s="84" t="s">
        <v>315</v>
      </c>
      <c r="CR41" s="84" t="s">
        <v>415</v>
      </c>
      <c r="CS41" s="84" t="s">
        <v>416</v>
      </c>
      <c r="CT41" s="84" t="s">
        <v>161</v>
      </c>
      <c r="CU41" s="84" t="s">
        <v>233</v>
      </c>
      <c r="CV41" s="83" t="s">
        <v>182</v>
      </c>
      <c r="CW41" s="84" t="s">
        <v>234</v>
      </c>
      <c r="CX41" s="90">
        <v>46054</v>
      </c>
      <c r="CY41" s="90">
        <v>46387</v>
      </c>
      <c r="CZ41" s="84">
        <v>1</v>
      </c>
      <c r="DA41" s="84">
        <v>1</v>
      </c>
      <c r="DB41" s="84">
        <v>1</v>
      </c>
      <c r="DC41" s="84">
        <v>1</v>
      </c>
      <c r="DD41" s="84">
        <v>4</v>
      </c>
      <c r="DE41" s="84" t="s">
        <v>396</v>
      </c>
      <c r="DF41" s="84" t="s">
        <v>397</v>
      </c>
      <c r="DG41" s="84" t="s">
        <v>398</v>
      </c>
      <c r="DH41" s="362">
        <f>1020942000+228000000</f>
        <v>1248942000</v>
      </c>
      <c r="DI41" s="84" t="s">
        <v>399</v>
      </c>
      <c r="DJ41" s="84" t="s">
        <v>399</v>
      </c>
      <c r="DK41" s="84" t="s">
        <v>399</v>
      </c>
      <c r="DL41" s="84" t="s">
        <v>279</v>
      </c>
      <c r="DM41" s="94" t="s">
        <v>280</v>
      </c>
      <c r="DN41" s="131"/>
      <c r="DO41" s="86"/>
      <c r="DP41" s="116"/>
      <c r="DQ41" s="86"/>
      <c r="DR41" s="86"/>
      <c r="DS41" s="131"/>
      <c r="DT41" s="86"/>
      <c r="DU41" s="84"/>
      <c r="DV41" s="86"/>
      <c r="DW41" s="86"/>
      <c r="DX41" s="131"/>
      <c r="DY41" s="86"/>
      <c r="DZ41" s="84"/>
      <c r="EA41" s="86"/>
      <c r="EB41" s="86"/>
      <c r="EC41" s="131"/>
      <c r="ED41" s="84"/>
      <c r="EE41" s="131"/>
      <c r="EF41" s="84"/>
      <c r="EG41" s="84"/>
      <c r="EH41" s="131"/>
      <c r="EI41" s="84"/>
      <c r="EJ41" s="84"/>
      <c r="EK41" s="84"/>
      <c r="EL41" s="91" t="str">
        <f t="shared" si="7"/>
        <v>No se reportó avance</v>
      </c>
      <c r="EM41" s="83" t="str">
        <f t="shared" si="8"/>
        <v>No se reportó avance</v>
      </c>
      <c r="EN41" s="86"/>
      <c r="EO41" s="93" t="str">
        <f t="shared" si="2"/>
        <v>Producto</v>
      </c>
      <c r="EP41" s="93" t="str">
        <f t="shared" si="3"/>
        <v>7</v>
      </c>
    </row>
    <row r="42" spans="1:149" s="93" customFormat="1" ht="150" customHeight="1">
      <c r="A42" s="84" t="s">
        <v>241</v>
      </c>
      <c r="B42" s="85" t="s">
        <v>376</v>
      </c>
      <c r="C42" s="94" t="s">
        <v>243</v>
      </c>
      <c r="D42" s="94" t="s">
        <v>312</v>
      </c>
      <c r="E42" s="94" t="s">
        <v>245</v>
      </c>
      <c r="F42" s="94" t="s">
        <v>246</v>
      </c>
      <c r="G42" s="94" t="s">
        <v>201</v>
      </c>
      <c r="H42" s="94" t="s">
        <v>201</v>
      </c>
      <c r="I42" s="94" t="s">
        <v>247</v>
      </c>
      <c r="J42" s="84" t="s">
        <v>156</v>
      </c>
      <c r="K42" s="94" t="s">
        <v>377</v>
      </c>
      <c r="L42" s="84">
        <v>4</v>
      </c>
      <c r="M42" s="84" t="s">
        <v>378</v>
      </c>
      <c r="N42" s="84" t="s">
        <v>379</v>
      </c>
      <c r="O42" s="84" t="s">
        <v>401</v>
      </c>
      <c r="P42" s="84" t="s">
        <v>161</v>
      </c>
      <c r="Q42" s="84" t="s">
        <v>275</v>
      </c>
      <c r="R42" s="85">
        <v>0.4</v>
      </c>
      <c r="S42" s="84" t="s">
        <v>402</v>
      </c>
      <c r="T42" s="90">
        <v>45293</v>
      </c>
      <c r="U42" s="90">
        <v>46387</v>
      </c>
      <c r="V42" s="90"/>
      <c r="W42" s="90"/>
      <c r="X42" s="90"/>
      <c r="Y42" s="90"/>
      <c r="Z42" s="90"/>
      <c r="AA42" s="85"/>
      <c r="AB42" s="85"/>
      <c r="AC42" s="85"/>
      <c r="AD42" s="85"/>
      <c r="AE42" s="85"/>
      <c r="AF42" s="90"/>
      <c r="AG42" s="90"/>
      <c r="AH42" s="90"/>
      <c r="AI42" s="90"/>
      <c r="AJ42" s="85"/>
      <c r="AK42" s="126"/>
      <c r="AL42" s="126"/>
      <c r="AM42" s="126"/>
      <c r="AN42" s="126"/>
      <c r="AO42" s="85"/>
      <c r="AP42" s="83"/>
      <c r="AQ42" s="84"/>
      <c r="AR42" s="84"/>
      <c r="AS42" s="84"/>
      <c r="AT42" s="84"/>
      <c r="AU42" s="84"/>
      <c r="AV42" s="84"/>
      <c r="AW42" s="84"/>
      <c r="AX42" s="84"/>
      <c r="AY42" s="84"/>
      <c r="AZ42" s="86"/>
      <c r="BA42" s="84"/>
      <c r="BB42" s="84"/>
      <c r="BC42" s="84"/>
      <c r="BD42" s="84"/>
      <c r="BE42" s="84"/>
      <c r="BF42" s="84"/>
      <c r="BG42" s="84"/>
      <c r="BH42" s="84"/>
      <c r="BI42" s="84"/>
      <c r="BJ42" s="86"/>
      <c r="BK42" s="84"/>
      <c r="BL42" s="86"/>
      <c r="BM42" s="84"/>
      <c r="BN42" s="86"/>
      <c r="BO42" s="84"/>
      <c r="BP42" s="86"/>
      <c r="BQ42" s="84"/>
      <c r="BR42" s="84"/>
      <c r="BS42" s="84"/>
      <c r="BT42" s="84"/>
      <c r="BU42" s="84"/>
      <c r="BV42" s="84"/>
      <c r="BW42" s="84"/>
      <c r="BX42" s="84"/>
      <c r="BY42" s="84"/>
      <c r="BZ42" s="84"/>
      <c r="CA42" s="84"/>
      <c r="CB42" s="84"/>
      <c r="CC42" s="84"/>
      <c r="CD42" s="84"/>
      <c r="CE42" s="84"/>
      <c r="CF42" s="84"/>
      <c r="CG42" s="372"/>
      <c r="CH42" s="372"/>
      <c r="CI42" s="372"/>
      <c r="CJ42" s="83" t="str">
        <f t="shared" si="0"/>
        <v>No aplica</v>
      </c>
      <c r="CK42" s="83" t="str">
        <f t="shared" si="1"/>
        <v>No aplica</v>
      </c>
      <c r="CL42" s="83" t="str">
        <f t="shared" si="4"/>
        <v>No requiere reporte</v>
      </c>
      <c r="CM42" s="89" t="str">
        <f t="shared" si="5"/>
        <v>No requiere reporte</v>
      </c>
      <c r="CN42" s="89" t="str">
        <f t="shared" si="6"/>
        <v>No requiere reporte</v>
      </c>
      <c r="CO42" s="84" t="s">
        <v>417</v>
      </c>
      <c r="CP42" s="84" t="s">
        <v>418</v>
      </c>
      <c r="CQ42" s="84" t="s">
        <v>419</v>
      </c>
      <c r="CR42" s="84" t="s">
        <v>420</v>
      </c>
      <c r="CS42" s="84" t="s">
        <v>421</v>
      </c>
      <c r="CT42" s="84" t="s">
        <v>161</v>
      </c>
      <c r="CU42" s="84" t="s">
        <v>233</v>
      </c>
      <c r="CV42" s="83" t="s">
        <v>182</v>
      </c>
      <c r="CW42" s="84" t="s">
        <v>234</v>
      </c>
      <c r="CX42" s="90">
        <v>46054</v>
      </c>
      <c r="CY42" s="90">
        <v>46387</v>
      </c>
      <c r="CZ42" s="84">
        <v>0</v>
      </c>
      <c r="DA42" s="84">
        <v>1</v>
      </c>
      <c r="DB42" s="84">
        <v>1</v>
      </c>
      <c r="DC42" s="84">
        <v>0</v>
      </c>
      <c r="DD42" s="84">
        <v>2</v>
      </c>
      <c r="DE42" s="84" t="s">
        <v>396</v>
      </c>
      <c r="DF42" s="84" t="s">
        <v>397</v>
      </c>
      <c r="DG42" s="84" t="s">
        <v>398</v>
      </c>
      <c r="DH42" s="362">
        <f>113115000+217810000</f>
        <v>330925000</v>
      </c>
      <c r="DI42" s="84" t="s">
        <v>399</v>
      </c>
      <c r="DJ42" s="84" t="s">
        <v>399</v>
      </c>
      <c r="DK42" s="84" t="s">
        <v>399</v>
      </c>
      <c r="DL42" s="84" t="s">
        <v>279</v>
      </c>
      <c r="DM42" s="94" t="s">
        <v>280</v>
      </c>
      <c r="DN42" s="131"/>
      <c r="DO42" s="86"/>
      <c r="DP42" s="116"/>
      <c r="DQ42" s="86"/>
      <c r="DR42" s="86"/>
      <c r="DS42" s="131"/>
      <c r="DT42" s="86"/>
      <c r="DU42" s="84"/>
      <c r="DV42" s="86"/>
      <c r="DW42" s="86"/>
      <c r="DX42" s="131"/>
      <c r="DY42" s="86"/>
      <c r="DZ42" s="84"/>
      <c r="EA42" s="86"/>
      <c r="EB42" s="86"/>
      <c r="EC42" s="131"/>
      <c r="ED42" s="84"/>
      <c r="EE42" s="131"/>
      <c r="EF42" s="84"/>
      <c r="EG42" s="84"/>
      <c r="EH42" s="131"/>
      <c r="EI42" s="84"/>
      <c r="EJ42" s="84"/>
      <c r="EK42" s="84"/>
      <c r="EL42" s="91" t="str">
        <f t="shared" si="7"/>
        <v>No aplica, no hay meta</v>
      </c>
      <c r="EM42" s="83" t="str">
        <f t="shared" si="8"/>
        <v>No se reportó avance</v>
      </c>
      <c r="EN42" s="86"/>
      <c r="EO42" s="93" t="str">
        <f t="shared" si="2"/>
        <v>Producto</v>
      </c>
      <c r="EP42" s="93" t="str">
        <f t="shared" si="3"/>
        <v>7</v>
      </c>
    </row>
    <row r="43" spans="1:149" s="93" customFormat="1" ht="150" customHeight="1">
      <c r="A43" s="84" t="s">
        <v>241</v>
      </c>
      <c r="B43" s="85" t="s">
        <v>376</v>
      </c>
      <c r="C43" s="94" t="s">
        <v>243</v>
      </c>
      <c r="D43" s="94" t="s">
        <v>312</v>
      </c>
      <c r="E43" s="94" t="s">
        <v>245</v>
      </c>
      <c r="F43" s="94" t="s">
        <v>246</v>
      </c>
      <c r="G43" s="94" t="s">
        <v>201</v>
      </c>
      <c r="H43" s="94" t="s">
        <v>201</v>
      </c>
      <c r="I43" s="94" t="s">
        <v>247</v>
      </c>
      <c r="J43" s="84" t="s">
        <v>156</v>
      </c>
      <c r="K43" s="94" t="s">
        <v>377</v>
      </c>
      <c r="L43" s="84">
        <v>4</v>
      </c>
      <c r="M43" s="84" t="s">
        <v>378</v>
      </c>
      <c r="N43" s="84" t="s">
        <v>379</v>
      </c>
      <c r="O43" s="84" t="s">
        <v>401</v>
      </c>
      <c r="P43" s="84" t="s">
        <v>161</v>
      </c>
      <c r="Q43" s="84" t="s">
        <v>275</v>
      </c>
      <c r="R43" s="85">
        <v>0.4</v>
      </c>
      <c r="S43" s="84" t="s">
        <v>402</v>
      </c>
      <c r="T43" s="90">
        <v>45293</v>
      </c>
      <c r="U43" s="90">
        <v>46387</v>
      </c>
      <c r="V43" s="90"/>
      <c r="W43" s="90"/>
      <c r="X43" s="90"/>
      <c r="Y43" s="90"/>
      <c r="Z43" s="90"/>
      <c r="AA43" s="85"/>
      <c r="AB43" s="85"/>
      <c r="AC43" s="85"/>
      <c r="AD43" s="85"/>
      <c r="AE43" s="85"/>
      <c r="AF43" s="90"/>
      <c r="AG43" s="90"/>
      <c r="AH43" s="90"/>
      <c r="AI43" s="90"/>
      <c r="AJ43" s="85"/>
      <c r="AK43" s="126"/>
      <c r="AL43" s="126"/>
      <c r="AM43" s="126"/>
      <c r="AN43" s="126"/>
      <c r="AO43" s="85"/>
      <c r="AP43" s="83"/>
      <c r="AQ43" s="84"/>
      <c r="AR43" s="84"/>
      <c r="AS43" s="84"/>
      <c r="AT43" s="84"/>
      <c r="AU43" s="84"/>
      <c r="AV43" s="84"/>
      <c r="AW43" s="84"/>
      <c r="AX43" s="84"/>
      <c r="AY43" s="84"/>
      <c r="AZ43" s="86"/>
      <c r="BA43" s="84"/>
      <c r="BB43" s="84"/>
      <c r="BC43" s="84"/>
      <c r="BD43" s="84"/>
      <c r="BE43" s="84"/>
      <c r="BF43" s="84"/>
      <c r="BG43" s="84"/>
      <c r="BH43" s="84"/>
      <c r="BI43" s="84"/>
      <c r="BJ43" s="86"/>
      <c r="BK43" s="84"/>
      <c r="BL43" s="86"/>
      <c r="BM43" s="84"/>
      <c r="BN43" s="86"/>
      <c r="BO43" s="84"/>
      <c r="BP43" s="86"/>
      <c r="BQ43" s="84"/>
      <c r="BR43" s="84"/>
      <c r="BS43" s="84"/>
      <c r="BT43" s="84"/>
      <c r="BU43" s="84"/>
      <c r="BV43" s="84"/>
      <c r="BW43" s="84"/>
      <c r="BX43" s="84"/>
      <c r="BY43" s="84"/>
      <c r="BZ43" s="84"/>
      <c r="CA43" s="84"/>
      <c r="CB43" s="84"/>
      <c r="CC43" s="84"/>
      <c r="CD43" s="84"/>
      <c r="CE43" s="84"/>
      <c r="CF43" s="84"/>
      <c r="CG43" s="372"/>
      <c r="CH43" s="372"/>
      <c r="CI43" s="372"/>
      <c r="CJ43" s="83" t="str">
        <f t="shared" si="0"/>
        <v>No aplica</v>
      </c>
      <c r="CK43" s="83" t="str">
        <f t="shared" si="1"/>
        <v>No aplica</v>
      </c>
      <c r="CL43" s="83" t="str">
        <f t="shared" si="4"/>
        <v>No requiere reporte</v>
      </c>
      <c r="CM43" s="89" t="str">
        <f t="shared" si="5"/>
        <v>No requiere reporte</v>
      </c>
      <c r="CN43" s="89" t="str">
        <f t="shared" si="6"/>
        <v>No requiere reporte</v>
      </c>
      <c r="CO43" s="84" t="s">
        <v>422</v>
      </c>
      <c r="CP43" s="84" t="s">
        <v>423</v>
      </c>
      <c r="CQ43" s="84" t="s">
        <v>424</v>
      </c>
      <c r="CR43" s="84" t="s">
        <v>425</v>
      </c>
      <c r="CS43" s="84" t="s">
        <v>426</v>
      </c>
      <c r="CT43" s="84" t="s">
        <v>200</v>
      </c>
      <c r="CU43" s="84" t="s">
        <v>233</v>
      </c>
      <c r="CV43" s="83" t="s">
        <v>182</v>
      </c>
      <c r="CW43" s="84" t="s">
        <v>234</v>
      </c>
      <c r="CX43" s="90">
        <v>46054</v>
      </c>
      <c r="CY43" s="90">
        <v>46387</v>
      </c>
      <c r="CZ43" s="84">
        <v>0</v>
      </c>
      <c r="DA43" s="84">
        <v>0</v>
      </c>
      <c r="DB43" s="84">
        <v>1</v>
      </c>
      <c r="DC43" s="84">
        <v>0</v>
      </c>
      <c r="DD43" s="84">
        <v>1</v>
      </c>
      <c r="DE43" s="84" t="s">
        <v>396</v>
      </c>
      <c r="DF43" s="84" t="s">
        <v>397</v>
      </c>
      <c r="DG43" s="84" t="s">
        <v>398</v>
      </c>
      <c r="DH43" s="362">
        <v>213460000</v>
      </c>
      <c r="DI43" s="84" t="s">
        <v>399</v>
      </c>
      <c r="DJ43" s="84" t="s">
        <v>399</v>
      </c>
      <c r="DK43" s="84" t="s">
        <v>399</v>
      </c>
      <c r="DL43" s="84" t="s">
        <v>279</v>
      </c>
      <c r="DM43" s="94" t="s">
        <v>280</v>
      </c>
      <c r="DN43" s="131"/>
      <c r="DO43" s="86"/>
      <c r="DP43" s="116"/>
      <c r="DQ43" s="86"/>
      <c r="DR43" s="86"/>
      <c r="DS43" s="131"/>
      <c r="DT43" s="86"/>
      <c r="DU43" s="84"/>
      <c r="DV43" s="86"/>
      <c r="DW43" s="86"/>
      <c r="DX43" s="131"/>
      <c r="DY43" s="86"/>
      <c r="DZ43" s="84"/>
      <c r="EA43" s="86"/>
      <c r="EB43" s="86"/>
      <c r="EC43" s="131"/>
      <c r="ED43" s="84"/>
      <c r="EE43" s="131"/>
      <c r="EF43" s="84"/>
      <c r="EG43" s="84"/>
      <c r="EH43" s="131"/>
      <c r="EI43" s="84"/>
      <c r="EJ43" s="84"/>
      <c r="EK43" s="84"/>
      <c r="EL43" s="91" t="str">
        <f t="shared" si="7"/>
        <v>No aplica, no hay meta</v>
      </c>
      <c r="EM43" s="83" t="str">
        <f t="shared" si="8"/>
        <v>No se reportó avance</v>
      </c>
      <c r="EN43" s="86"/>
    </row>
    <row r="44" spans="1:149" s="93" customFormat="1" ht="150" customHeight="1">
      <c r="A44" s="84" t="s">
        <v>241</v>
      </c>
      <c r="B44" s="85" t="s">
        <v>376</v>
      </c>
      <c r="C44" s="94" t="s">
        <v>243</v>
      </c>
      <c r="D44" s="94" t="s">
        <v>312</v>
      </c>
      <c r="E44" s="94" t="s">
        <v>245</v>
      </c>
      <c r="F44" s="94" t="s">
        <v>246</v>
      </c>
      <c r="G44" s="94" t="s">
        <v>201</v>
      </c>
      <c r="H44" s="94" t="s">
        <v>201</v>
      </c>
      <c r="I44" s="94" t="s">
        <v>247</v>
      </c>
      <c r="J44" s="84" t="s">
        <v>156</v>
      </c>
      <c r="K44" s="94" t="s">
        <v>377</v>
      </c>
      <c r="L44" s="84">
        <v>4</v>
      </c>
      <c r="M44" s="84" t="s">
        <v>378</v>
      </c>
      <c r="N44" s="84" t="s">
        <v>379</v>
      </c>
      <c r="O44" s="84" t="s">
        <v>401</v>
      </c>
      <c r="P44" s="84" t="s">
        <v>161</v>
      </c>
      <c r="Q44" s="84" t="s">
        <v>275</v>
      </c>
      <c r="R44" s="85">
        <v>0.4</v>
      </c>
      <c r="S44" s="84" t="s">
        <v>402</v>
      </c>
      <c r="T44" s="90">
        <v>45293</v>
      </c>
      <c r="U44" s="90">
        <v>46387</v>
      </c>
      <c r="V44" s="90"/>
      <c r="W44" s="90"/>
      <c r="X44" s="90"/>
      <c r="Y44" s="90"/>
      <c r="Z44" s="90"/>
      <c r="AA44" s="85"/>
      <c r="AB44" s="85"/>
      <c r="AC44" s="85"/>
      <c r="AD44" s="85"/>
      <c r="AE44" s="85"/>
      <c r="AF44" s="90"/>
      <c r="AG44" s="90"/>
      <c r="AH44" s="90"/>
      <c r="AI44" s="90"/>
      <c r="AJ44" s="85"/>
      <c r="AK44" s="126"/>
      <c r="AL44" s="126"/>
      <c r="AM44" s="126"/>
      <c r="AN44" s="126"/>
      <c r="AO44" s="85"/>
      <c r="AP44" s="83"/>
      <c r="AQ44" s="84"/>
      <c r="AR44" s="84"/>
      <c r="AS44" s="84"/>
      <c r="AT44" s="84"/>
      <c r="AU44" s="84"/>
      <c r="AV44" s="84"/>
      <c r="AW44" s="84"/>
      <c r="AX44" s="84"/>
      <c r="AY44" s="84"/>
      <c r="AZ44" s="86"/>
      <c r="BA44" s="84"/>
      <c r="BB44" s="84"/>
      <c r="BC44" s="84"/>
      <c r="BD44" s="84"/>
      <c r="BE44" s="84"/>
      <c r="BF44" s="84"/>
      <c r="BG44" s="84"/>
      <c r="BH44" s="84"/>
      <c r="BI44" s="84"/>
      <c r="BJ44" s="86"/>
      <c r="BK44" s="84"/>
      <c r="BL44" s="86"/>
      <c r="BM44" s="84"/>
      <c r="BN44" s="86"/>
      <c r="BO44" s="84"/>
      <c r="BP44" s="86"/>
      <c r="BQ44" s="84"/>
      <c r="BR44" s="84"/>
      <c r="BS44" s="84"/>
      <c r="BT44" s="84"/>
      <c r="BU44" s="84"/>
      <c r="BV44" s="84"/>
      <c r="BW44" s="84"/>
      <c r="BX44" s="84"/>
      <c r="BY44" s="84"/>
      <c r="BZ44" s="84"/>
      <c r="CA44" s="84"/>
      <c r="CB44" s="84"/>
      <c r="CC44" s="84"/>
      <c r="CD44" s="84"/>
      <c r="CE44" s="84"/>
      <c r="CF44" s="84"/>
      <c r="CG44" s="372"/>
      <c r="CH44" s="372"/>
      <c r="CI44" s="372"/>
      <c r="CJ44" s="83" t="str">
        <f t="shared" si="0"/>
        <v>No aplica</v>
      </c>
      <c r="CK44" s="83" t="str">
        <f t="shared" si="1"/>
        <v>No aplica</v>
      </c>
      <c r="CL44" s="83" t="str">
        <f t="shared" si="4"/>
        <v>No requiere reporte</v>
      </c>
      <c r="CM44" s="89" t="str">
        <f t="shared" si="5"/>
        <v>No requiere reporte</v>
      </c>
      <c r="CN44" s="89" t="str">
        <f t="shared" si="6"/>
        <v>No requiere reporte</v>
      </c>
      <c r="CO44" s="84" t="s">
        <v>427</v>
      </c>
      <c r="CP44" s="94" t="s">
        <v>428</v>
      </c>
      <c r="CQ44" s="768" t="s">
        <v>429</v>
      </c>
      <c r="CR44" s="768" t="s">
        <v>430</v>
      </c>
      <c r="CS44" s="768" t="s">
        <v>431</v>
      </c>
      <c r="CT44" s="678" t="s">
        <v>161</v>
      </c>
      <c r="CU44" s="84" t="s">
        <v>233</v>
      </c>
      <c r="CV44" s="83" t="s">
        <v>182</v>
      </c>
      <c r="CW44" s="84" t="s">
        <v>234</v>
      </c>
      <c r="CX44" s="680">
        <v>46023</v>
      </c>
      <c r="CY44" s="680">
        <v>46387</v>
      </c>
      <c r="CZ44" s="122">
        <v>0</v>
      </c>
      <c r="DA44" s="122">
        <v>0</v>
      </c>
      <c r="DB44" s="122">
        <v>0</v>
      </c>
      <c r="DC44" s="122">
        <v>1</v>
      </c>
      <c r="DD44" s="122">
        <f t="shared" ref="DD44" si="9">SUBTOTAL(9,CZ44:DC44)</f>
        <v>1</v>
      </c>
      <c r="DE44" s="84" t="s">
        <v>182</v>
      </c>
      <c r="DF44" s="84" t="s">
        <v>182</v>
      </c>
      <c r="DG44" s="84" t="s">
        <v>182</v>
      </c>
      <c r="DH44" s="362">
        <v>0</v>
      </c>
      <c r="DI44" s="84" t="s">
        <v>399</v>
      </c>
      <c r="DJ44" s="84" t="s">
        <v>432</v>
      </c>
      <c r="DK44" s="84" t="s">
        <v>433</v>
      </c>
      <c r="DL44" s="84" t="s">
        <v>280</v>
      </c>
      <c r="DM44" s="94" t="s">
        <v>280</v>
      </c>
      <c r="DN44" s="131"/>
      <c r="DO44" s="86"/>
      <c r="DP44" s="116"/>
      <c r="DQ44" s="86"/>
      <c r="DR44" s="86"/>
      <c r="DS44" s="131"/>
      <c r="DT44" s="86"/>
      <c r="DU44" s="84"/>
      <c r="DV44" s="86"/>
      <c r="DW44" s="86"/>
      <c r="DX44" s="131"/>
      <c r="DY44" s="86"/>
      <c r="DZ44" s="84"/>
      <c r="EA44" s="86"/>
      <c r="EB44" s="86"/>
      <c r="EC44" s="131"/>
      <c r="ED44" s="84"/>
      <c r="EE44" s="131"/>
      <c r="EF44" s="84"/>
      <c r="EG44" s="84"/>
      <c r="EH44" s="131"/>
      <c r="EI44" s="84"/>
      <c r="EJ44" s="84"/>
      <c r="EK44" s="84"/>
      <c r="EL44" s="91" t="str">
        <f t="shared" si="7"/>
        <v>No aplica, no hay meta</v>
      </c>
      <c r="EM44" s="83" t="str">
        <f t="shared" si="8"/>
        <v>No se reportó avance</v>
      </c>
      <c r="EN44" s="86"/>
    </row>
    <row r="45" spans="1:149" s="93" customFormat="1" ht="150" customHeight="1">
      <c r="A45" s="84" t="s">
        <v>241</v>
      </c>
      <c r="B45" s="85" t="s">
        <v>376</v>
      </c>
      <c r="C45" s="94" t="s">
        <v>243</v>
      </c>
      <c r="D45" s="94" t="s">
        <v>312</v>
      </c>
      <c r="E45" s="94" t="s">
        <v>245</v>
      </c>
      <c r="F45" s="94" t="s">
        <v>246</v>
      </c>
      <c r="G45" s="94" t="s">
        <v>201</v>
      </c>
      <c r="H45" s="94" t="s">
        <v>201</v>
      </c>
      <c r="I45" s="94" t="s">
        <v>247</v>
      </c>
      <c r="J45" s="84" t="s">
        <v>156</v>
      </c>
      <c r="K45" s="94" t="s">
        <v>377</v>
      </c>
      <c r="L45" s="84">
        <v>4</v>
      </c>
      <c r="M45" s="84" t="s">
        <v>378</v>
      </c>
      <c r="N45" s="84" t="s">
        <v>379</v>
      </c>
      <c r="O45" s="84" t="s">
        <v>401</v>
      </c>
      <c r="P45" s="84" t="s">
        <v>161</v>
      </c>
      <c r="Q45" s="84" t="s">
        <v>275</v>
      </c>
      <c r="R45" s="85">
        <v>0.4</v>
      </c>
      <c r="S45" s="84" t="s">
        <v>402</v>
      </c>
      <c r="T45" s="90">
        <v>45293</v>
      </c>
      <c r="U45" s="90">
        <v>46387</v>
      </c>
      <c r="V45" s="90"/>
      <c r="W45" s="90"/>
      <c r="X45" s="90"/>
      <c r="Y45" s="90"/>
      <c r="Z45" s="90"/>
      <c r="AA45" s="85"/>
      <c r="AB45" s="85"/>
      <c r="AC45" s="85"/>
      <c r="AD45" s="85"/>
      <c r="AE45" s="85"/>
      <c r="AF45" s="90"/>
      <c r="AG45" s="90"/>
      <c r="AH45" s="90"/>
      <c r="AI45" s="90"/>
      <c r="AJ45" s="85"/>
      <c r="AK45" s="126"/>
      <c r="AL45" s="126"/>
      <c r="AM45" s="126"/>
      <c r="AN45" s="126"/>
      <c r="AO45" s="85"/>
      <c r="AP45" s="83"/>
      <c r="AQ45" s="84"/>
      <c r="AR45" s="84"/>
      <c r="AS45" s="84"/>
      <c r="AT45" s="84"/>
      <c r="AU45" s="84"/>
      <c r="AV45" s="84"/>
      <c r="AW45" s="84"/>
      <c r="AX45" s="84"/>
      <c r="AY45" s="84"/>
      <c r="AZ45" s="86"/>
      <c r="BA45" s="84"/>
      <c r="BB45" s="84"/>
      <c r="BC45" s="84"/>
      <c r="BD45" s="84"/>
      <c r="BE45" s="84"/>
      <c r="BF45" s="84"/>
      <c r="BG45" s="84"/>
      <c r="BH45" s="84"/>
      <c r="BI45" s="84"/>
      <c r="BJ45" s="86"/>
      <c r="BK45" s="84"/>
      <c r="BL45" s="86"/>
      <c r="BM45" s="84"/>
      <c r="BN45" s="86"/>
      <c r="BO45" s="84"/>
      <c r="BP45" s="86"/>
      <c r="BQ45" s="84"/>
      <c r="BR45" s="84"/>
      <c r="BS45" s="84"/>
      <c r="BT45" s="84"/>
      <c r="BU45" s="84"/>
      <c r="BV45" s="84"/>
      <c r="BW45" s="84"/>
      <c r="BX45" s="84"/>
      <c r="BY45" s="84"/>
      <c r="BZ45" s="84"/>
      <c r="CA45" s="84"/>
      <c r="CB45" s="84"/>
      <c r="CC45" s="84"/>
      <c r="CD45" s="84"/>
      <c r="CE45" s="84"/>
      <c r="CF45" s="84"/>
      <c r="CG45" s="372"/>
      <c r="CH45" s="372"/>
      <c r="CI45" s="372"/>
      <c r="CJ45" s="83" t="str">
        <f t="shared" si="0"/>
        <v>No aplica</v>
      </c>
      <c r="CK45" s="83" t="str">
        <f t="shared" si="1"/>
        <v>No aplica</v>
      </c>
      <c r="CL45" s="83" t="str">
        <f t="shared" si="4"/>
        <v>No requiere reporte</v>
      </c>
      <c r="CM45" s="89" t="str">
        <f t="shared" si="5"/>
        <v>No requiere reporte</v>
      </c>
      <c r="CN45" s="89" t="str">
        <f t="shared" si="6"/>
        <v>No requiere reporte</v>
      </c>
      <c r="CO45" s="84" t="s">
        <v>434</v>
      </c>
      <c r="CP45" s="84" t="s">
        <v>435</v>
      </c>
      <c r="CQ45" s="768" t="s">
        <v>436</v>
      </c>
      <c r="CR45" s="768" t="s">
        <v>437</v>
      </c>
      <c r="CS45" s="768" t="s">
        <v>438</v>
      </c>
      <c r="CT45" s="678" t="s">
        <v>161</v>
      </c>
      <c r="CU45" s="94" t="s">
        <v>233</v>
      </c>
      <c r="CV45" s="83" t="s">
        <v>182</v>
      </c>
      <c r="CW45" s="678" t="s">
        <v>163</v>
      </c>
      <c r="CX45" s="680">
        <v>46023</v>
      </c>
      <c r="CY45" s="680">
        <v>46387</v>
      </c>
      <c r="CZ45" s="114">
        <v>0</v>
      </c>
      <c r="DA45" s="114">
        <v>0.5</v>
      </c>
      <c r="DB45" s="114">
        <v>0</v>
      </c>
      <c r="DC45" s="114">
        <v>0.5</v>
      </c>
      <c r="DD45" s="146">
        <v>1</v>
      </c>
      <c r="DE45" s="84" t="s">
        <v>182</v>
      </c>
      <c r="DF45" s="84" t="s">
        <v>182</v>
      </c>
      <c r="DG45" s="84" t="s">
        <v>182</v>
      </c>
      <c r="DH45" s="362">
        <v>0</v>
      </c>
      <c r="DI45" s="84" t="s">
        <v>399</v>
      </c>
      <c r="DJ45" s="84" t="s">
        <v>432</v>
      </c>
      <c r="DK45" s="84" t="s">
        <v>433</v>
      </c>
      <c r="DL45" s="84" t="s">
        <v>280</v>
      </c>
      <c r="DM45" s="94" t="s">
        <v>280</v>
      </c>
      <c r="DN45" s="131"/>
      <c r="DO45" s="86"/>
      <c r="DP45" s="116"/>
      <c r="DQ45" s="86"/>
      <c r="DR45" s="86"/>
      <c r="DS45" s="131"/>
      <c r="DT45" s="86"/>
      <c r="DU45" s="84"/>
      <c r="DV45" s="86"/>
      <c r="DW45" s="86"/>
      <c r="DX45" s="131"/>
      <c r="DY45" s="86"/>
      <c r="DZ45" s="84"/>
      <c r="EA45" s="86"/>
      <c r="EB45" s="86"/>
      <c r="EC45" s="131"/>
      <c r="ED45" s="84"/>
      <c r="EE45" s="131"/>
      <c r="EF45" s="84"/>
      <c r="EG45" s="84"/>
      <c r="EH45" s="131"/>
      <c r="EI45" s="84"/>
      <c r="EJ45" s="84"/>
      <c r="EK45" s="84"/>
      <c r="EL45" s="91" t="str">
        <f t="shared" si="7"/>
        <v>No aplica, no hay meta</v>
      </c>
      <c r="EM45" s="83" t="str">
        <f t="shared" si="8"/>
        <v>No se reportó avance</v>
      </c>
      <c r="EN45" s="86"/>
    </row>
    <row r="46" spans="1:149" s="93" customFormat="1" ht="144" customHeight="1">
      <c r="A46" s="133" t="s">
        <v>241</v>
      </c>
      <c r="B46" s="134" t="s">
        <v>376</v>
      </c>
      <c r="C46" s="135" t="s">
        <v>243</v>
      </c>
      <c r="D46" s="135" t="s">
        <v>312</v>
      </c>
      <c r="E46" s="135" t="s">
        <v>245</v>
      </c>
      <c r="F46" s="135" t="s">
        <v>246</v>
      </c>
      <c r="G46" s="135" t="s">
        <v>201</v>
      </c>
      <c r="H46" s="135" t="s">
        <v>201</v>
      </c>
      <c r="I46" s="135" t="s">
        <v>247</v>
      </c>
      <c r="J46" s="133" t="s">
        <v>156</v>
      </c>
      <c r="K46" s="135" t="s">
        <v>377</v>
      </c>
      <c r="L46" s="133">
        <v>4</v>
      </c>
      <c r="M46" s="133" t="s">
        <v>378</v>
      </c>
      <c r="N46" s="133" t="s">
        <v>379</v>
      </c>
      <c r="O46" s="133" t="s">
        <v>401</v>
      </c>
      <c r="P46" s="133" t="s">
        <v>161</v>
      </c>
      <c r="Q46" s="133" t="s">
        <v>275</v>
      </c>
      <c r="R46" s="134">
        <v>0.4</v>
      </c>
      <c r="S46" s="133" t="s">
        <v>402</v>
      </c>
      <c r="T46" s="136">
        <v>45293</v>
      </c>
      <c r="U46" s="136">
        <v>46387</v>
      </c>
      <c r="Z46" s="137"/>
      <c r="AA46" s="131"/>
      <c r="AB46" s="131"/>
      <c r="AC46" s="131"/>
      <c r="AD46" s="131"/>
      <c r="AE46" s="137"/>
      <c r="AF46" s="137"/>
      <c r="AG46" s="131"/>
      <c r="AH46" s="131"/>
      <c r="AI46" s="131"/>
      <c r="AJ46" s="137"/>
      <c r="AK46" s="137"/>
      <c r="AL46" s="137"/>
      <c r="AM46" s="137"/>
      <c r="AN46" s="137"/>
      <c r="AO46" s="137"/>
      <c r="AP46" s="137"/>
      <c r="AQ46" s="131"/>
      <c r="AR46" s="131"/>
      <c r="AS46" s="131"/>
      <c r="AT46" s="131"/>
      <c r="AU46" s="131"/>
      <c r="AV46" s="131"/>
      <c r="AW46" s="131"/>
      <c r="AX46" s="131"/>
      <c r="AY46" s="137"/>
      <c r="AZ46" s="137"/>
      <c r="BA46" s="131"/>
      <c r="BB46" s="131"/>
      <c r="BC46" s="131"/>
      <c r="BD46" s="131"/>
      <c r="BE46" s="131"/>
      <c r="BF46" s="131"/>
      <c r="BG46" s="131"/>
      <c r="BH46" s="131"/>
      <c r="BI46" s="137"/>
      <c r="BJ46" s="137"/>
      <c r="BK46" s="137"/>
      <c r="BL46" s="137"/>
      <c r="BM46" s="137"/>
      <c r="BN46" s="137"/>
      <c r="BO46" s="137"/>
      <c r="BP46" s="137"/>
      <c r="BQ46" s="131"/>
      <c r="BR46" s="131"/>
      <c r="BS46" s="137"/>
      <c r="BT46" s="131"/>
      <c r="BU46" s="131"/>
      <c r="BV46" s="131"/>
      <c r="BW46" s="131"/>
      <c r="BX46" s="131"/>
      <c r="BY46" s="131"/>
      <c r="BZ46" s="131"/>
      <c r="CA46" s="131"/>
      <c r="CB46" s="131"/>
      <c r="CC46" s="131"/>
      <c r="CD46" s="131"/>
      <c r="CE46" s="137"/>
      <c r="CF46" s="131"/>
      <c r="CG46" s="137"/>
      <c r="CH46" s="137"/>
      <c r="CI46" s="137"/>
      <c r="CJ46" s="138" t="str">
        <f t="shared" si="0"/>
        <v>No aplica</v>
      </c>
      <c r="CK46" s="138" t="str">
        <f t="shared" si="1"/>
        <v>No aplica</v>
      </c>
      <c r="CL46" s="83" t="str">
        <f t="shared" si="4"/>
        <v>No requiere reporte</v>
      </c>
      <c r="CM46" s="89" t="str">
        <f t="shared" si="5"/>
        <v>No requiere reporte</v>
      </c>
      <c r="CN46" s="89" t="str">
        <f t="shared" si="6"/>
        <v>No requiere reporte</v>
      </c>
      <c r="CO46" s="137" t="s">
        <v>439</v>
      </c>
      <c r="CP46" s="133" t="s">
        <v>440</v>
      </c>
      <c r="CQ46" s="133" t="s">
        <v>441</v>
      </c>
      <c r="CR46" s="137" t="s">
        <v>442</v>
      </c>
      <c r="CS46" s="133" t="s">
        <v>443</v>
      </c>
      <c r="CT46" s="137" t="s">
        <v>200</v>
      </c>
      <c r="CU46" s="137" t="s">
        <v>233</v>
      </c>
      <c r="CV46" s="83" t="s">
        <v>182</v>
      </c>
      <c r="CW46" s="137" t="s">
        <v>234</v>
      </c>
      <c r="CX46" s="769">
        <v>46023</v>
      </c>
      <c r="CY46" s="769">
        <v>46295</v>
      </c>
      <c r="CZ46" s="137">
        <v>0</v>
      </c>
      <c r="DA46" s="137">
        <v>0</v>
      </c>
      <c r="DB46" s="137">
        <v>2</v>
      </c>
      <c r="DC46" s="137">
        <v>0</v>
      </c>
      <c r="DD46" s="137">
        <f>SUM(CZ46:DC46)</f>
        <v>2</v>
      </c>
      <c r="DE46" s="137" t="s">
        <v>182</v>
      </c>
      <c r="DF46" s="137" t="s">
        <v>182</v>
      </c>
      <c r="DG46" s="137" t="s">
        <v>182</v>
      </c>
      <c r="DH46" s="621">
        <v>0</v>
      </c>
      <c r="DI46" s="135" t="s">
        <v>268</v>
      </c>
      <c r="DJ46" s="133" t="s">
        <v>269</v>
      </c>
      <c r="DK46" s="137"/>
      <c r="DL46" s="137" t="s">
        <v>337</v>
      </c>
      <c r="DM46" s="137"/>
      <c r="EL46" s="91" t="str">
        <f t="shared" si="7"/>
        <v>No aplica, no hay meta</v>
      </c>
      <c r="EM46" s="83" t="str">
        <f t="shared" si="8"/>
        <v>No se reportó avance</v>
      </c>
      <c r="EN46" s="131"/>
    </row>
    <row r="47" spans="1:149" s="93" customFormat="1" ht="96">
      <c r="A47" s="84" t="s">
        <v>241</v>
      </c>
      <c r="B47" s="85" t="s">
        <v>376</v>
      </c>
      <c r="C47" s="94" t="s">
        <v>243</v>
      </c>
      <c r="D47" s="94" t="s">
        <v>312</v>
      </c>
      <c r="E47" s="94" t="s">
        <v>245</v>
      </c>
      <c r="F47" s="94" t="s">
        <v>246</v>
      </c>
      <c r="G47" s="94" t="s">
        <v>201</v>
      </c>
      <c r="H47" s="94" t="s">
        <v>201</v>
      </c>
      <c r="I47" s="94" t="s">
        <v>247</v>
      </c>
      <c r="J47" s="84" t="s">
        <v>156</v>
      </c>
      <c r="K47" s="94" t="s">
        <v>377</v>
      </c>
      <c r="L47" s="84">
        <v>4</v>
      </c>
      <c r="M47" s="84" t="s">
        <v>378</v>
      </c>
      <c r="N47" s="84" t="s">
        <v>379</v>
      </c>
      <c r="O47" s="84" t="s">
        <v>401</v>
      </c>
      <c r="P47" s="84" t="s">
        <v>161</v>
      </c>
      <c r="Q47" s="84" t="s">
        <v>275</v>
      </c>
      <c r="R47" s="85">
        <v>0.4</v>
      </c>
      <c r="S47" s="84" t="s">
        <v>402</v>
      </c>
      <c r="T47" s="90">
        <v>45293</v>
      </c>
      <c r="U47" s="90">
        <v>46387</v>
      </c>
      <c r="Z47" s="131"/>
      <c r="AE47" s="131"/>
      <c r="AF47" s="131"/>
      <c r="AJ47" s="131"/>
      <c r="AK47" s="131"/>
      <c r="AL47" s="131"/>
      <c r="AM47" s="131"/>
      <c r="AN47" s="131"/>
      <c r="AO47" s="131"/>
      <c r="AP47" s="131"/>
      <c r="AY47" s="131"/>
      <c r="AZ47" s="131"/>
      <c r="BI47" s="131"/>
      <c r="BJ47" s="131"/>
      <c r="BK47" s="131"/>
      <c r="BL47" s="131"/>
      <c r="BM47" s="131"/>
      <c r="BN47" s="131"/>
      <c r="BO47" s="131"/>
      <c r="BP47" s="131"/>
      <c r="BS47" s="131"/>
      <c r="CE47" s="131"/>
      <c r="CG47" s="131"/>
      <c r="CH47" s="131"/>
      <c r="CI47" s="131"/>
      <c r="CJ47" s="83" t="str">
        <f t="shared" si="0"/>
        <v>No aplica</v>
      </c>
      <c r="CK47" s="83" t="str">
        <f t="shared" si="1"/>
        <v>No aplica</v>
      </c>
      <c r="CL47" s="83" t="str">
        <f t="shared" si="4"/>
        <v>No requiere reporte</v>
      </c>
      <c r="CM47" s="89" t="str">
        <f t="shared" si="5"/>
        <v>No requiere reporte</v>
      </c>
      <c r="CN47" s="89" t="str">
        <f t="shared" si="6"/>
        <v>No requiere reporte</v>
      </c>
      <c r="CO47" s="131" t="s">
        <v>444</v>
      </c>
      <c r="CP47" s="84" t="s">
        <v>445</v>
      </c>
      <c r="CQ47" s="84" t="s">
        <v>446</v>
      </c>
      <c r="CR47" s="84" t="s">
        <v>447</v>
      </c>
      <c r="CS47" s="84" t="s">
        <v>448</v>
      </c>
      <c r="CT47" s="131" t="s">
        <v>161</v>
      </c>
      <c r="CU47" s="131" t="s">
        <v>233</v>
      </c>
      <c r="CV47" s="83" t="s">
        <v>182</v>
      </c>
      <c r="CW47" s="131" t="s">
        <v>234</v>
      </c>
      <c r="CX47" s="139">
        <v>46037</v>
      </c>
      <c r="CY47" s="139">
        <v>46387</v>
      </c>
      <c r="CZ47" s="131">
        <v>0</v>
      </c>
      <c r="DA47" s="131">
        <v>0</v>
      </c>
      <c r="DB47" s="131">
        <v>0</v>
      </c>
      <c r="DC47" s="131">
        <v>1</v>
      </c>
      <c r="DD47" s="131">
        <v>1</v>
      </c>
      <c r="DE47" s="84" t="s">
        <v>396</v>
      </c>
      <c r="DF47" s="84" t="s">
        <v>397</v>
      </c>
      <c r="DG47" s="84" t="s">
        <v>398</v>
      </c>
      <c r="DH47" s="622">
        <v>10000000</v>
      </c>
      <c r="DI47" s="84" t="s">
        <v>399</v>
      </c>
      <c r="DJ47" s="84" t="s">
        <v>399</v>
      </c>
      <c r="DK47" s="84" t="s">
        <v>399</v>
      </c>
      <c r="DL47" s="84" t="s">
        <v>279</v>
      </c>
      <c r="DM47" s="131" t="s">
        <v>280</v>
      </c>
      <c r="EL47" s="91" t="str">
        <f t="shared" si="7"/>
        <v>No aplica, no hay meta</v>
      </c>
      <c r="EM47" s="83" t="str">
        <f t="shared" si="8"/>
        <v>No se reportó avance</v>
      </c>
      <c r="EN47" s="131"/>
    </row>
    <row r="48" spans="1:149" ht="150" customHeight="1">
      <c r="A48" s="74" t="s">
        <v>449</v>
      </c>
      <c r="B48" s="75" t="s">
        <v>450</v>
      </c>
      <c r="C48" s="75" t="s">
        <v>451</v>
      </c>
      <c r="D48" s="75" t="s">
        <v>452</v>
      </c>
      <c r="E48" s="75" t="s">
        <v>453</v>
      </c>
      <c r="F48" s="74" t="s">
        <v>201</v>
      </c>
      <c r="G48" s="74" t="s">
        <v>201</v>
      </c>
      <c r="H48" s="75" t="s">
        <v>201</v>
      </c>
      <c r="I48" s="74" t="s">
        <v>454</v>
      </c>
      <c r="J48" s="74" t="s">
        <v>455</v>
      </c>
      <c r="K48" s="140" t="s">
        <v>456</v>
      </c>
      <c r="L48" s="78">
        <v>1</v>
      </c>
      <c r="M48" s="78" t="s">
        <v>457</v>
      </c>
      <c r="N48" s="78" t="s">
        <v>458</v>
      </c>
      <c r="O48" s="78" t="s">
        <v>459</v>
      </c>
      <c r="P48" s="78" t="s">
        <v>200</v>
      </c>
      <c r="Q48" s="78" t="s">
        <v>162</v>
      </c>
      <c r="R48" s="82">
        <v>1</v>
      </c>
      <c r="S48" s="78" t="s">
        <v>163</v>
      </c>
      <c r="T48" s="141">
        <v>44927</v>
      </c>
      <c r="U48" s="141">
        <v>46387</v>
      </c>
      <c r="V48" s="75">
        <v>1</v>
      </c>
      <c r="W48" s="75">
        <v>1</v>
      </c>
      <c r="X48" s="75">
        <v>1</v>
      </c>
      <c r="Y48" s="75">
        <v>1</v>
      </c>
      <c r="Z48" s="79">
        <v>1</v>
      </c>
      <c r="AA48" s="75">
        <v>1</v>
      </c>
      <c r="AB48" s="75">
        <v>1</v>
      </c>
      <c r="AC48" s="75">
        <v>1</v>
      </c>
      <c r="AD48" s="75">
        <v>1</v>
      </c>
      <c r="AE48" s="79">
        <v>1</v>
      </c>
      <c r="AF48" s="79">
        <v>1</v>
      </c>
      <c r="AG48" s="79">
        <v>1</v>
      </c>
      <c r="AH48" s="79">
        <v>1</v>
      </c>
      <c r="AI48" s="79">
        <v>1</v>
      </c>
      <c r="AJ48" s="79">
        <v>1</v>
      </c>
      <c r="AK48" s="142">
        <v>1</v>
      </c>
      <c r="AL48" s="142">
        <v>1</v>
      </c>
      <c r="AM48" s="142">
        <v>1</v>
      </c>
      <c r="AN48" s="142">
        <v>1</v>
      </c>
      <c r="AO48" s="79">
        <v>1</v>
      </c>
      <c r="AP48" s="79">
        <v>1</v>
      </c>
      <c r="AQ48" s="83">
        <f>(6/6)*1</f>
        <v>1</v>
      </c>
      <c r="AR48" s="673" t="s">
        <v>460</v>
      </c>
      <c r="AS48" s="83">
        <f>9/9</f>
        <v>1</v>
      </c>
      <c r="AT48" s="673" t="s">
        <v>461</v>
      </c>
      <c r="AU48" s="83">
        <f>10/10</f>
        <v>1</v>
      </c>
      <c r="AV48" s="673" t="s">
        <v>462</v>
      </c>
      <c r="AW48" s="83">
        <f>(14/14)*1</f>
        <v>1</v>
      </c>
      <c r="AX48" s="673" t="s">
        <v>463</v>
      </c>
      <c r="AY48" s="83">
        <f>(39/39)*1</f>
        <v>1</v>
      </c>
      <c r="AZ48" s="86" t="s">
        <v>464</v>
      </c>
      <c r="BA48" s="85">
        <v>1</v>
      </c>
      <c r="BB48" s="86" t="s">
        <v>465</v>
      </c>
      <c r="BC48" s="85">
        <v>1</v>
      </c>
      <c r="BD48" s="86" t="s">
        <v>466</v>
      </c>
      <c r="BE48" s="85">
        <v>1</v>
      </c>
      <c r="BF48" s="86" t="s">
        <v>467</v>
      </c>
      <c r="BG48" s="85">
        <v>1</v>
      </c>
      <c r="BH48" s="85" t="s">
        <v>468</v>
      </c>
      <c r="BI48" s="85">
        <v>1</v>
      </c>
      <c r="BJ48" s="143" t="s">
        <v>469</v>
      </c>
      <c r="BK48" s="85">
        <f>2/2*100%</f>
        <v>1</v>
      </c>
      <c r="BL48" s="143" t="s">
        <v>470</v>
      </c>
      <c r="BM48" s="85">
        <f>(2/2)*100%</f>
        <v>1</v>
      </c>
      <c r="BN48" s="85" t="s">
        <v>471</v>
      </c>
      <c r="BO48" s="85">
        <f>(2/2)*100%</f>
        <v>1</v>
      </c>
      <c r="BP48" s="85" t="s">
        <v>472</v>
      </c>
      <c r="BQ48" s="85"/>
      <c r="BR48" s="85"/>
      <c r="BS48" s="144">
        <f>+SUM(BO48,BM48,BK48)/SUM(AF48:AI48)</f>
        <v>0.75</v>
      </c>
      <c r="BT48" s="85"/>
      <c r="BU48" s="85"/>
      <c r="BV48" s="85"/>
      <c r="BW48" s="85"/>
      <c r="BX48" s="85"/>
      <c r="BY48" s="85"/>
      <c r="BZ48" s="85"/>
      <c r="CA48" s="85"/>
      <c r="CB48" s="85"/>
      <c r="CC48" s="85"/>
      <c r="CD48" s="85"/>
      <c r="CE48" s="83">
        <f>+BS48</f>
        <v>0.75</v>
      </c>
      <c r="CF48" s="85"/>
      <c r="CG48" s="362">
        <f>SUM(DH48:DH49)</f>
        <v>844558324</v>
      </c>
      <c r="CH48" s="372"/>
      <c r="CI48" s="372"/>
      <c r="CJ48" s="83">
        <f t="shared" si="0"/>
        <v>0</v>
      </c>
      <c r="CK48" s="83">
        <f t="shared" si="1"/>
        <v>0</v>
      </c>
      <c r="CL48" s="83" t="str">
        <f t="shared" si="4"/>
        <v>No se reportó avance</v>
      </c>
      <c r="CM48" s="89" t="str">
        <f t="shared" si="5"/>
        <v>No se reportó avance</v>
      </c>
      <c r="CN48" s="89">
        <f t="shared" si="6"/>
        <v>0.75</v>
      </c>
      <c r="CO48" s="145" t="s">
        <v>177</v>
      </c>
      <c r="CP48" s="677" t="s">
        <v>473</v>
      </c>
      <c r="CQ48" s="145" t="s">
        <v>474</v>
      </c>
      <c r="CR48" s="677" t="s">
        <v>475</v>
      </c>
      <c r="CS48" s="677" t="s">
        <v>476</v>
      </c>
      <c r="CT48" s="145" t="s">
        <v>200</v>
      </c>
      <c r="CU48" s="145" t="s">
        <v>162</v>
      </c>
      <c r="CV48" s="146">
        <v>1</v>
      </c>
      <c r="CW48" s="145" t="s">
        <v>163</v>
      </c>
      <c r="CX48" s="663">
        <v>46023</v>
      </c>
      <c r="CY48" s="663">
        <v>46387</v>
      </c>
      <c r="CZ48" s="146">
        <v>1</v>
      </c>
      <c r="DA48" s="146">
        <v>1</v>
      </c>
      <c r="DB48" s="146">
        <v>1</v>
      </c>
      <c r="DC48" s="146">
        <v>1</v>
      </c>
      <c r="DD48" s="146">
        <v>1</v>
      </c>
      <c r="DE48" s="145" t="s">
        <v>265</v>
      </c>
      <c r="DF48" s="145" t="s">
        <v>477</v>
      </c>
      <c r="DG48" s="145" t="s">
        <v>478</v>
      </c>
      <c r="DH48" s="465">
        <v>511258176</v>
      </c>
      <c r="DI48" s="145" t="s">
        <v>479</v>
      </c>
      <c r="DJ48" s="145" t="s">
        <v>480</v>
      </c>
      <c r="DK48" s="145" t="s">
        <v>481</v>
      </c>
      <c r="DL48" s="145" t="s">
        <v>482</v>
      </c>
      <c r="DM48" s="759"/>
      <c r="DN48" s="85"/>
      <c r="DO48" s="86"/>
      <c r="DP48" s="148"/>
      <c r="DQ48" s="84"/>
      <c r="DR48" s="84"/>
      <c r="DS48" s="85"/>
      <c r="DT48" s="86"/>
      <c r="DU48" s="149"/>
      <c r="DV48" s="86"/>
      <c r="DW48" s="86"/>
      <c r="DX48" s="85"/>
      <c r="DY48" s="86"/>
      <c r="DZ48" s="150"/>
      <c r="EA48" s="86"/>
      <c r="EB48" s="86"/>
      <c r="EC48" s="85"/>
      <c r="ED48" s="86"/>
      <c r="EE48" s="86"/>
      <c r="EF48" s="86"/>
      <c r="EG48" s="86"/>
      <c r="EH48" s="83"/>
      <c r="EI48" s="86"/>
      <c r="EJ48" s="86"/>
      <c r="EK48" s="86"/>
      <c r="EL48" s="91" t="str">
        <f t="shared" si="7"/>
        <v>No se reportó avance</v>
      </c>
      <c r="EM48" s="83" t="str">
        <f t="shared" si="8"/>
        <v>No se reportó avance</v>
      </c>
      <c r="EN48" s="86"/>
      <c r="EO48" s="93" t="str">
        <f t="shared" ref="EO48:EO63" si="10">+IF(OR(P48="Producto",P48="Resultado",P48="Impacto"),"Producto",P48)</f>
        <v>Gestión</v>
      </c>
      <c r="EP48" s="93" t="str">
        <f t="shared" ref="EP48:EP63" si="11">+MID(J48,1,1)</f>
        <v>7</v>
      </c>
    </row>
    <row r="49" spans="1:146" ht="150" customHeight="1">
      <c r="A49" s="84" t="s">
        <v>449</v>
      </c>
      <c r="B49" s="85" t="s">
        <v>450</v>
      </c>
      <c r="C49" s="85" t="s">
        <v>451</v>
      </c>
      <c r="D49" s="85" t="s">
        <v>452</v>
      </c>
      <c r="E49" s="85" t="s">
        <v>453</v>
      </c>
      <c r="F49" s="84" t="s">
        <v>201</v>
      </c>
      <c r="G49" s="84" t="s">
        <v>201</v>
      </c>
      <c r="H49" s="85" t="s">
        <v>201</v>
      </c>
      <c r="I49" s="84" t="s">
        <v>454</v>
      </c>
      <c r="J49" s="84" t="s">
        <v>455</v>
      </c>
      <c r="K49" s="143" t="s">
        <v>456</v>
      </c>
      <c r="L49" s="84">
        <v>1</v>
      </c>
      <c r="M49" s="84" t="s">
        <v>457</v>
      </c>
      <c r="N49" s="84" t="s">
        <v>458</v>
      </c>
      <c r="O49" s="84" t="s">
        <v>459</v>
      </c>
      <c r="P49" s="84" t="s">
        <v>200</v>
      </c>
      <c r="Q49" s="84" t="s">
        <v>162</v>
      </c>
      <c r="R49" s="85">
        <v>1</v>
      </c>
      <c r="S49" s="84" t="s">
        <v>163</v>
      </c>
      <c r="T49" s="139">
        <v>44927</v>
      </c>
      <c r="U49" s="139">
        <v>46387</v>
      </c>
      <c r="V49" s="85">
        <v>1</v>
      </c>
      <c r="W49" s="85">
        <v>1</v>
      </c>
      <c r="X49" s="85">
        <v>1</v>
      </c>
      <c r="Y49" s="85">
        <v>1</v>
      </c>
      <c r="Z49" s="85">
        <v>1</v>
      </c>
      <c r="AA49" s="85">
        <v>1</v>
      </c>
      <c r="AB49" s="85">
        <v>1</v>
      </c>
      <c r="AC49" s="85">
        <v>1</v>
      </c>
      <c r="AD49" s="85">
        <v>1</v>
      </c>
      <c r="AE49" s="85">
        <v>1</v>
      </c>
      <c r="AF49" s="85">
        <v>1</v>
      </c>
      <c r="AG49" s="85">
        <v>1</v>
      </c>
      <c r="AH49" s="85">
        <v>1</v>
      </c>
      <c r="AI49" s="85">
        <v>1</v>
      </c>
      <c r="AJ49" s="85">
        <v>1</v>
      </c>
      <c r="AK49" s="85"/>
      <c r="AL49" s="85"/>
      <c r="AM49" s="85"/>
      <c r="AN49" s="85"/>
      <c r="AO49" s="85">
        <v>1</v>
      </c>
      <c r="AP49" s="85">
        <v>1</v>
      </c>
      <c r="AQ49" s="84"/>
      <c r="AR49" s="84"/>
      <c r="AS49" s="84"/>
      <c r="AT49" s="84"/>
      <c r="AU49" s="84"/>
      <c r="AV49" s="84"/>
      <c r="AW49" s="84"/>
      <c r="AX49" s="84"/>
      <c r="AY49" s="84"/>
      <c r="AZ49" s="86"/>
      <c r="BA49" s="84"/>
      <c r="BB49" s="86"/>
      <c r="BC49" s="84"/>
      <c r="BD49" s="86"/>
      <c r="BE49" s="84"/>
      <c r="BF49" s="84"/>
      <c r="BG49" s="84"/>
      <c r="BH49" s="84"/>
      <c r="BI49" s="84"/>
      <c r="BJ49" s="86"/>
      <c r="BK49" s="151"/>
      <c r="BL49" s="151"/>
      <c r="BM49" s="151"/>
      <c r="BN49" s="151"/>
      <c r="BO49" s="151"/>
      <c r="BP49" s="151"/>
      <c r="BQ49" s="151"/>
      <c r="BR49" s="151"/>
      <c r="BS49" s="84"/>
      <c r="BT49" s="84"/>
      <c r="BU49" s="84"/>
      <c r="BV49" s="84"/>
      <c r="BW49" s="84"/>
      <c r="BX49" s="84"/>
      <c r="BY49" s="84"/>
      <c r="BZ49" s="84"/>
      <c r="CA49" s="84"/>
      <c r="CB49" s="84"/>
      <c r="CC49" s="84"/>
      <c r="CD49" s="84"/>
      <c r="CE49" s="84"/>
      <c r="CF49" s="151"/>
      <c r="CG49" s="152"/>
      <c r="CH49" s="152"/>
      <c r="CI49" s="151"/>
      <c r="CJ49" s="83" t="str">
        <f t="shared" si="0"/>
        <v>No aplica</v>
      </c>
      <c r="CK49" s="83" t="str">
        <f t="shared" si="1"/>
        <v>No aplica</v>
      </c>
      <c r="CL49" s="83" t="str">
        <f t="shared" si="4"/>
        <v>No requiere reporte</v>
      </c>
      <c r="CM49" s="89" t="str">
        <f t="shared" si="5"/>
        <v>No requiere reporte</v>
      </c>
      <c r="CN49" s="89" t="str">
        <f t="shared" si="6"/>
        <v>No requiere reporte</v>
      </c>
      <c r="CO49" s="145" t="s">
        <v>185</v>
      </c>
      <c r="CP49" s="677" t="s">
        <v>483</v>
      </c>
      <c r="CQ49" s="145" t="s">
        <v>484</v>
      </c>
      <c r="CR49" s="677" t="s">
        <v>485</v>
      </c>
      <c r="CS49" s="677" t="s">
        <v>486</v>
      </c>
      <c r="CT49" s="145" t="s">
        <v>200</v>
      </c>
      <c r="CU49" s="145" t="s">
        <v>162</v>
      </c>
      <c r="CV49" s="146">
        <v>1</v>
      </c>
      <c r="CW49" s="145" t="s">
        <v>163</v>
      </c>
      <c r="CX49" s="663">
        <v>46023</v>
      </c>
      <c r="CY49" s="663">
        <v>46387</v>
      </c>
      <c r="CZ49" s="146">
        <v>1</v>
      </c>
      <c r="DA49" s="146">
        <v>1</v>
      </c>
      <c r="DB49" s="146">
        <v>1</v>
      </c>
      <c r="DC49" s="146">
        <v>1</v>
      </c>
      <c r="DD49" s="146">
        <v>1</v>
      </c>
      <c r="DE49" s="145" t="s">
        <v>265</v>
      </c>
      <c r="DF49" s="145" t="s">
        <v>477</v>
      </c>
      <c r="DG49" s="145" t="s">
        <v>478</v>
      </c>
      <c r="DH49" s="465">
        <v>333300148</v>
      </c>
      <c r="DI49" s="145" t="s">
        <v>487</v>
      </c>
      <c r="DJ49" s="145" t="s">
        <v>480</v>
      </c>
      <c r="DK49" s="145" t="s">
        <v>481</v>
      </c>
      <c r="DL49" s="145" t="s">
        <v>482</v>
      </c>
      <c r="DM49" s="759"/>
      <c r="DN49" s="85"/>
      <c r="DO49" s="86"/>
      <c r="DP49" s="148"/>
      <c r="DQ49" s="84"/>
      <c r="DR49" s="84"/>
      <c r="DS49" s="85"/>
      <c r="DT49" s="86"/>
      <c r="DU49" s="149"/>
      <c r="DV49" s="86"/>
      <c r="DW49" s="86"/>
      <c r="DX49" s="85"/>
      <c r="DY49" s="86"/>
      <c r="DZ49" s="150"/>
      <c r="EA49" s="86"/>
      <c r="EB49" s="86"/>
      <c r="EC49" s="85"/>
      <c r="ED49" s="86"/>
      <c r="EE49" s="86"/>
      <c r="EF49" s="86"/>
      <c r="EG49" s="86"/>
      <c r="EH49" s="83"/>
      <c r="EI49" s="86"/>
      <c r="EJ49" s="86"/>
      <c r="EK49" s="86"/>
      <c r="EL49" s="91" t="str">
        <f t="shared" si="7"/>
        <v>No se reportó avance</v>
      </c>
      <c r="EM49" s="83" t="str">
        <f t="shared" si="8"/>
        <v>No se reportó avance</v>
      </c>
      <c r="EN49" s="153"/>
      <c r="EO49" s="93" t="str">
        <f t="shared" si="10"/>
        <v>Gestión</v>
      </c>
      <c r="EP49" s="93" t="str">
        <f t="shared" si="11"/>
        <v>7</v>
      </c>
    </row>
    <row r="50" spans="1:146" ht="150" customHeight="1">
      <c r="A50" s="74" t="s">
        <v>449</v>
      </c>
      <c r="B50" s="75" t="s">
        <v>450</v>
      </c>
      <c r="C50" s="75" t="s">
        <v>451</v>
      </c>
      <c r="D50" s="75" t="s">
        <v>452</v>
      </c>
      <c r="E50" s="75" t="s">
        <v>453</v>
      </c>
      <c r="F50" s="74" t="s">
        <v>201</v>
      </c>
      <c r="G50" s="74" t="s">
        <v>201</v>
      </c>
      <c r="H50" s="75" t="s">
        <v>201</v>
      </c>
      <c r="I50" s="74" t="s">
        <v>454</v>
      </c>
      <c r="J50" s="74" t="s">
        <v>455</v>
      </c>
      <c r="K50" s="140" t="s">
        <v>456</v>
      </c>
      <c r="L50" s="78">
        <v>2</v>
      </c>
      <c r="M50" s="78" t="s">
        <v>488</v>
      </c>
      <c r="N50" s="78" t="s">
        <v>458</v>
      </c>
      <c r="O50" s="78" t="s">
        <v>459</v>
      </c>
      <c r="P50" s="78" t="s">
        <v>200</v>
      </c>
      <c r="Q50" s="78" t="s">
        <v>162</v>
      </c>
      <c r="R50" s="82">
        <v>1</v>
      </c>
      <c r="S50" s="78" t="s">
        <v>163</v>
      </c>
      <c r="T50" s="141">
        <v>44927</v>
      </c>
      <c r="U50" s="141">
        <v>46387</v>
      </c>
      <c r="V50" s="81" t="s">
        <v>182</v>
      </c>
      <c r="W50" s="81" t="s">
        <v>182</v>
      </c>
      <c r="X50" s="81" t="s">
        <v>182</v>
      </c>
      <c r="Y50" s="75">
        <v>1</v>
      </c>
      <c r="Z50" s="79">
        <v>1</v>
      </c>
      <c r="AA50" s="75">
        <v>1</v>
      </c>
      <c r="AB50" s="75">
        <v>1</v>
      </c>
      <c r="AC50" s="75">
        <v>1</v>
      </c>
      <c r="AD50" s="75">
        <v>1</v>
      </c>
      <c r="AE50" s="79">
        <v>1</v>
      </c>
      <c r="AF50" s="79">
        <v>1</v>
      </c>
      <c r="AG50" s="79">
        <v>1</v>
      </c>
      <c r="AH50" s="79">
        <v>1</v>
      </c>
      <c r="AI50" s="79">
        <v>1</v>
      </c>
      <c r="AJ50" s="79">
        <v>1</v>
      </c>
      <c r="AK50" s="177">
        <v>1</v>
      </c>
      <c r="AL50" s="177">
        <v>1</v>
      </c>
      <c r="AM50" s="177">
        <v>1</v>
      </c>
      <c r="AN50" s="177">
        <v>1</v>
      </c>
      <c r="AO50" s="177">
        <v>1</v>
      </c>
      <c r="AP50" s="79">
        <v>1</v>
      </c>
      <c r="AQ50" s="84" t="s">
        <v>182</v>
      </c>
      <c r="AR50" s="673" t="s">
        <v>489</v>
      </c>
      <c r="AS50" s="84" t="s">
        <v>182</v>
      </c>
      <c r="AT50" s="673" t="s">
        <v>489</v>
      </c>
      <c r="AU50" s="84" t="s">
        <v>182</v>
      </c>
      <c r="AV50" s="673" t="s">
        <v>489</v>
      </c>
      <c r="AW50" s="83">
        <f>(3/3)*100%</f>
        <v>1</v>
      </c>
      <c r="AX50" s="673" t="s">
        <v>490</v>
      </c>
      <c r="AY50" s="83">
        <f>(3/3)*100%</f>
        <v>1</v>
      </c>
      <c r="AZ50" s="86" t="s">
        <v>491</v>
      </c>
      <c r="BA50" s="85">
        <v>0.99620165745856348</v>
      </c>
      <c r="BB50" s="673" t="s">
        <v>492</v>
      </c>
      <c r="BC50" s="85">
        <v>0.86284674852205545</v>
      </c>
      <c r="BD50" s="673" t="s">
        <v>493</v>
      </c>
      <c r="BE50" s="85">
        <v>1.2850890903407315</v>
      </c>
      <c r="BF50" s="673" t="s">
        <v>494</v>
      </c>
      <c r="BG50" s="85">
        <v>0.7142857142857143</v>
      </c>
      <c r="BH50" s="673" t="s">
        <v>495</v>
      </c>
      <c r="BI50" s="85">
        <v>1</v>
      </c>
      <c r="BJ50" s="86" t="s">
        <v>496</v>
      </c>
      <c r="BK50" s="85">
        <f>6/6*100%</f>
        <v>1</v>
      </c>
      <c r="BL50" s="143" t="s">
        <v>497</v>
      </c>
      <c r="BM50" s="85">
        <f>(5/5)*100%</f>
        <v>1</v>
      </c>
      <c r="BN50" s="85" t="s">
        <v>498</v>
      </c>
      <c r="BO50" s="85">
        <f>(4/6)*100%</f>
        <v>0.66666666666666663</v>
      </c>
      <c r="BP50" s="85" t="s">
        <v>499</v>
      </c>
      <c r="BQ50" s="85"/>
      <c r="BR50" s="85"/>
      <c r="BS50" s="144">
        <f>+SUM(BO50,BM50,BK50)/SUM(AF50:AI50)</f>
        <v>0.66666666666666663</v>
      </c>
      <c r="BT50" s="84"/>
      <c r="BU50" s="85"/>
      <c r="BV50" s="85"/>
      <c r="BW50" s="85"/>
      <c r="BX50" s="85"/>
      <c r="BY50" s="85"/>
      <c r="BZ50" s="85"/>
      <c r="CA50" s="85"/>
      <c r="CB50" s="85"/>
      <c r="CC50" s="85"/>
      <c r="CD50" s="85"/>
      <c r="CE50" s="83">
        <f>+BS50</f>
        <v>0.66666666666666663</v>
      </c>
      <c r="CF50" s="85"/>
      <c r="CG50" s="362">
        <f>SUM(DH50:DH55)</f>
        <v>3328415643.0100002</v>
      </c>
      <c r="CH50" s="372"/>
      <c r="CI50" s="372"/>
      <c r="CJ50" s="83">
        <f t="shared" si="0"/>
        <v>0</v>
      </c>
      <c r="CK50" s="83">
        <f t="shared" si="1"/>
        <v>0</v>
      </c>
      <c r="CL50" s="83" t="str">
        <f t="shared" si="4"/>
        <v>No se reportó avance</v>
      </c>
      <c r="CM50" s="89" t="str">
        <f t="shared" si="5"/>
        <v>No se reportó avance</v>
      </c>
      <c r="CN50" s="89">
        <f t="shared" si="6"/>
        <v>0.66666666666666663</v>
      </c>
      <c r="CO50" s="145" t="s">
        <v>225</v>
      </c>
      <c r="CP50" s="677" t="s">
        <v>500</v>
      </c>
      <c r="CQ50" s="145" t="s">
        <v>474</v>
      </c>
      <c r="CR50" s="677" t="s">
        <v>501</v>
      </c>
      <c r="CS50" s="677" t="s">
        <v>502</v>
      </c>
      <c r="CT50" s="145" t="s">
        <v>200</v>
      </c>
      <c r="CU50" s="145" t="s">
        <v>233</v>
      </c>
      <c r="CV50" s="145">
        <v>2</v>
      </c>
      <c r="CW50" s="145" t="s">
        <v>234</v>
      </c>
      <c r="CX50" s="663">
        <v>46113</v>
      </c>
      <c r="CY50" s="663">
        <v>46295</v>
      </c>
      <c r="CZ50" s="154">
        <v>0</v>
      </c>
      <c r="DA50" s="154">
        <v>1</v>
      </c>
      <c r="DB50" s="154">
        <v>1</v>
      </c>
      <c r="DC50" s="154">
        <v>0</v>
      </c>
      <c r="DD50" s="154">
        <v>2</v>
      </c>
      <c r="DE50" s="145" t="s">
        <v>265</v>
      </c>
      <c r="DF50" s="145" t="s">
        <v>477</v>
      </c>
      <c r="DG50" s="145" t="s">
        <v>478</v>
      </c>
      <c r="DH50" s="465">
        <v>0</v>
      </c>
      <c r="DI50" s="145" t="s">
        <v>479</v>
      </c>
      <c r="DJ50" s="145" t="s">
        <v>480</v>
      </c>
      <c r="DK50" s="145" t="s">
        <v>503</v>
      </c>
      <c r="DL50" s="145" t="s">
        <v>504</v>
      </c>
      <c r="DM50" s="759"/>
      <c r="DN50" s="84"/>
      <c r="DO50" s="86"/>
      <c r="DP50" s="84"/>
      <c r="DQ50" s="84"/>
      <c r="DR50" s="84"/>
      <c r="DS50" s="84"/>
      <c r="DT50" s="86"/>
      <c r="DU50" s="149"/>
      <c r="DV50" s="86"/>
      <c r="DW50" s="86"/>
      <c r="DX50" s="84"/>
      <c r="DY50" s="86"/>
      <c r="DZ50" s="150"/>
      <c r="EA50" s="86"/>
      <c r="EB50" s="86"/>
      <c r="EC50" s="84"/>
      <c r="ED50" s="86"/>
      <c r="EE50" s="86"/>
      <c r="EF50" s="86"/>
      <c r="EG50" s="86"/>
      <c r="EH50" s="84"/>
      <c r="EI50" s="86"/>
      <c r="EJ50" s="86"/>
      <c r="EK50" s="86"/>
      <c r="EL50" s="91" t="str">
        <f t="shared" si="7"/>
        <v>No aplica, no hay meta</v>
      </c>
      <c r="EM50" s="83" t="str">
        <f t="shared" si="8"/>
        <v>No se reportó avance</v>
      </c>
      <c r="EN50" s="770" t="s">
        <v>4654</v>
      </c>
      <c r="EO50" s="93" t="str">
        <f t="shared" si="10"/>
        <v>Gestión</v>
      </c>
      <c r="EP50" s="93" t="str">
        <f t="shared" si="11"/>
        <v>7</v>
      </c>
    </row>
    <row r="51" spans="1:146" ht="150" customHeight="1">
      <c r="A51" s="84" t="s">
        <v>449</v>
      </c>
      <c r="B51" s="85" t="s">
        <v>450</v>
      </c>
      <c r="C51" s="85" t="s">
        <v>451</v>
      </c>
      <c r="D51" s="85" t="s">
        <v>452</v>
      </c>
      <c r="E51" s="85" t="s">
        <v>453</v>
      </c>
      <c r="F51" s="84" t="s">
        <v>201</v>
      </c>
      <c r="G51" s="84" t="s">
        <v>201</v>
      </c>
      <c r="H51" s="85" t="s">
        <v>201</v>
      </c>
      <c r="I51" s="84" t="s">
        <v>454</v>
      </c>
      <c r="J51" s="84" t="s">
        <v>455</v>
      </c>
      <c r="K51" s="143" t="s">
        <v>456</v>
      </c>
      <c r="L51" s="84">
        <v>2</v>
      </c>
      <c r="M51" s="84" t="s">
        <v>488</v>
      </c>
      <c r="N51" s="84" t="s">
        <v>458</v>
      </c>
      <c r="O51" s="84" t="s">
        <v>459</v>
      </c>
      <c r="P51" s="84" t="s">
        <v>200</v>
      </c>
      <c r="Q51" s="84" t="s">
        <v>162</v>
      </c>
      <c r="R51" s="83">
        <v>1</v>
      </c>
      <c r="S51" s="84" t="s">
        <v>163</v>
      </c>
      <c r="T51" s="139">
        <v>44927</v>
      </c>
      <c r="U51" s="139">
        <v>46387</v>
      </c>
      <c r="V51" s="90"/>
      <c r="W51" s="90"/>
      <c r="X51" s="90"/>
      <c r="Y51" s="90"/>
      <c r="Z51" s="85"/>
      <c r="AA51" s="85">
        <v>1</v>
      </c>
      <c r="AB51" s="85">
        <v>1</v>
      </c>
      <c r="AC51" s="85">
        <v>1</v>
      </c>
      <c r="AD51" s="85">
        <v>1</v>
      </c>
      <c r="AE51" s="85"/>
      <c r="AF51" s="90"/>
      <c r="AG51" s="90"/>
      <c r="AH51" s="90"/>
      <c r="AI51" s="90"/>
      <c r="AJ51" s="85"/>
      <c r="AK51" s="90"/>
      <c r="AL51" s="90"/>
      <c r="AM51" s="90"/>
      <c r="AN51" s="90"/>
      <c r="AO51" s="85"/>
      <c r="AP51" s="85"/>
      <c r="AQ51" s="84"/>
      <c r="AR51" s="84"/>
      <c r="AS51" s="84"/>
      <c r="AT51" s="84"/>
      <c r="AU51" s="84"/>
      <c r="AV51" s="84"/>
      <c r="AW51" s="84"/>
      <c r="AX51" s="84"/>
      <c r="AY51" s="84"/>
      <c r="AZ51" s="86"/>
      <c r="BA51" s="84"/>
      <c r="BB51" s="86"/>
      <c r="BC51" s="84"/>
      <c r="BD51" s="86"/>
      <c r="BE51" s="84"/>
      <c r="BF51" s="84"/>
      <c r="BG51" s="84"/>
      <c r="BH51" s="84"/>
      <c r="BI51" s="84"/>
      <c r="BJ51" s="86"/>
      <c r="BK51" s="85"/>
      <c r="BL51" s="85"/>
      <c r="BM51" s="85"/>
      <c r="BN51" s="85"/>
      <c r="BO51" s="85"/>
      <c r="BP51" s="85"/>
      <c r="BQ51" s="85"/>
      <c r="BR51" s="85"/>
      <c r="BS51" s="85"/>
      <c r="BT51" s="84"/>
      <c r="BU51" s="85"/>
      <c r="BV51" s="85"/>
      <c r="BW51" s="85"/>
      <c r="BX51" s="85"/>
      <c r="BY51" s="85"/>
      <c r="BZ51" s="85"/>
      <c r="CA51" s="85"/>
      <c r="CB51" s="85"/>
      <c r="CC51" s="85"/>
      <c r="CD51" s="85"/>
      <c r="CE51" s="85"/>
      <c r="CF51" s="85"/>
      <c r="CG51" s="152"/>
      <c r="CH51" s="155"/>
      <c r="CI51" s="156"/>
      <c r="CJ51" s="83" t="str">
        <f t="shared" si="0"/>
        <v>No aplica</v>
      </c>
      <c r="CK51" s="83" t="str">
        <f t="shared" si="1"/>
        <v>No aplica</v>
      </c>
      <c r="CL51" s="83" t="str">
        <f t="shared" si="4"/>
        <v>No requiere reporte</v>
      </c>
      <c r="CM51" s="89" t="str">
        <f t="shared" si="5"/>
        <v>No requiere reporte</v>
      </c>
      <c r="CN51" s="89" t="str">
        <f t="shared" si="6"/>
        <v>No requiere reporte</v>
      </c>
      <c r="CO51" s="145" t="s">
        <v>313</v>
      </c>
      <c r="CP51" s="677" t="s">
        <v>505</v>
      </c>
      <c r="CQ51" s="145" t="s">
        <v>474</v>
      </c>
      <c r="CR51" s="677" t="s">
        <v>506</v>
      </c>
      <c r="CS51" s="677" t="s">
        <v>507</v>
      </c>
      <c r="CT51" s="145" t="s">
        <v>200</v>
      </c>
      <c r="CU51" s="145" t="s">
        <v>233</v>
      </c>
      <c r="CV51" s="145">
        <v>4</v>
      </c>
      <c r="CW51" s="145" t="s">
        <v>234</v>
      </c>
      <c r="CX51" s="663">
        <v>46023</v>
      </c>
      <c r="CY51" s="663">
        <v>46387</v>
      </c>
      <c r="CZ51" s="154">
        <v>1</v>
      </c>
      <c r="DA51" s="154">
        <v>1</v>
      </c>
      <c r="DB51" s="154">
        <v>1</v>
      </c>
      <c r="DC51" s="154">
        <v>1</v>
      </c>
      <c r="DD51" s="154">
        <v>4</v>
      </c>
      <c r="DE51" s="145" t="s">
        <v>265</v>
      </c>
      <c r="DF51" s="145" t="s">
        <v>477</v>
      </c>
      <c r="DG51" s="145" t="s">
        <v>478</v>
      </c>
      <c r="DH51" s="465">
        <v>691363926</v>
      </c>
      <c r="DI51" s="145" t="s">
        <v>479</v>
      </c>
      <c r="DJ51" s="145" t="s">
        <v>480</v>
      </c>
      <c r="DK51" s="145" t="s">
        <v>481</v>
      </c>
      <c r="DL51" s="145" t="s">
        <v>482</v>
      </c>
      <c r="DM51" s="759"/>
      <c r="DN51" s="84"/>
      <c r="DO51" s="86"/>
      <c r="DP51" s="148"/>
      <c r="DQ51" s="84"/>
      <c r="DR51" s="84"/>
      <c r="DS51" s="84"/>
      <c r="DT51" s="86"/>
      <c r="DU51" s="149"/>
      <c r="DV51" s="86"/>
      <c r="DW51" s="86"/>
      <c r="DX51" s="84"/>
      <c r="DY51" s="86"/>
      <c r="DZ51" s="150"/>
      <c r="EA51" s="86"/>
      <c r="EB51" s="86"/>
      <c r="EC51" s="84"/>
      <c r="ED51" s="86"/>
      <c r="EE51" s="86"/>
      <c r="EF51" s="86"/>
      <c r="EG51" s="86"/>
      <c r="EH51" s="84"/>
      <c r="EI51" s="86"/>
      <c r="EJ51" s="86"/>
      <c r="EK51" s="86"/>
      <c r="EL51" s="91" t="str">
        <f t="shared" si="7"/>
        <v>No se reportó avance</v>
      </c>
      <c r="EM51" s="83" t="str">
        <f t="shared" si="8"/>
        <v>No se reportó avance</v>
      </c>
      <c r="EN51" s="153"/>
      <c r="EO51" s="93" t="str">
        <f t="shared" si="10"/>
        <v>Gestión</v>
      </c>
      <c r="EP51" s="93" t="str">
        <f t="shared" si="11"/>
        <v>7</v>
      </c>
    </row>
    <row r="52" spans="1:146" ht="150" customHeight="1">
      <c r="A52" s="84" t="s">
        <v>449</v>
      </c>
      <c r="B52" s="85" t="s">
        <v>450</v>
      </c>
      <c r="C52" s="85" t="s">
        <v>451</v>
      </c>
      <c r="D52" s="85" t="s">
        <v>452</v>
      </c>
      <c r="E52" s="85" t="s">
        <v>453</v>
      </c>
      <c r="F52" s="84" t="s">
        <v>201</v>
      </c>
      <c r="G52" s="84" t="s">
        <v>201</v>
      </c>
      <c r="H52" s="85" t="s">
        <v>201</v>
      </c>
      <c r="I52" s="84" t="s">
        <v>454</v>
      </c>
      <c r="J52" s="84" t="s">
        <v>455</v>
      </c>
      <c r="K52" s="143" t="s">
        <v>456</v>
      </c>
      <c r="L52" s="84">
        <v>2</v>
      </c>
      <c r="M52" s="84" t="s">
        <v>488</v>
      </c>
      <c r="N52" s="84" t="s">
        <v>458</v>
      </c>
      <c r="O52" s="84" t="s">
        <v>459</v>
      </c>
      <c r="P52" s="84" t="s">
        <v>200</v>
      </c>
      <c r="Q52" s="84" t="s">
        <v>162</v>
      </c>
      <c r="R52" s="83">
        <v>1</v>
      </c>
      <c r="S52" s="84" t="s">
        <v>163</v>
      </c>
      <c r="T52" s="139">
        <v>44927</v>
      </c>
      <c r="U52" s="139">
        <v>46387</v>
      </c>
      <c r="V52" s="90"/>
      <c r="W52" s="90"/>
      <c r="X52" s="90"/>
      <c r="Y52" s="90"/>
      <c r="Z52" s="85"/>
      <c r="AA52" s="85">
        <v>1</v>
      </c>
      <c r="AB52" s="85">
        <v>1</v>
      </c>
      <c r="AC52" s="85">
        <v>1</v>
      </c>
      <c r="AD52" s="85">
        <v>1</v>
      </c>
      <c r="AE52" s="85"/>
      <c r="AF52" s="90"/>
      <c r="AG52" s="90"/>
      <c r="AH52" s="90"/>
      <c r="AI52" s="90"/>
      <c r="AJ52" s="85"/>
      <c r="AK52" s="90"/>
      <c r="AL52" s="90"/>
      <c r="AM52" s="90"/>
      <c r="AN52" s="90"/>
      <c r="AO52" s="85"/>
      <c r="AP52" s="85"/>
      <c r="AQ52" s="84"/>
      <c r="AR52" s="84"/>
      <c r="AS52" s="84"/>
      <c r="AT52" s="84"/>
      <c r="AU52" s="84"/>
      <c r="AV52" s="84"/>
      <c r="AW52" s="84"/>
      <c r="AX52" s="84"/>
      <c r="AY52" s="84"/>
      <c r="AZ52" s="86"/>
      <c r="BA52" s="84"/>
      <c r="BB52" s="86"/>
      <c r="BC52" s="84"/>
      <c r="BD52" s="86"/>
      <c r="BE52" s="84"/>
      <c r="BF52" s="84"/>
      <c r="BG52" s="84"/>
      <c r="BH52" s="84"/>
      <c r="BI52" s="84"/>
      <c r="BJ52" s="86"/>
      <c r="BK52" s="85"/>
      <c r="BL52" s="85"/>
      <c r="BM52" s="85"/>
      <c r="BN52" s="85"/>
      <c r="BO52" s="85"/>
      <c r="BP52" s="85"/>
      <c r="BQ52" s="85"/>
      <c r="BR52" s="85"/>
      <c r="BS52" s="85"/>
      <c r="BT52" s="84"/>
      <c r="BU52" s="85"/>
      <c r="BV52" s="85"/>
      <c r="BW52" s="85"/>
      <c r="BX52" s="85"/>
      <c r="BY52" s="85"/>
      <c r="BZ52" s="85"/>
      <c r="CA52" s="85"/>
      <c r="CB52" s="85"/>
      <c r="CC52" s="85"/>
      <c r="CD52" s="85"/>
      <c r="CE52" s="85"/>
      <c r="CF52" s="85"/>
      <c r="CG52" s="152"/>
      <c r="CH52" s="155"/>
      <c r="CI52" s="156"/>
      <c r="CJ52" s="83" t="str">
        <f t="shared" si="0"/>
        <v>No aplica</v>
      </c>
      <c r="CK52" s="83" t="str">
        <f t="shared" si="1"/>
        <v>No aplica</v>
      </c>
      <c r="CL52" s="83" t="str">
        <f t="shared" si="4"/>
        <v>No requiere reporte</v>
      </c>
      <c r="CM52" s="89" t="str">
        <f t="shared" si="5"/>
        <v>No requiere reporte</v>
      </c>
      <c r="CN52" s="89" t="str">
        <f t="shared" si="6"/>
        <v>No requiere reporte</v>
      </c>
      <c r="CO52" s="145" t="s">
        <v>318</v>
      </c>
      <c r="CP52" s="677" t="s">
        <v>508</v>
      </c>
      <c r="CQ52" s="145" t="s">
        <v>474</v>
      </c>
      <c r="CR52" s="677" t="s">
        <v>509</v>
      </c>
      <c r="CS52" s="677" t="s">
        <v>510</v>
      </c>
      <c r="CT52" s="145" t="s">
        <v>200</v>
      </c>
      <c r="CU52" s="145" t="s">
        <v>162</v>
      </c>
      <c r="CV52" s="157">
        <v>1</v>
      </c>
      <c r="CW52" s="145" t="s">
        <v>163</v>
      </c>
      <c r="CX52" s="663">
        <v>46023</v>
      </c>
      <c r="CY52" s="663">
        <v>46387</v>
      </c>
      <c r="CZ52" s="146">
        <v>1</v>
      </c>
      <c r="DA52" s="146">
        <v>1</v>
      </c>
      <c r="DB52" s="146">
        <v>1</v>
      </c>
      <c r="DC52" s="146">
        <v>1</v>
      </c>
      <c r="DD52" s="146">
        <v>1</v>
      </c>
      <c r="DE52" s="145" t="s">
        <v>265</v>
      </c>
      <c r="DF52" s="145" t="s">
        <v>477</v>
      </c>
      <c r="DG52" s="145" t="s">
        <v>478</v>
      </c>
      <c r="DH52" s="465">
        <v>328077750</v>
      </c>
      <c r="DI52" s="145" t="s">
        <v>479</v>
      </c>
      <c r="DJ52" s="145" t="s">
        <v>480</v>
      </c>
      <c r="DK52" s="145" t="s">
        <v>503</v>
      </c>
      <c r="DL52" s="145" t="s">
        <v>504</v>
      </c>
      <c r="DM52" s="759"/>
      <c r="DN52" s="85"/>
      <c r="DO52" s="86"/>
      <c r="DP52" s="148"/>
      <c r="DQ52" s="84"/>
      <c r="DR52" s="84"/>
      <c r="DS52" s="85"/>
      <c r="DT52" s="86"/>
      <c r="DU52" s="149"/>
      <c r="DV52" s="86"/>
      <c r="DW52" s="86"/>
      <c r="DX52" s="85"/>
      <c r="DY52" s="86"/>
      <c r="DZ52" s="150"/>
      <c r="EA52" s="86"/>
      <c r="EB52" s="86"/>
      <c r="EC52" s="85"/>
      <c r="ED52" s="86"/>
      <c r="EE52" s="86"/>
      <c r="EF52" s="86"/>
      <c r="EG52" s="86"/>
      <c r="EH52" s="83"/>
      <c r="EI52" s="86"/>
      <c r="EJ52" s="86"/>
      <c r="EK52" s="86"/>
      <c r="EL52" s="91" t="str">
        <f t="shared" si="7"/>
        <v>No se reportó avance</v>
      </c>
      <c r="EM52" s="83" t="str">
        <f t="shared" si="8"/>
        <v>No se reportó avance</v>
      </c>
      <c r="EN52" s="153"/>
      <c r="EO52" s="93" t="str">
        <f t="shared" si="10"/>
        <v>Gestión</v>
      </c>
      <c r="EP52" s="93" t="str">
        <f t="shared" si="11"/>
        <v>7</v>
      </c>
    </row>
    <row r="53" spans="1:146" ht="150" customHeight="1">
      <c r="A53" s="84" t="s">
        <v>449</v>
      </c>
      <c r="B53" s="85" t="s">
        <v>450</v>
      </c>
      <c r="C53" s="85" t="s">
        <v>451</v>
      </c>
      <c r="D53" s="85" t="s">
        <v>452</v>
      </c>
      <c r="E53" s="85" t="s">
        <v>453</v>
      </c>
      <c r="F53" s="84" t="s">
        <v>201</v>
      </c>
      <c r="G53" s="84" t="s">
        <v>201</v>
      </c>
      <c r="H53" s="85" t="s">
        <v>201</v>
      </c>
      <c r="I53" s="84" t="s">
        <v>454</v>
      </c>
      <c r="J53" s="84" t="s">
        <v>455</v>
      </c>
      <c r="K53" s="143" t="s">
        <v>456</v>
      </c>
      <c r="L53" s="84">
        <v>2</v>
      </c>
      <c r="M53" s="84" t="s">
        <v>488</v>
      </c>
      <c r="N53" s="84" t="s">
        <v>458</v>
      </c>
      <c r="O53" s="84" t="s">
        <v>459</v>
      </c>
      <c r="P53" s="84" t="s">
        <v>200</v>
      </c>
      <c r="Q53" s="84" t="s">
        <v>162</v>
      </c>
      <c r="R53" s="83">
        <v>1</v>
      </c>
      <c r="S53" s="84" t="s">
        <v>163</v>
      </c>
      <c r="T53" s="139">
        <v>44927</v>
      </c>
      <c r="U53" s="139">
        <v>46387</v>
      </c>
      <c r="V53" s="90"/>
      <c r="W53" s="90"/>
      <c r="X53" s="90"/>
      <c r="Y53" s="90"/>
      <c r="Z53" s="85"/>
      <c r="AA53" s="85">
        <v>1</v>
      </c>
      <c r="AB53" s="85">
        <v>1</v>
      </c>
      <c r="AC53" s="85">
        <v>1</v>
      </c>
      <c r="AD53" s="85">
        <v>1</v>
      </c>
      <c r="AE53" s="85"/>
      <c r="AF53" s="90"/>
      <c r="AG53" s="90"/>
      <c r="AH53" s="90"/>
      <c r="AI53" s="90"/>
      <c r="AJ53" s="85"/>
      <c r="AK53" s="90"/>
      <c r="AL53" s="90"/>
      <c r="AM53" s="90"/>
      <c r="AN53" s="90"/>
      <c r="AO53" s="85"/>
      <c r="AP53" s="85"/>
      <c r="AQ53" s="84"/>
      <c r="AR53" s="84"/>
      <c r="AS53" s="84"/>
      <c r="AT53" s="84"/>
      <c r="AU53" s="84"/>
      <c r="AV53" s="84"/>
      <c r="AW53" s="84"/>
      <c r="AX53" s="84"/>
      <c r="AY53" s="84"/>
      <c r="AZ53" s="86"/>
      <c r="BA53" s="84"/>
      <c r="BB53" s="86"/>
      <c r="BC53" s="84"/>
      <c r="BD53" s="86"/>
      <c r="BE53" s="84"/>
      <c r="BF53" s="84"/>
      <c r="BG53" s="84"/>
      <c r="BH53" s="84"/>
      <c r="BI53" s="84"/>
      <c r="BJ53" s="86"/>
      <c r="BK53" s="85"/>
      <c r="BL53" s="85"/>
      <c r="BM53" s="85"/>
      <c r="BN53" s="85"/>
      <c r="BO53" s="85"/>
      <c r="BP53" s="85"/>
      <c r="BQ53" s="85"/>
      <c r="BR53" s="85"/>
      <c r="BS53" s="85"/>
      <c r="BT53" s="84"/>
      <c r="BU53" s="85"/>
      <c r="BV53" s="85"/>
      <c r="BW53" s="85"/>
      <c r="BX53" s="85"/>
      <c r="BY53" s="85"/>
      <c r="BZ53" s="85"/>
      <c r="CA53" s="85"/>
      <c r="CB53" s="85"/>
      <c r="CC53" s="85"/>
      <c r="CD53" s="85"/>
      <c r="CE53" s="85"/>
      <c r="CF53" s="85"/>
      <c r="CG53" s="152"/>
      <c r="CH53" s="155"/>
      <c r="CI53" s="156"/>
      <c r="CJ53" s="83" t="str">
        <f t="shared" si="0"/>
        <v>No aplica</v>
      </c>
      <c r="CK53" s="83" t="str">
        <f t="shared" si="1"/>
        <v>No aplica</v>
      </c>
      <c r="CL53" s="83" t="str">
        <f t="shared" si="4"/>
        <v>No requiere reporte</v>
      </c>
      <c r="CM53" s="89" t="str">
        <f t="shared" si="5"/>
        <v>No requiere reporte</v>
      </c>
      <c r="CN53" s="89" t="str">
        <f t="shared" si="6"/>
        <v>No requiere reporte</v>
      </c>
      <c r="CO53" s="145" t="s">
        <v>322</v>
      </c>
      <c r="CP53" s="677" t="s">
        <v>511</v>
      </c>
      <c r="CQ53" s="145" t="s">
        <v>474</v>
      </c>
      <c r="CR53" s="677" t="s">
        <v>512</v>
      </c>
      <c r="CS53" s="677" t="s">
        <v>513</v>
      </c>
      <c r="CT53" s="145" t="s">
        <v>200</v>
      </c>
      <c r="CU53" s="145" t="s">
        <v>233</v>
      </c>
      <c r="CV53" s="145">
        <v>4</v>
      </c>
      <c r="CW53" s="145" t="s">
        <v>234</v>
      </c>
      <c r="CX53" s="663">
        <v>46113</v>
      </c>
      <c r="CY53" s="663">
        <v>46203</v>
      </c>
      <c r="CZ53" s="154">
        <v>0</v>
      </c>
      <c r="DA53" s="145">
        <v>3</v>
      </c>
      <c r="DB53" s="145">
        <v>1</v>
      </c>
      <c r="DC53" s="145">
        <v>0</v>
      </c>
      <c r="DD53" s="154">
        <v>4</v>
      </c>
      <c r="DE53" s="145" t="s">
        <v>514</v>
      </c>
      <c r="DF53" s="178" t="s">
        <v>4646</v>
      </c>
      <c r="DG53" s="734" t="s">
        <v>4647</v>
      </c>
      <c r="DH53" s="604">
        <v>2113091093.4000001</v>
      </c>
      <c r="DI53" s="145" t="s">
        <v>479</v>
      </c>
      <c r="DJ53" s="145" t="s">
        <v>480</v>
      </c>
      <c r="DK53" s="145" t="s">
        <v>503</v>
      </c>
      <c r="DL53" s="145" t="s">
        <v>504</v>
      </c>
      <c r="DM53" s="759"/>
      <c r="DN53" s="84"/>
      <c r="DO53" s="86"/>
      <c r="DP53" s="84"/>
      <c r="DQ53" s="84"/>
      <c r="DR53" s="84"/>
      <c r="DS53" s="84"/>
      <c r="DT53" s="86"/>
      <c r="DU53" s="149"/>
      <c r="DV53" s="86"/>
      <c r="DW53" s="86"/>
      <c r="DX53" s="84"/>
      <c r="DY53" s="86"/>
      <c r="DZ53" s="150"/>
      <c r="EA53" s="86"/>
      <c r="EB53" s="86"/>
      <c r="EC53" s="84"/>
      <c r="ED53" s="86"/>
      <c r="EE53" s="86"/>
      <c r="EF53" s="86"/>
      <c r="EG53" s="86"/>
      <c r="EH53" s="84"/>
      <c r="EI53" s="86"/>
      <c r="EJ53" s="86"/>
      <c r="EK53" s="86"/>
      <c r="EL53" s="91" t="str">
        <f t="shared" si="7"/>
        <v>No aplica, no hay meta</v>
      </c>
      <c r="EM53" s="83" t="str">
        <f t="shared" si="8"/>
        <v>No se reportó avance</v>
      </c>
      <c r="EN53" s="86"/>
      <c r="EO53" s="93" t="str">
        <f t="shared" si="10"/>
        <v>Gestión</v>
      </c>
      <c r="EP53" s="93" t="str">
        <f t="shared" si="11"/>
        <v>7</v>
      </c>
    </row>
    <row r="54" spans="1:146" ht="150" customHeight="1">
      <c r="A54" s="84" t="s">
        <v>449</v>
      </c>
      <c r="B54" s="85" t="s">
        <v>450</v>
      </c>
      <c r="C54" s="85" t="s">
        <v>451</v>
      </c>
      <c r="D54" s="85" t="s">
        <v>452</v>
      </c>
      <c r="E54" s="85" t="s">
        <v>453</v>
      </c>
      <c r="F54" s="84" t="s">
        <v>201</v>
      </c>
      <c r="G54" s="84" t="s">
        <v>201</v>
      </c>
      <c r="H54" s="85" t="s">
        <v>201</v>
      </c>
      <c r="I54" s="84" t="s">
        <v>454</v>
      </c>
      <c r="J54" s="84" t="s">
        <v>455</v>
      </c>
      <c r="K54" s="143" t="s">
        <v>456</v>
      </c>
      <c r="L54" s="84">
        <v>2</v>
      </c>
      <c r="M54" s="84" t="s">
        <v>488</v>
      </c>
      <c r="N54" s="84" t="s">
        <v>458</v>
      </c>
      <c r="O54" s="84" t="s">
        <v>459</v>
      </c>
      <c r="P54" s="84" t="s">
        <v>200</v>
      </c>
      <c r="Q54" s="84" t="s">
        <v>162</v>
      </c>
      <c r="R54" s="85">
        <v>1</v>
      </c>
      <c r="S54" s="84" t="s">
        <v>163</v>
      </c>
      <c r="T54" s="139">
        <v>44927</v>
      </c>
      <c r="U54" s="139">
        <v>46387</v>
      </c>
      <c r="V54" s="90"/>
      <c r="W54" s="90"/>
      <c r="X54" s="90"/>
      <c r="Y54" s="90"/>
      <c r="Z54" s="85"/>
      <c r="AA54" s="85">
        <v>1</v>
      </c>
      <c r="AB54" s="85">
        <v>1</v>
      </c>
      <c r="AC54" s="85">
        <v>1</v>
      </c>
      <c r="AD54" s="85">
        <v>1</v>
      </c>
      <c r="AE54" s="85"/>
      <c r="AF54" s="90"/>
      <c r="AG54" s="90"/>
      <c r="AH54" s="90"/>
      <c r="AI54" s="90"/>
      <c r="AJ54" s="85"/>
      <c r="AK54" s="90"/>
      <c r="AL54" s="90"/>
      <c r="AM54" s="90"/>
      <c r="AN54" s="90"/>
      <c r="AO54" s="85"/>
      <c r="AP54" s="85"/>
      <c r="AQ54" s="84"/>
      <c r="AR54" s="84"/>
      <c r="AS54" s="84"/>
      <c r="AT54" s="84"/>
      <c r="AU54" s="84"/>
      <c r="AV54" s="84"/>
      <c r="AW54" s="84"/>
      <c r="AX54" s="84"/>
      <c r="AY54" s="84"/>
      <c r="AZ54" s="86"/>
      <c r="BA54" s="84"/>
      <c r="BB54" s="86"/>
      <c r="BC54" s="84"/>
      <c r="BD54" s="86"/>
      <c r="BE54" s="84"/>
      <c r="BF54" s="84"/>
      <c r="BG54" s="84"/>
      <c r="BH54" s="84"/>
      <c r="BI54" s="84"/>
      <c r="BJ54" s="86"/>
      <c r="BK54" s="85"/>
      <c r="BL54" s="85"/>
      <c r="BM54" s="85"/>
      <c r="BN54" s="85"/>
      <c r="BO54" s="85"/>
      <c r="BP54" s="85"/>
      <c r="BQ54" s="85"/>
      <c r="BR54" s="85"/>
      <c r="BS54" s="85"/>
      <c r="BT54" s="84"/>
      <c r="BU54" s="85"/>
      <c r="BV54" s="85"/>
      <c r="BW54" s="85"/>
      <c r="BX54" s="85"/>
      <c r="BY54" s="85"/>
      <c r="BZ54" s="85"/>
      <c r="CA54" s="85"/>
      <c r="CB54" s="85"/>
      <c r="CC54" s="85"/>
      <c r="CD54" s="85"/>
      <c r="CE54" s="85"/>
      <c r="CF54" s="85"/>
      <c r="CG54" s="152"/>
      <c r="CH54" s="155"/>
      <c r="CI54" s="156"/>
      <c r="CJ54" s="83" t="str">
        <f t="shared" si="0"/>
        <v>No aplica</v>
      </c>
      <c r="CK54" s="83" t="str">
        <f t="shared" si="1"/>
        <v>No aplica</v>
      </c>
      <c r="CL54" s="83" t="str">
        <f t="shared" si="4"/>
        <v>No requiere reporte</v>
      </c>
      <c r="CM54" s="89" t="str">
        <f t="shared" si="5"/>
        <v>No requiere reporte</v>
      </c>
      <c r="CN54" s="89" t="str">
        <f t="shared" si="6"/>
        <v>No requiere reporte</v>
      </c>
      <c r="CO54" s="145" t="s">
        <v>327</v>
      </c>
      <c r="CP54" s="677" t="s">
        <v>515</v>
      </c>
      <c r="CQ54" s="145" t="s">
        <v>516</v>
      </c>
      <c r="CR54" s="677" t="s">
        <v>517</v>
      </c>
      <c r="CS54" s="677" t="s">
        <v>518</v>
      </c>
      <c r="CT54" s="145" t="s">
        <v>200</v>
      </c>
      <c r="CU54" s="145" t="s">
        <v>162</v>
      </c>
      <c r="CV54" s="157">
        <v>1</v>
      </c>
      <c r="CW54" s="145" t="s">
        <v>163</v>
      </c>
      <c r="CX54" s="663">
        <v>46204</v>
      </c>
      <c r="CY54" s="663">
        <v>46387</v>
      </c>
      <c r="CZ54" s="146">
        <v>0</v>
      </c>
      <c r="DA54" s="146">
        <v>0</v>
      </c>
      <c r="DB54" s="146">
        <v>1</v>
      </c>
      <c r="DC54" s="146">
        <v>1</v>
      </c>
      <c r="DD54" s="146">
        <v>1</v>
      </c>
      <c r="DE54" s="145" t="s">
        <v>514</v>
      </c>
      <c r="DF54" s="178" t="s">
        <v>4653</v>
      </c>
      <c r="DG54" s="734" t="s">
        <v>4648</v>
      </c>
      <c r="DH54" s="604">
        <f>100808773.61-32298740</f>
        <v>68510033.609999999</v>
      </c>
      <c r="DI54" s="145" t="s">
        <v>487</v>
      </c>
      <c r="DJ54" s="693" t="s">
        <v>480</v>
      </c>
      <c r="DK54" s="145" t="s">
        <v>503</v>
      </c>
      <c r="DL54" s="693" t="s">
        <v>504</v>
      </c>
      <c r="DM54" s="759"/>
      <c r="DN54" s="85"/>
      <c r="DO54" s="86"/>
      <c r="DP54" s="84"/>
      <c r="DQ54" s="84"/>
      <c r="DR54" s="84"/>
      <c r="DS54" s="85"/>
      <c r="DT54" s="86"/>
      <c r="DU54" s="86"/>
      <c r="DV54" s="86"/>
      <c r="DW54" s="86"/>
      <c r="DX54" s="85"/>
      <c r="DY54" s="86"/>
      <c r="DZ54" s="150"/>
      <c r="EA54" s="86"/>
      <c r="EB54" s="86"/>
      <c r="EC54" s="85"/>
      <c r="ED54" s="86"/>
      <c r="EE54" s="86"/>
      <c r="EF54" s="86"/>
      <c r="EG54" s="86"/>
      <c r="EH54" s="83"/>
      <c r="EI54" s="86"/>
      <c r="EJ54" s="86"/>
      <c r="EK54" s="86"/>
      <c r="EL54" s="91" t="str">
        <f t="shared" si="7"/>
        <v>No aplica, no hay meta</v>
      </c>
      <c r="EM54" s="83" t="str">
        <f t="shared" si="8"/>
        <v>No se reportó avance</v>
      </c>
      <c r="EN54" s="770" t="s">
        <v>4655</v>
      </c>
      <c r="EO54" s="93" t="str">
        <f t="shared" si="10"/>
        <v>Gestión</v>
      </c>
      <c r="EP54" s="93" t="str">
        <f t="shared" si="11"/>
        <v>7</v>
      </c>
    </row>
    <row r="55" spans="1:146" ht="150" customHeight="1">
      <c r="A55" s="84" t="s">
        <v>449</v>
      </c>
      <c r="B55" s="85" t="s">
        <v>450</v>
      </c>
      <c r="C55" s="85" t="s">
        <v>451</v>
      </c>
      <c r="D55" s="85" t="s">
        <v>452</v>
      </c>
      <c r="E55" s="85" t="s">
        <v>453</v>
      </c>
      <c r="F55" s="84" t="s">
        <v>201</v>
      </c>
      <c r="G55" s="84" t="s">
        <v>201</v>
      </c>
      <c r="H55" s="85" t="s">
        <v>201</v>
      </c>
      <c r="I55" s="84" t="s">
        <v>454</v>
      </c>
      <c r="J55" s="84" t="s">
        <v>455</v>
      </c>
      <c r="K55" s="143" t="s">
        <v>456</v>
      </c>
      <c r="L55" s="84">
        <v>2</v>
      </c>
      <c r="M55" s="84" t="s">
        <v>488</v>
      </c>
      <c r="N55" s="84" t="s">
        <v>458</v>
      </c>
      <c r="O55" s="84" t="s">
        <v>459</v>
      </c>
      <c r="P55" s="84" t="s">
        <v>200</v>
      </c>
      <c r="Q55" s="84" t="s">
        <v>162</v>
      </c>
      <c r="R55" s="85">
        <v>1</v>
      </c>
      <c r="S55" s="84" t="s">
        <v>163</v>
      </c>
      <c r="T55" s="139">
        <v>44927</v>
      </c>
      <c r="U55" s="139">
        <v>46387</v>
      </c>
      <c r="V55" s="90"/>
      <c r="W55" s="90"/>
      <c r="X55" s="90"/>
      <c r="Y55" s="90"/>
      <c r="Z55" s="85"/>
      <c r="AA55" s="85">
        <v>1</v>
      </c>
      <c r="AB55" s="85">
        <v>1</v>
      </c>
      <c r="AC55" s="85">
        <v>1</v>
      </c>
      <c r="AD55" s="85">
        <v>1</v>
      </c>
      <c r="AE55" s="85"/>
      <c r="AF55" s="90"/>
      <c r="AG55" s="90"/>
      <c r="AH55" s="90"/>
      <c r="AI55" s="90"/>
      <c r="AJ55" s="85"/>
      <c r="AK55" s="90"/>
      <c r="AL55" s="90"/>
      <c r="AM55" s="90"/>
      <c r="AN55" s="90"/>
      <c r="AO55" s="85"/>
      <c r="AP55" s="85"/>
      <c r="AQ55" s="122"/>
      <c r="AR55" s="86"/>
      <c r="AS55" s="122"/>
      <c r="AT55" s="86"/>
      <c r="AU55" s="122"/>
      <c r="AV55" s="86"/>
      <c r="AW55" s="122"/>
      <c r="AX55" s="673"/>
      <c r="AY55" s="122"/>
      <c r="AZ55" s="86"/>
      <c r="BA55" s="122"/>
      <c r="BB55" s="766"/>
      <c r="BC55" s="122"/>
      <c r="BD55" s="766"/>
      <c r="BE55" s="122"/>
      <c r="BF55" s="766"/>
      <c r="BG55" s="122"/>
      <c r="BH55" s="766"/>
      <c r="BI55" s="122"/>
      <c r="BJ55" s="766"/>
      <c r="BK55" s="85"/>
      <c r="BL55" s="85"/>
      <c r="BM55" s="85"/>
      <c r="BN55" s="85"/>
      <c r="BO55" s="85"/>
      <c r="BP55" s="85"/>
      <c r="BQ55" s="85"/>
      <c r="BR55" s="85"/>
      <c r="BS55" s="85"/>
      <c r="BT55" s="84"/>
      <c r="BU55" s="85"/>
      <c r="BV55" s="85"/>
      <c r="BW55" s="85"/>
      <c r="BX55" s="85"/>
      <c r="BY55" s="85"/>
      <c r="BZ55" s="85"/>
      <c r="CA55" s="85"/>
      <c r="CB55" s="85"/>
      <c r="CC55" s="85"/>
      <c r="CD55" s="85"/>
      <c r="CE55" s="85"/>
      <c r="CF55" s="85"/>
      <c r="CG55" s="155"/>
      <c r="CH55" s="155"/>
      <c r="CI55" s="156"/>
      <c r="CJ55" s="83" t="str">
        <f t="shared" si="0"/>
        <v>No aplica</v>
      </c>
      <c r="CK55" s="83" t="str">
        <f t="shared" si="1"/>
        <v>No aplica</v>
      </c>
      <c r="CL55" s="83" t="str">
        <f t="shared" si="4"/>
        <v>No requiere reporte</v>
      </c>
      <c r="CM55" s="89" t="str">
        <f t="shared" si="5"/>
        <v>No requiere reporte</v>
      </c>
      <c r="CN55" s="89" t="str">
        <f t="shared" si="6"/>
        <v>No requiere reporte</v>
      </c>
      <c r="CO55" s="145" t="s">
        <v>332</v>
      </c>
      <c r="CP55" s="677" t="s">
        <v>519</v>
      </c>
      <c r="CQ55" s="145" t="s">
        <v>474</v>
      </c>
      <c r="CR55" s="677" t="s">
        <v>520</v>
      </c>
      <c r="CS55" s="677" t="s">
        <v>518</v>
      </c>
      <c r="CT55" s="145" t="s">
        <v>200</v>
      </c>
      <c r="CU55" s="145" t="s">
        <v>162</v>
      </c>
      <c r="CV55" s="157">
        <v>1</v>
      </c>
      <c r="CW55" s="145" t="s">
        <v>163</v>
      </c>
      <c r="CX55" s="663">
        <v>46023</v>
      </c>
      <c r="CY55" s="663">
        <v>46387</v>
      </c>
      <c r="CZ55" s="146">
        <v>1</v>
      </c>
      <c r="DA55" s="146">
        <v>1</v>
      </c>
      <c r="DB55" s="146">
        <v>1</v>
      </c>
      <c r="DC55" s="146">
        <v>1</v>
      </c>
      <c r="DD55" s="146">
        <v>1</v>
      </c>
      <c r="DE55" s="145" t="s">
        <v>514</v>
      </c>
      <c r="DF55" s="178" t="s">
        <v>4649</v>
      </c>
      <c r="DG55" s="178" t="s">
        <v>4650</v>
      </c>
      <c r="DH55" s="604">
        <f>95074100+32298740</f>
        <v>127372840</v>
      </c>
      <c r="DI55" s="145" t="s">
        <v>487</v>
      </c>
      <c r="DJ55" s="693" t="s">
        <v>480</v>
      </c>
      <c r="DK55" s="145" t="s">
        <v>503</v>
      </c>
      <c r="DL55" s="693" t="s">
        <v>504</v>
      </c>
      <c r="DM55" s="759"/>
      <c r="DN55" s="85"/>
      <c r="DO55" s="86"/>
      <c r="DP55" s="148"/>
      <c r="DQ55" s="84"/>
      <c r="DR55" s="84"/>
      <c r="DS55" s="85"/>
      <c r="DT55" s="86"/>
      <c r="DU55" s="149"/>
      <c r="DV55" s="86"/>
      <c r="DW55" s="86"/>
      <c r="DX55" s="85"/>
      <c r="DY55" s="86"/>
      <c r="DZ55" s="150"/>
      <c r="EA55" s="86"/>
      <c r="EB55" s="86"/>
      <c r="EC55" s="85"/>
      <c r="ED55" s="86"/>
      <c r="EE55" s="86"/>
      <c r="EF55" s="86"/>
      <c r="EG55" s="86"/>
      <c r="EH55" s="83"/>
      <c r="EI55" s="86"/>
      <c r="EJ55" s="86"/>
      <c r="EK55" s="86"/>
      <c r="EL55" s="91" t="str">
        <f t="shared" si="7"/>
        <v>No se reportó avance</v>
      </c>
      <c r="EM55" s="83" t="str">
        <f t="shared" si="8"/>
        <v>No se reportó avance</v>
      </c>
      <c r="EN55" s="770" t="s">
        <v>4656</v>
      </c>
      <c r="EO55" s="93" t="str">
        <f t="shared" si="10"/>
        <v>Gestión</v>
      </c>
      <c r="EP55" s="93" t="str">
        <f t="shared" si="11"/>
        <v>7</v>
      </c>
    </row>
    <row r="56" spans="1:146" ht="150" hidden="1" customHeight="1">
      <c r="A56" s="158" t="s">
        <v>449</v>
      </c>
      <c r="B56" s="158" t="s">
        <v>450</v>
      </c>
      <c r="C56" s="158" t="s">
        <v>451</v>
      </c>
      <c r="D56" s="158" t="s">
        <v>521</v>
      </c>
      <c r="E56" s="158" t="s">
        <v>522</v>
      </c>
      <c r="F56" s="159" t="s">
        <v>201</v>
      </c>
      <c r="G56" s="159" t="s">
        <v>201</v>
      </c>
      <c r="H56" s="158" t="s">
        <v>201</v>
      </c>
      <c r="I56" s="159" t="s">
        <v>454</v>
      </c>
      <c r="J56" s="159" t="s">
        <v>455</v>
      </c>
      <c r="K56" s="158" t="s">
        <v>523</v>
      </c>
      <c r="L56" s="159">
        <v>3</v>
      </c>
      <c r="M56" s="159" t="s">
        <v>524</v>
      </c>
      <c r="N56" s="159" t="s">
        <v>525</v>
      </c>
      <c r="O56" s="159" t="s">
        <v>526</v>
      </c>
      <c r="P56" s="159" t="s">
        <v>200</v>
      </c>
      <c r="Q56" s="159" t="s">
        <v>233</v>
      </c>
      <c r="R56" s="160">
        <v>1</v>
      </c>
      <c r="S56" s="159" t="s">
        <v>163</v>
      </c>
      <c r="T56" s="161">
        <v>44927</v>
      </c>
      <c r="U56" s="161">
        <v>46387</v>
      </c>
      <c r="V56" s="158">
        <v>1</v>
      </c>
      <c r="W56" s="158">
        <v>1</v>
      </c>
      <c r="X56" s="158">
        <v>1</v>
      </c>
      <c r="Y56" s="158">
        <v>1</v>
      </c>
      <c r="Z56" s="158">
        <v>1</v>
      </c>
      <c r="AA56" s="162"/>
      <c r="AB56" s="162"/>
      <c r="AC56" s="162"/>
      <c r="AD56" s="162"/>
      <c r="AE56" s="158">
        <v>1</v>
      </c>
      <c r="AF56" s="162"/>
      <c r="AG56" s="162"/>
      <c r="AH56" s="162"/>
      <c r="AI56" s="162"/>
      <c r="AJ56" s="158"/>
      <c r="AK56" s="162"/>
      <c r="AL56" s="162"/>
      <c r="AM56" s="162"/>
      <c r="AN56" s="162"/>
      <c r="AO56" s="158"/>
      <c r="AP56" s="158">
        <v>1</v>
      </c>
      <c r="AQ56" s="160">
        <f>1/1</f>
        <v>1</v>
      </c>
      <c r="AR56" s="163" t="s">
        <v>527</v>
      </c>
      <c r="AS56" s="160">
        <f>1/1</f>
        <v>1</v>
      </c>
      <c r="AT56" s="163" t="s">
        <v>528</v>
      </c>
      <c r="AU56" s="160">
        <f>35/35</f>
        <v>1</v>
      </c>
      <c r="AV56" s="163" t="s">
        <v>529</v>
      </c>
      <c r="AW56" s="160">
        <f>36/36</f>
        <v>1</v>
      </c>
      <c r="AX56" s="163" t="s">
        <v>530</v>
      </c>
      <c r="AY56" s="160">
        <f>73/73</f>
        <v>1</v>
      </c>
      <c r="AZ56" s="164" t="s">
        <v>531</v>
      </c>
      <c r="BA56" s="159"/>
      <c r="BB56" s="164"/>
      <c r="BC56" s="159"/>
      <c r="BD56" s="164"/>
      <c r="BE56" s="159"/>
      <c r="BF56" s="159"/>
      <c r="BG56" s="159"/>
      <c r="BH56" s="159"/>
      <c r="BI56" s="159" t="s">
        <v>182</v>
      </c>
      <c r="BJ56" s="164" t="s">
        <v>182</v>
      </c>
      <c r="BK56" s="159" t="s">
        <v>182</v>
      </c>
      <c r="BL56" s="159" t="s">
        <v>182</v>
      </c>
      <c r="BM56" s="159" t="s">
        <v>182</v>
      </c>
      <c r="BN56" s="159" t="s">
        <v>182</v>
      </c>
      <c r="BO56" s="159" t="s">
        <v>182</v>
      </c>
      <c r="BP56" s="159" t="s">
        <v>182</v>
      </c>
      <c r="BQ56" s="159" t="s">
        <v>182</v>
      </c>
      <c r="BR56" s="159" t="s">
        <v>182</v>
      </c>
      <c r="BS56" s="160">
        <v>0</v>
      </c>
      <c r="BT56" s="159" t="s">
        <v>182</v>
      </c>
      <c r="BU56" s="159" t="s">
        <v>182</v>
      </c>
      <c r="BV56" s="159" t="s">
        <v>182</v>
      </c>
      <c r="BW56" s="159" t="s">
        <v>182</v>
      </c>
      <c r="BX56" s="159" t="s">
        <v>182</v>
      </c>
      <c r="BY56" s="159" t="s">
        <v>182</v>
      </c>
      <c r="BZ56" s="159" t="s">
        <v>182</v>
      </c>
      <c r="CA56" s="159" t="s">
        <v>182</v>
      </c>
      <c r="CB56" s="159" t="s">
        <v>182</v>
      </c>
      <c r="CC56" s="159" t="s">
        <v>182</v>
      </c>
      <c r="CD56" s="159" t="s">
        <v>182</v>
      </c>
      <c r="CE56" s="159">
        <v>0</v>
      </c>
      <c r="CF56" s="159" t="s">
        <v>182</v>
      </c>
      <c r="CG56" s="159" t="s">
        <v>182</v>
      </c>
      <c r="CH56" s="159" t="s">
        <v>182</v>
      </c>
      <c r="CI56" s="159" t="s">
        <v>182</v>
      </c>
      <c r="CJ56" s="160" t="str">
        <f t="shared" si="0"/>
        <v>No aplica</v>
      </c>
      <c r="CK56" s="160" t="str">
        <f t="shared" si="1"/>
        <v>No aplica</v>
      </c>
      <c r="CL56" s="83" t="str">
        <f t="shared" si="4"/>
        <v>No aplica, no hay meta</v>
      </c>
      <c r="CM56" s="89" t="str">
        <f t="shared" si="5"/>
        <v>No aplica, no hay meta</v>
      </c>
      <c r="CN56" s="89">
        <f t="shared" si="6"/>
        <v>0</v>
      </c>
      <c r="CO56" s="165"/>
      <c r="CP56" s="166"/>
      <c r="CQ56" s="165"/>
      <c r="CR56" s="166"/>
      <c r="CS56" s="166"/>
      <c r="CT56" s="165"/>
      <c r="CU56" s="165"/>
      <c r="CV56" s="165"/>
      <c r="CW56" s="165"/>
      <c r="CX56" s="165"/>
      <c r="CY56" s="165"/>
      <c r="CZ56" s="165"/>
      <c r="DA56" s="165"/>
      <c r="DB56" s="165"/>
      <c r="DC56" s="165"/>
      <c r="DD56" s="165"/>
      <c r="DE56" s="165"/>
      <c r="DF56" s="165"/>
      <c r="DG56" s="165"/>
      <c r="DH56" s="165"/>
      <c r="DI56" s="165"/>
      <c r="DJ56" s="165"/>
      <c r="DK56" s="165"/>
      <c r="DL56" s="165"/>
      <c r="DM56" s="165"/>
      <c r="DN56" s="158"/>
      <c r="DO56" s="164"/>
      <c r="DP56" s="164"/>
      <c r="DQ56" s="164"/>
      <c r="DR56" s="164"/>
      <c r="DS56" s="158"/>
      <c r="DT56" s="164"/>
      <c r="DU56" s="164"/>
      <c r="DV56" s="164"/>
      <c r="DW56" s="164"/>
      <c r="DX56" s="158"/>
      <c r="DY56" s="164"/>
      <c r="DZ56" s="164"/>
      <c r="EA56" s="164"/>
      <c r="EB56" s="164"/>
      <c r="EC56" s="158"/>
      <c r="ED56" s="164"/>
      <c r="EE56" s="164"/>
      <c r="EF56" s="164"/>
      <c r="EG56" s="164"/>
      <c r="EH56" s="158"/>
      <c r="EI56" s="164"/>
      <c r="EJ56" s="164"/>
      <c r="EK56" s="164"/>
      <c r="EL56" s="91" t="str">
        <f t="shared" si="7"/>
        <v>No aplica, no hay meta</v>
      </c>
      <c r="EM56" s="83" t="str">
        <f t="shared" si="8"/>
        <v>No aplica, no hay meta</v>
      </c>
      <c r="EN56" s="167" t="s">
        <v>532</v>
      </c>
      <c r="EO56" s="93" t="str">
        <f t="shared" si="10"/>
        <v>Gestión</v>
      </c>
      <c r="EP56" s="93" t="str">
        <f t="shared" si="11"/>
        <v>7</v>
      </c>
    </row>
    <row r="57" spans="1:146" ht="150" customHeight="1">
      <c r="A57" s="74" t="s">
        <v>449</v>
      </c>
      <c r="B57" s="75" t="s">
        <v>450</v>
      </c>
      <c r="C57" s="75" t="s">
        <v>533</v>
      </c>
      <c r="D57" s="75" t="s">
        <v>452</v>
      </c>
      <c r="E57" s="75" t="s">
        <v>534</v>
      </c>
      <c r="F57" s="74" t="s">
        <v>201</v>
      </c>
      <c r="G57" s="74" t="s">
        <v>201</v>
      </c>
      <c r="H57" s="75" t="s">
        <v>201</v>
      </c>
      <c r="I57" s="74" t="s">
        <v>454</v>
      </c>
      <c r="J57" s="74" t="s">
        <v>455</v>
      </c>
      <c r="K57" s="140" t="s">
        <v>535</v>
      </c>
      <c r="L57" s="78">
        <v>4</v>
      </c>
      <c r="M57" s="78" t="s">
        <v>536</v>
      </c>
      <c r="N57" s="78" t="s">
        <v>537</v>
      </c>
      <c r="O57" s="78" t="s">
        <v>538</v>
      </c>
      <c r="P57" s="78" t="s">
        <v>200</v>
      </c>
      <c r="Q57" s="78" t="s">
        <v>162</v>
      </c>
      <c r="R57" s="82">
        <v>1</v>
      </c>
      <c r="S57" s="78" t="s">
        <v>163</v>
      </c>
      <c r="T57" s="141">
        <v>44927</v>
      </c>
      <c r="U57" s="141">
        <v>46387</v>
      </c>
      <c r="V57" s="75">
        <v>1</v>
      </c>
      <c r="W57" s="75">
        <v>1</v>
      </c>
      <c r="X57" s="75">
        <v>1</v>
      </c>
      <c r="Y57" s="75">
        <v>1</v>
      </c>
      <c r="Z57" s="79">
        <v>1</v>
      </c>
      <c r="AA57" s="75">
        <v>1</v>
      </c>
      <c r="AB57" s="75">
        <v>1</v>
      </c>
      <c r="AC57" s="75">
        <v>1</v>
      </c>
      <c r="AD57" s="75">
        <v>1</v>
      </c>
      <c r="AE57" s="79">
        <v>1</v>
      </c>
      <c r="AF57" s="79">
        <v>1</v>
      </c>
      <c r="AG57" s="79">
        <v>1</v>
      </c>
      <c r="AH57" s="79">
        <v>1</v>
      </c>
      <c r="AI57" s="79">
        <v>1</v>
      </c>
      <c r="AJ57" s="79">
        <v>1</v>
      </c>
      <c r="AK57" s="142">
        <v>1</v>
      </c>
      <c r="AL57" s="142">
        <v>1</v>
      </c>
      <c r="AM57" s="142">
        <v>1</v>
      </c>
      <c r="AN57" s="142">
        <v>1</v>
      </c>
      <c r="AO57" s="177">
        <v>1</v>
      </c>
      <c r="AP57" s="79">
        <v>1</v>
      </c>
      <c r="AQ57" s="83">
        <f>60/60</f>
        <v>1</v>
      </c>
      <c r="AR57" s="673" t="s">
        <v>539</v>
      </c>
      <c r="AS57" s="85">
        <v>1</v>
      </c>
      <c r="AT57" s="673" t="s">
        <v>540</v>
      </c>
      <c r="AU57" s="83">
        <f>99/99</f>
        <v>1</v>
      </c>
      <c r="AV57" s="673" t="s">
        <v>541</v>
      </c>
      <c r="AW57" s="83">
        <f>1938/1938</f>
        <v>1</v>
      </c>
      <c r="AX57" s="673" t="s">
        <v>542</v>
      </c>
      <c r="AY57" s="83">
        <f>(2238/2238)*100%</f>
        <v>1</v>
      </c>
      <c r="AZ57" s="86" t="s">
        <v>543</v>
      </c>
      <c r="BA57" s="85">
        <v>1</v>
      </c>
      <c r="BB57" s="86" t="s">
        <v>544</v>
      </c>
      <c r="BC57" s="85">
        <v>1</v>
      </c>
      <c r="BD57" s="86" t="s">
        <v>545</v>
      </c>
      <c r="BE57" s="85">
        <v>1</v>
      </c>
      <c r="BF57" s="86" t="s">
        <v>546</v>
      </c>
      <c r="BG57" s="85">
        <v>1</v>
      </c>
      <c r="BH57" s="771" t="s">
        <v>547</v>
      </c>
      <c r="BI57" s="85">
        <v>1</v>
      </c>
      <c r="BJ57" s="143" t="s">
        <v>548</v>
      </c>
      <c r="BK57" s="85">
        <f>4/4</f>
        <v>1</v>
      </c>
      <c r="BL57" s="143" t="s">
        <v>549</v>
      </c>
      <c r="BM57" s="85">
        <f>(3/3)*100%</f>
        <v>1</v>
      </c>
      <c r="BN57" s="85" t="s">
        <v>550</v>
      </c>
      <c r="BO57" s="85">
        <f>3/3</f>
        <v>1</v>
      </c>
      <c r="BP57" s="85" t="s">
        <v>551</v>
      </c>
      <c r="BQ57" s="85"/>
      <c r="BR57" s="85"/>
      <c r="BS57" s="144">
        <f>+SUM(BO57,BM57,BK57)/SUM(AF57:AI57)</f>
        <v>0.75</v>
      </c>
      <c r="BT57" s="84"/>
      <c r="BU57" s="85"/>
      <c r="BV57" s="85"/>
      <c r="BW57" s="85"/>
      <c r="BX57" s="85"/>
      <c r="BY57" s="85"/>
      <c r="BZ57" s="85"/>
      <c r="CA57" s="85"/>
      <c r="CB57" s="85"/>
      <c r="CC57" s="85"/>
      <c r="CD57" s="85"/>
      <c r="CE57" s="83">
        <f>+BS57</f>
        <v>0.75</v>
      </c>
      <c r="CF57" s="85"/>
      <c r="CG57" s="362">
        <f>SUM(DH57:DH59)</f>
        <v>400000000</v>
      </c>
      <c r="CH57" s="372"/>
      <c r="CI57" s="372"/>
      <c r="CJ57" s="83">
        <f t="shared" si="0"/>
        <v>0</v>
      </c>
      <c r="CK57" s="83">
        <f t="shared" si="1"/>
        <v>0</v>
      </c>
      <c r="CL57" s="83" t="str">
        <f t="shared" si="4"/>
        <v>No se reportó avance</v>
      </c>
      <c r="CM57" s="89" t="str">
        <f t="shared" si="5"/>
        <v>No se reportó avance</v>
      </c>
      <c r="CN57" s="89">
        <f t="shared" si="6"/>
        <v>0.75</v>
      </c>
      <c r="CO57" s="145" t="s">
        <v>391</v>
      </c>
      <c r="CP57" s="677" t="s">
        <v>552</v>
      </c>
      <c r="CQ57" s="145" t="s">
        <v>474</v>
      </c>
      <c r="CR57" s="677" t="s">
        <v>553</v>
      </c>
      <c r="CS57" s="677" t="s">
        <v>554</v>
      </c>
      <c r="CT57" s="145" t="s">
        <v>200</v>
      </c>
      <c r="CU57" s="145" t="s">
        <v>233</v>
      </c>
      <c r="CV57" s="668">
        <v>1</v>
      </c>
      <c r="CW57" s="145" t="s">
        <v>234</v>
      </c>
      <c r="CX57" s="663">
        <v>46305</v>
      </c>
      <c r="CY57" s="663">
        <v>46387</v>
      </c>
      <c r="CZ57" s="145">
        <v>0</v>
      </c>
      <c r="DA57" s="145">
        <v>0</v>
      </c>
      <c r="DB57" s="145">
        <v>0</v>
      </c>
      <c r="DC57" s="168">
        <v>1</v>
      </c>
      <c r="DD57" s="154">
        <v>1</v>
      </c>
      <c r="DE57" s="145" t="s">
        <v>265</v>
      </c>
      <c r="DF57" s="145" t="s">
        <v>555</v>
      </c>
      <c r="DG57" s="145" t="s">
        <v>556</v>
      </c>
      <c r="DH57" s="465">
        <v>40950000</v>
      </c>
      <c r="DI57" s="145" t="s">
        <v>557</v>
      </c>
      <c r="DJ57" s="145" t="s">
        <v>558</v>
      </c>
      <c r="DK57" s="145" t="s">
        <v>559</v>
      </c>
      <c r="DL57" s="145" t="s">
        <v>4685</v>
      </c>
      <c r="DM57" s="759"/>
      <c r="DN57" s="678"/>
      <c r="DO57" s="761"/>
      <c r="DP57" s="777"/>
      <c r="DQ57" s="84"/>
      <c r="DR57" s="84"/>
      <c r="DS57" s="84"/>
      <c r="DT57" s="761"/>
      <c r="DU57" s="149"/>
      <c r="DV57" s="86"/>
      <c r="DW57" s="86"/>
      <c r="DX57" s="84"/>
      <c r="DY57" s="761"/>
      <c r="DZ57" s="150"/>
      <c r="EA57" s="86"/>
      <c r="EB57" s="86"/>
      <c r="EC57" s="84"/>
      <c r="ED57" s="86"/>
      <c r="EE57" s="86"/>
      <c r="EF57" s="86"/>
      <c r="EG57" s="86"/>
      <c r="EH57" s="84"/>
      <c r="EI57" s="86"/>
      <c r="EJ57" s="86"/>
      <c r="EK57" s="86"/>
      <c r="EL57" s="91" t="str">
        <f t="shared" si="7"/>
        <v>No aplica, no hay meta</v>
      </c>
      <c r="EM57" s="83" t="str">
        <f t="shared" si="8"/>
        <v>No se reportó avance</v>
      </c>
      <c r="EN57" s="153"/>
      <c r="EO57" s="93" t="str">
        <f t="shared" si="10"/>
        <v>Gestión</v>
      </c>
      <c r="EP57" s="93" t="str">
        <f t="shared" si="11"/>
        <v>7</v>
      </c>
    </row>
    <row r="58" spans="1:146" ht="150" customHeight="1">
      <c r="A58" s="84" t="s">
        <v>449</v>
      </c>
      <c r="B58" s="85" t="s">
        <v>450</v>
      </c>
      <c r="C58" s="85" t="s">
        <v>533</v>
      </c>
      <c r="D58" s="85" t="s">
        <v>452</v>
      </c>
      <c r="E58" s="85" t="s">
        <v>534</v>
      </c>
      <c r="F58" s="84" t="s">
        <v>201</v>
      </c>
      <c r="G58" s="84" t="s">
        <v>201</v>
      </c>
      <c r="H58" s="85" t="s">
        <v>201</v>
      </c>
      <c r="I58" s="84" t="s">
        <v>454</v>
      </c>
      <c r="J58" s="84" t="s">
        <v>455</v>
      </c>
      <c r="K58" s="143" t="s">
        <v>535</v>
      </c>
      <c r="L58" s="84">
        <v>4</v>
      </c>
      <c r="M58" s="84" t="s">
        <v>536</v>
      </c>
      <c r="N58" s="84" t="s">
        <v>537</v>
      </c>
      <c r="O58" s="84" t="s">
        <v>538</v>
      </c>
      <c r="P58" s="84" t="s">
        <v>200</v>
      </c>
      <c r="Q58" s="84" t="s">
        <v>162</v>
      </c>
      <c r="R58" s="83">
        <v>1</v>
      </c>
      <c r="S58" s="84" t="s">
        <v>163</v>
      </c>
      <c r="T58" s="139">
        <v>44927</v>
      </c>
      <c r="U58" s="139">
        <v>46387</v>
      </c>
      <c r="V58" s="90"/>
      <c r="W58" s="90"/>
      <c r="X58" s="90"/>
      <c r="Y58" s="90"/>
      <c r="Z58" s="85"/>
      <c r="AA58" s="85">
        <v>1</v>
      </c>
      <c r="AB58" s="85">
        <v>1</v>
      </c>
      <c r="AC58" s="85">
        <v>1</v>
      </c>
      <c r="AD58" s="85">
        <v>1</v>
      </c>
      <c r="AE58" s="85"/>
      <c r="AF58" s="90"/>
      <c r="AG58" s="90"/>
      <c r="AH58" s="90"/>
      <c r="AI58" s="90"/>
      <c r="AJ58" s="85"/>
      <c r="AK58" s="90"/>
      <c r="AL58" s="90"/>
      <c r="AM58" s="90"/>
      <c r="AN58" s="90"/>
      <c r="AO58" s="85"/>
      <c r="AP58" s="85"/>
      <c r="AQ58" s="84"/>
      <c r="AR58" s="84"/>
      <c r="AS58" s="84"/>
      <c r="AT58" s="84"/>
      <c r="AU58" s="84"/>
      <c r="AV58" s="84"/>
      <c r="AW58" s="84"/>
      <c r="AX58" s="84"/>
      <c r="AY58" s="84"/>
      <c r="AZ58" s="86"/>
      <c r="BA58" s="84"/>
      <c r="BB58" s="86"/>
      <c r="BC58" s="84"/>
      <c r="BD58" s="86"/>
      <c r="BE58" s="84"/>
      <c r="BF58" s="84"/>
      <c r="BG58" s="84"/>
      <c r="BH58" s="84"/>
      <c r="BI58" s="84"/>
      <c r="BJ58" s="86"/>
      <c r="BK58" s="85"/>
      <c r="BL58" s="85"/>
      <c r="BM58" s="85"/>
      <c r="BN58" s="85"/>
      <c r="BO58" s="85"/>
      <c r="BP58" s="85"/>
      <c r="BQ58" s="85"/>
      <c r="BR58" s="85"/>
      <c r="BS58" s="85"/>
      <c r="BT58" s="84"/>
      <c r="BU58" s="85"/>
      <c r="BV58" s="85"/>
      <c r="BW58" s="85"/>
      <c r="BX58" s="85"/>
      <c r="BY58" s="85"/>
      <c r="BZ58" s="85"/>
      <c r="CA58" s="85"/>
      <c r="CB58" s="85"/>
      <c r="CC58" s="85"/>
      <c r="CD58" s="85"/>
      <c r="CE58" s="85"/>
      <c r="CF58" s="85"/>
      <c r="CG58" s="152"/>
      <c r="CH58" s="155"/>
      <c r="CI58" s="156"/>
      <c r="CJ58" s="83" t="str">
        <f t="shared" si="0"/>
        <v>No aplica</v>
      </c>
      <c r="CK58" s="83" t="str">
        <f t="shared" si="1"/>
        <v>No aplica</v>
      </c>
      <c r="CL58" s="83" t="str">
        <f t="shared" si="4"/>
        <v>No requiere reporte</v>
      </c>
      <c r="CM58" s="89" t="str">
        <f t="shared" si="5"/>
        <v>No requiere reporte</v>
      </c>
      <c r="CN58" s="89" t="str">
        <f t="shared" si="6"/>
        <v>No requiere reporte</v>
      </c>
      <c r="CO58" s="145" t="s">
        <v>403</v>
      </c>
      <c r="CP58" s="677" t="s">
        <v>561</v>
      </c>
      <c r="CQ58" s="145" t="s">
        <v>474</v>
      </c>
      <c r="CR58" s="677" t="s">
        <v>562</v>
      </c>
      <c r="CS58" s="677" t="s">
        <v>563</v>
      </c>
      <c r="CT58" s="145" t="s">
        <v>200</v>
      </c>
      <c r="CU58" s="145" t="s">
        <v>233</v>
      </c>
      <c r="CV58" s="145">
        <v>4</v>
      </c>
      <c r="CW58" s="145" t="s">
        <v>234</v>
      </c>
      <c r="CX58" s="663">
        <v>46023</v>
      </c>
      <c r="CY58" s="663">
        <v>46387</v>
      </c>
      <c r="CZ58" s="145">
        <v>1</v>
      </c>
      <c r="DA58" s="145">
        <v>1</v>
      </c>
      <c r="DB58" s="145">
        <v>1</v>
      </c>
      <c r="DC58" s="145">
        <v>1</v>
      </c>
      <c r="DD58" s="154">
        <v>4</v>
      </c>
      <c r="DE58" s="145" t="s">
        <v>265</v>
      </c>
      <c r="DF58" s="145" t="s">
        <v>555</v>
      </c>
      <c r="DG58" s="145" t="s">
        <v>556</v>
      </c>
      <c r="DH58" s="465">
        <v>88000000</v>
      </c>
      <c r="DI58" s="145" t="s">
        <v>557</v>
      </c>
      <c r="DJ58" s="145" t="s">
        <v>558</v>
      </c>
      <c r="DK58" s="145" t="s">
        <v>559</v>
      </c>
      <c r="DL58" s="145" t="s">
        <v>4686</v>
      </c>
      <c r="DM58" s="759"/>
      <c r="DN58" s="678"/>
      <c r="DO58" s="761"/>
      <c r="DP58" s="777"/>
      <c r="DQ58" s="84"/>
      <c r="DR58" s="84"/>
      <c r="DS58" s="84"/>
      <c r="DT58" s="86"/>
      <c r="DU58" s="149"/>
      <c r="DV58" s="86"/>
      <c r="DW58" s="86"/>
      <c r="DX58" s="84"/>
      <c r="DY58" s="86"/>
      <c r="DZ58" s="150"/>
      <c r="EA58" s="86"/>
      <c r="EB58" s="86"/>
      <c r="EC58" s="84"/>
      <c r="ED58" s="86"/>
      <c r="EE58" s="86"/>
      <c r="EF58" s="86"/>
      <c r="EG58" s="86"/>
      <c r="EH58" s="84"/>
      <c r="EI58" s="86"/>
      <c r="EJ58" s="86"/>
      <c r="EK58" s="86"/>
      <c r="EL58" s="91" t="str">
        <f t="shared" si="7"/>
        <v>No se reportó avance</v>
      </c>
      <c r="EM58" s="83" t="str">
        <f t="shared" si="8"/>
        <v>No se reportó avance</v>
      </c>
      <c r="EN58" s="153"/>
      <c r="EO58" s="93" t="str">
        <f t="shared" si="10"/>
        <v>Gestión</v>
      </c>
      <c r="EP58" s="93" t="str">
        <f t="shared" si="11"/>
        <v>7</v>
      </c>
    </row>
    <row r="59" spans="1:146" ht="150" customHeight="1">
      <c r="A59" s="84" t="s">
        <v>449</v>
      </c>
      <c r="B59" s="85" t="s">
        <v>450</v>
      </c>
      <c r="C59" s="85" t="s">
        <v>533</v>
      </c>
      <c r="D59" s="85" t="s">
        <v>452</v>
      </c>
      <c r="E59" s="85" t="s">
        <v>534</v>
      </c>
      <c r="F59" s="84" t="s">
        <v>201</v>
      </c>
      <c r="G59" s="84" t="s">
        <v>201</v>
      </c>
      <c r="H59" s="85" t="s">
        <v>201</v>
      </c>
      <c r="I59" s="84" t="s">
        <v>454</v>
      </c>
      <c r="J59" s="84" t="s">
        <v>455</v>
      </c>
      <c r="K59" s="143" t="s">
        <v>535</v>
      </c>
      <c r="L59" s="84">
        <v>4</v>
      </c>
      <c r="M59" s="84" t="s">
        <v>536</v>
      </c>
      <c r="N59" s="84" t="s">
        <v>537</v>
      </c>
      <c r="O59" s="84" t="s">
        <v>538</v>
      </c>
      <c r="P59" s="84" t="s">
        <v>200</v>
      </c>
      <c r="Q59" s="84" t="s">
        <v>162</v>
      </c>
      <c r="R59" s="83">
        <v>1</v>
      </c>
      <c r="S59" s="84" t="s">
        <v>163</v>
      </c>
      <c r="T59" s="139">
        <v>44927</v>
      </c>
      <c r="U59" s="139">
        <v>46387</v>
      </c>
      <c r="V59" s="90"/>
      <c r="W59" s="90"/>
      <c r="X59" s="90"/>
      <c r="Y59" s="90"/>
      <c r="Z59" s="85"/>
      <c r="AA59" s="85">
        <v>1</v>
      </c>
      <c r="AB59" s="85">
        <v>1</v>
      </c>
      <c r="AC59" s="85">
        <v>1</v>
      </c>
      <c r="AD59" s="85">
        <v>1</v>
      </c>
      <c r="AE59" s="85"/>
      <c r="AF59" s="90"/>
      <c r="AG59" s="90"/>
      <c r="AH59" s="90"/>
      <c r="AI59" s="90"/>
      <c r="AJ59" s="85"/>
      <c r="AK59" s="90"/>
      <c r="AL59" s="90"/>
      <c r="AM59" s="90"/>
      <c r="AN59" s="90"/>
      <c r="AO59" s="85"/>
      <c r="AP59" s="85"/>
      <c r="AQ59" s="84"/>
      <c r="AR59" s="84"/>
      <c r="AS59" s="84"/>
      <c r="AT59" s="84"/>
      <c r="AU59" s="84"/>
      <c r="AV59" s="84"/>
      <c r="AW59" s="84"/>
      <c r="AX59" s="84"/>
      <c r="AY59" s="84"/>
      <c r="AZ59" s="86"/>
      <c r="BA59" s="84"/>
      <c r="BB59" s="86"/>
      <c r="BC59" s="84"/>
      <c r="BD59" s="86"/>
      <c r="BE59" s="84"/>
      <c r="BF59" s="84"/>
      <c r="BG59" s="84"/>
      <c r="BH59" s="84"/>
      <c r="BI59" s="84"/>
      <c r="BJ59" s="86"/>
      <c r="BK59" s="85"/>
      <c r="BL59" s="85"/>
      <c r="BM59" s="85"/>
      <c r="BN59" s="85"/>
      <c r="BO59" s="85"/>
      <c r="BP59" s="85"/>
      <c r="BQ59" s="85"/>
      <c r="BR59" s="85"/>
      <c r="BS59" s="85"/>
      <c r="BT59" s="84"/>
      <c r="BU59" s="85"/>
      <c r="BV59" s="85"/>
      <c r="BW59" s="85"/>
      <c r="BX59" s="85"/>
      <c r="BY59" s="85"/>
      <c r="BZ59" s="85"/>
      <c r="CA59" s="85"/>
      <c r="CB59" s="85"/>
      <c r="CC59" s="85"/>
      <c r="CD59" s="85"/>
      <c r="CE59" s="85"/>
      <c r="CF59" s="85"/>
      <c r="CG59" s="152"/>
      <c r="CH59" s="155"/>
      <c r="CI59" s="156"/>
      <c r="CJ59" s="83" t="str">
        <f t="shared" si="0"/>
        <v>No aplica</v>
      </c>
      <c r="CK59" s="83" t="str">
        <f t="shared" si="1"/>
        <v>No aplica</v>
      </c>
      <c r="CL59" s="83" t="str">
        <f t="shared" si="4"/>
        <v>No requiere reporte</v>
      </c>
      <c r="CM59" s="89" t="str">
        <f t="shared" si="5"/>
        <v>No requiere reporte</v>
      </c>
      <c r="CN59" s="89" t="str">
        <f t="shared" si="6"/>
        <v>No requiere reporte</v>
      </c>
      <c r="CO59" s="145" t="s">
        <v>408</v>
      </c>
      <c r="CP59" s="677" t="s">
        <v>564</v>
      </c>
      <c r="CQ59" s="145" t="s">
        <v>474</v>
      </c>
      <c r="CR59" s="677" t="s">
        <v>565</v>
      </c>
      <c r="CS59" s="677" t="s">
        <v>566</v>
      </c>
      <c r="CT59" s="145" t="s">
        <v>200</v>
      </c>
      <c r="CU59" s="145" t="s">
        <v>233</v>
      </c>
      <c r="CV59" s="145">
        <v>1</v>
      </c>
      <c r="CW59" s="145" t="s">
        <v>234</v>
      </c>
      <c r="CX59" s="663">
        <v>46113</v>
      </c>
      <c r="CY59" s="663">
        <v>46387</v>
      </c>
      <c r="CZ59" s="145">
        <v>0</v>
      </c>
      <c r="DA59" s="145">
        <v>0</v>
      </c>
      <c r="DB59" s="145">
        <v>0</v>
      </c>
      <c r="DC59" s="145">
        <v>1</v>
      </c>
      <c r="DD59" s="154">
        <v>1</v>
      </c>
      <c r="DE59" s="145" t="s">
        <v>265</v>
      </c>
      <c r="DF59" s="145" t="s">
        <v>555</v>
      </c>
      <c r="DG59" s="145" t="s">
        <v>556</v>
      </c>
      <c r="DH59" s="603">
        <v>271050000</v>
      </c>
      <c r="DI59" s="145" t="s">
        <v>557</v>
      </c>
      <c r="DJ59" s="145" t="s">
        <v>558</v>
      </c>
      <c r="DK59" s="145" t="s">
        <v>559</v>
      </c>
      <c r="DL59" s="145" t="s">
        <v>4685</v>
      </c>
      <c r="DM59" s="759"/>
      <c r="DN59" s="678"/>
      <c r="DO59" s="761"/>
      <c r="DP59" s="86"/>
      <c r="DQ59" s="84"/>
      <c r="DR59" s="84"/>
      <c r="DS59" s="84"/>
      <c r="DT59" s="86"/>
      <c r="DU59" s="149"/>
      <c r="DV59" s="86"/>
      <c r="DW59" s="86"/>
      <c r="DX59" s="84"/>
      <c r="DY59" s="86"/>
      <c r="DZ59" s="150"/>
      <c r="EA59" s="86"/>
      <c r="EB59" s="86"/>
      <c r="EC59" s="84"/>
      <c r="ED59" s="86"/>
      <c r="EE59" s="86"/>
      <c r="EF59" s="86"/>
      <c r="EG59" s="86"/>
      <c r="EH59" s="84"/>
      <c r="EI59" s="86"/>
      <c r="EJ59" s="86"/>
      <c r="EK59" s="86"/>
      <c r="EL59" s="91" t="str">
        <f t="shared" si="7"/>
        <v>No aplica, no hay meta</v>
      </c>
      <c r="EM59" s="83" t="str">
        <f t="shared" si="8"/>
        <v>No se reportó avance</v>
      </c>
      <c r="EN59" s="153"/>
      <c r="EO59" s="93" t="str">
        <f t="shared" si="10"/>
        <v>Gestión</v>
      </c>
      <c r="EP59" s="93" t="str">
        <f t="shared" si="11"/>
        <v>7</v>
      </c>
    </row>
    <row r="60" spans="1:146" ht="150" customHeight="1">
      <c r="A60" s="74" t="s">
        <v>449</v>
      </c>
      <c r="B60" s="75" t="s">
        <v>450</v>
      </c>
      <c r="C60" s="75" t="s">
        <v>451</v>
      </c>
      <c r="D60" s="75" t="s">
        <v>452</v>
      </c>
      <c r="E60" s="169" t="s">
        <v>567</v>
      </c>
      <c r="F60" s="74" t="s">
        <v>201</v>
      </c>
      <c r="G60" s="74" t="s">
        <v>201</v>
      </c>
      <c r="H60" s="75" t="s">
        <v>201</v>
      </c>
      <c r="I60" s="74" t="s">
        <v>454</v>
      </c>
      <c r="J60" s="74" t="s">
        <v>455</v>
      </c>
      <c r="K60" s="75" t="s">
        <v>523</v>
      </c>
      <c r="L60" s="78">
        <v>5</v>
      </c>
      <c r="M60" s="78" t="s">
        <v>568</v>
      </c>
      <c r="N60" s="78" t="s">
        <v>569</v>
      </c>
      <c r="O60" s="78" t="s">
        <v>570</v>
      </c>
      <c r="P60" s="78" t="s">
        <v>200</v>
      </c>
      <c r="Q60" s="78" t="s">
        <v>162</v>
      </c>
      <c r="R60" s="82">
        <v>1</v>
      </c>
      <c r="S60" s="78" t="s">
        <v>163</v>
      </c>
      <c r="T60" s="141">
        <v>44927</v>
      </c>
      <c r="U60" s="141">
        <v>46387</v>
      </c>
      <c r="V60" s="75">
        <v>1</v>
      </c>
      <c r="W60" s="75">
        <v>1</v>
      </c>
      <c r="X60" s="75">
        <v>1</v>
      </c>
      <c r="Y60" s="75">
        <v>1</v>
      </c>
      <c r="Z60" s="79">
        <v>1</v>
      </c>
      <c r="AA60" s="75">
        <v>1</v>
      </c>
      <c r="AB60" s="75">
        <v>1</v>
      </c>
      <c r="AC60" s="75">
        <v>1</v>
      </c>
      <c r="AD60" s="75">
        <v>1</v>
      </c>
      <c r="AE60" s="79">
        <v>1</v>
      </c>
      <c r="AF60" s="79">
        <v>1</v>
      </c>
      <c r="AG60" s="79">
        <v>1</v>
      </c>
      <c r="AH60" s="79">
        <v>1</v>
      </c>
      <c r="AI60" s="79">
        <v>1</v>
      </c>
      <c r="AJ60" s="79">
        <v>1</v>
      </c>
      <c r="AK60" s="142">
        <v>1</v>
      </c>
      <c r="AL60" s="142">
        <v>1</v>
      </c>
      <c r="AM60" s="142">
        <v>1</v>
      </c>
      <c r="AN60" s="142">
        <v>1</v>
      </c>
      <c r="AO60" s="177">
        <v>1</v>
      </c>
      <c r="AP60" s="79">
        <v>1</v>
      </c>
      <c r="AQ60" s="85">
        <f>23/23</f>
        <v>1</v>
      </c>
      <c r="AR60" s="673" t="s">
        <v>571</v>
      </c>
      <c r="AS60" s="85">
        <f>35/35</f>
        <v>1</v>
      </c>
      <c r="AT60" s="673" t="s">
        <v>572</v>
      </c>
      <c r="AU60" s="83">
        <f>1755/1755</f>
        <v>1</v>
      </c>
      <c r="AV60" s="673" t="s">
        <v>573</v>
      </c>
      <c r="AW60" s="83">
        <f>1938/1938</f>
        <v>1</v>
      </c>
      <c r="AX60" s="673" t="s">
        <v>574</v>
      </c>
      <c r="AY60" s="83">
        <f>6089/6089</f>
        <v>1</v>
      </c>
      <c r="AZ60" s="86" t="s">
        <v>575</v>
      </c>
      <c r="BA60" s="85">
        <v>0.99189475233337199</v>
      </c>
      <c r="BB60" s="86" t="s">
        <v>576</v>
      </c>
      <c r="BC60" s="85">
        <v>0.87301780452464928</v>
      </c>
      <c r="BD60" s="86" t="s">
        <v>577</v>
      </c>
      <c r="BE60" s="85">
        <v>0.88508620754148892</v>
      </c>
      <c r="BF60" s="86" t="s">
        <v>577</v>
      </c>
      <c r="BG60" s="85">
        <v>1</v>
      </c>
      <c r="BH60" s="85" t="s">
        <v>578</v>
      </c>
      <c r="BI60" s="85">
        <v>1</v>
      </c>
      <c r="BJ60" s="143" t="s">
        <v>579</v>
      </c>
      <c r="BK60" s="85">
        <f>3/3*100%</f>
        <v>1</v>
      </c>
      <c r="BL60" s="143" t="s">
        <v>580</v>
      </c>
      <c r="BM60" s="85">
        <f>(4/4)*100%</f>
        <v>1</v>
      </c>
      <c r="BN60" s="85" t="s">
        <v>581</v>
      </c>
      <c r="BO60" s="85">
        <f>4/4</f>
        <v>1</v>
      </c>
      <c r="BP60" s="85" t="s">
        <v>582</v>
      </c>
      <c r="BQ60" s="85"/>
      <c r="BR60" s="85"/>
      <c r="BS60" s="144">
        <f>+SUM(BO60,BM60,BK60)/SUM(AF60:AI60)</f>
        <v>0.75</v>
      </c>
      <c r="BT60" s="84"/>
      <c r="BU60" s="85"/>
      <c r="BV60" s="85"/>
      <c r="BW60" s="85"/>
      <c r="BX60" s="85"/>
      <c r="BY60" s="85"/>
      <c r="BZ60" s="85"/>
      <c r="CA60" s="85"/>
      <c r="CB60" s="85"/>
      <c r="CC60" s="85"/>
      <c r="CD60" s="85"/>
      <c r="CE60" s="83">
        <f>+BS60</f>
        <v>0.75</v>
      </c>
      <c r="CF60" s="85"/>
      <c r="CG60" s="362">
        <f>SUM(DH60:DH64)</f>
        <v>598000000</v>
      </c>
      <c r="CH60" s="372"/>
      <c r="CI60" s="372"/>
      <c r="CJ60" s="83">
        <f t="shared" si="0"/>
        <v>0</v>
      </c>
      <c r="CK60" s="83">
        <f t="shared" si="1"/>
        <v>0</v>
      </c>
      <c r="CL60" s="83" t="str">
        <f t="shared" si="4"/>
        <v>No se reportó avance</v>
      </c>
      <c r="CM60" s="89" t="str">
        <f t="shared" si="5"/>
        <v>No se reportó avance</v>
      </c>
      <c r="CN60" s="89">
        <f t="shared" si="6"/>
        <v>0.75</v>
      </c>
      <c r="CO60" s="145" t="s">
        <v>583</v>
      </c>
      <c r="CP60" s="677" t="s">
        <v>584</v>
      </c>
      <c r="CQ60" s="665" t="s">
        <v>585</v>
      </c>
      <c r="CR60" s="677" t="s">
        <v>586</v>
      </c>
      <c r="CS60" s="677" t="s">
        <v>570</v>
      </c>
      <c r="CT60" s="145" t="s">
        <v>200</v>
      </c>
      <c r="CU60" s="145" t="s">
        <v>162</v>
      </c>
      <c r="CV60" s="157">
        <v>1</v>
      </c>
      <c r="CW60" s="145" t="s">
        <v>163</v>
      </c>
      <c r="CX60" s="663">
        <v>46023</v>
      </c>
      <c r="CY60" s="663">
        <v>46387</v>
      </c>
      <c r="CZ60" s="146">
        <v>1</v>
      </c>
      <c r="DA60" s="146">
        <v>1</v>
      </c>
      <c r="DB60" s="146">
        <v>1</v>
      </c>
      <c r="DC60" s="146">
        <v>1</v>
      </c>
      <c r="DD60" s="146">
        <v>1</v>
      </c>
      <c r="DE60" s="145" t="s">
        <v>265</v>
      </c>
      <c r="DF60" s="145" t="s">
        <v>587</v>
      </c>
      <c r="DG60" s="145" t="s">
        <v>588</v>
      </c>
      <c r="DH60" s="147">
        <v>113250000</v>
      </c>
      <c r="DI60" s="145" t="s">
        <v>557</v>
      </c>
      <c r="DJ60" s="145" t="s">
        <v>558</v>
      </c>
      <c r="DK60" s="145" t="s">
        <v>559</v>
      </c>
      <c r="DL60" s="145" t="s">
        <v>560</v>
      </c>
      <c r="DM60" s="759"/>
      <c r="DN60" s="85"/>
      <c r="DO60" s="761"/>
      <c r="DP60" s="86"/>
      <c r="DQ60" s="84"/>
      <c r="DR60" s="84"/>
      <c r="DS60" s="85"/>
      <c r="DT60" s="86"/>
      <c r="DU60" s="149"/>
      <c r="DV60" s="86"/>
      <c r="DW60" s="86"/>
      <c r="DX60" s="85"/>
      <c r="DY60" s="86"/>
      <c r="DZ60" s="150"/>
      <c r="EA60" s="86"/>
      <c r="EB60" s="86"/>
      <c r="EC60" s="85"/>
      <c r="ED60" s="86"/>
      <c r="EE60" s="86"/>
      <c r="EF60" s="86"/>
      <c r="EG60" s="86"/>
      <c r="EH60" s="83"/>
      <c r="EI60" s="86"/>
      <c r="EJ60" s="86"/>
      <c r="EK60" s="86"/>
      <c r="EL60" s="91" t="str">
        <f t="shared" si="7"/>
        <v>No se reportó avance</v>
      </c>
      <c r="EM60" s="83" t="str">
        <f t="shared" si="8"/>
        <v>No se reportó avance</v>
      </c>
      <c r="EN60" s="153"/>
      <c r="EO60" s="93" t="str">
        <f t="shared" si="10"/>
        <v>Gestión</v>
      </c>
      <c r="EP60" s="93" t="str">
        <f t="shared" si="11"/>
        <v>7</v>
      </c>
    </row>
    <row r="61" spans="1:146" ht="150" customHeight="1">
      <c r="A61" s="84" t="s">
        <v>449</v>
      </c>
      <c r="B61" s="85" t="s">
        <v>450</v>
      </c>
      <c r="C61" s="85" t="s">
        <v>451</v>
      </c>
      <c r="D61" s="85" t="s">
        <v>452</v>
      </c>
      <c r="E61" s="171" t="s">
        <v>567</v>
      </c>
      <c r="F61" s="84" t="s">
        <v>201</v>
      </c>
      <c r="G61" s="84" t="s">
        <v>201</v>
      </c>
      <c r="H61" s="85" t="s">
        <v>201</v>
      </c>
      <c r="I61" s="84" t="s">
        <v>454</v>
      </c>
      <c r="J61" s="84" t="s">
        <v>455</v>
      </c>
      <c r="K61" s="85" t="s">
        <v>523</v>
      </c>
      <c r="L61" s="84">
        <v>5</v>
      </c>
      <c r="M61" s="84" t="s">
        <v>568</v>
      </c>
      <c r="N61" s="84" t="s">
        <v>569</v>
      </c>
      <c r="O61" s="84" t="s">
        <v>570</v>
      </c>
      <c r="P61" s="84" t="s">
        <v>200</v>
      </c>
      <c r="Q61" s="84" t="s">
        <v>162</v>
      </c>
      <c r="R61" s="83">
        <v>1</v>
      </c>
      <c r="S61" s="84" t="s">
        <v>163</v>
      </c>
      <c r="T61" s="139">
        <v>44927</v>
      </c>
      <c r="U61" s="139">
        <v>46387</v>
      </c>
      <c r="V61" s="90"/>
      <c r="W61" s="90"/>
      <c r="X61" s="90"/>
      <c r="Y61" s="90"/>
      <c r="Z61" s="85"/>
      <c r="AA61" s="85">
        <v>1</v>
      </c>
      <c r="AB61" s="85">
        <v>1</v>
      </c>
      <c r="AC61" s="85">
        <v>1</v>
      </c>
      <c r="AD61" s="85">
        <v>1</v>
      </c>
      <c r="AE61" s="85"/>
      <c r="AF61" s="90"/>
      <c r="AG61" s="90"/>
      <c r="AH61" s="90"/>
      <c r="AI61" s="90"/>
      <c r="AJ61" s="85"/>
      <c r="AK61" s="90"/>
      <c r="AL61" s="90"/>
      <c r="AM61" s="90"/>
      <c r="AN61" s="90"/>
      <c r="AO61" s="85"/>
      <c r="AP61" s="85"/>
      <c r="AQ61" s="84"/>
      <c r="AR61" s="84"/>
      <c r="AS61" s="84"/>
      <c r="AT61" s="84"/>
      <c r="AU61" s="84"/>
      <c r="AV61" s="84"/>
      <c r="AW61" s="84"/>
      <c r="AX61" s="84"/>
      <c r="AY61" s="84"/>
      <c r="AZ61" s="86"/>
      <c r="BA61" s="84"/>
      <c r="BB61" s="86"/>
      <c r="BC61" s="84"/>
      <c r="BD61" s="86"/>
      <c r="BE61" s="84"/>
      <c r="BF61" s="84"/>
      <c r="BG61" s="84"/>
      <c r="BH61" s="84"/>
      <c r="BI61" s="84"/>
      <c r="BJ61" s="86"/>
      <c r="BK61" s="151"/>
      <c r="BL61" s="151"/>
      <c r="BM61" s="151"/>
      <c r="BN61" s="151"/>
      <c r="BO61" s="151"/>
      <c r="BP61" s="151"/>
      <c r="BQ61" s="151"/>
      <c r="BR61" s="151"/>
      <c r="BS61" s="84"/>
      <c r="BT61" s="84"/>
      <c r="BU61" s="84"/>
      <c r="BV61" s="84"/>
      <c r="BW61" s="84"/>
      <c r="BX61" s="84"/>
      <c r="BY61" s="84"/>
      <c r="BZ61" s="84"/>
      <c r="CA61" s="84"/>
      <c r="CB61" s="84"/>
      <c r="CC61" s="84"/>
      <c r="CD61" s="84"/>
      <c r="CE61" s="84"/>
      <c r="CF61" s="151"/>
      <c r="CG61" s="152"/>
      <c r="CH61" s="152"/>
      <c r="CI61" s="151"/>
      <c r="CJ61" s="83" t="str">
        <f t="shared" si="0"/>
        <v>No aplica</v>
      </c>
      <c r="CK61" s="83" t="str">
        <f t="shared" si="1"/>
        <v>No aplica</v>
      </c>
      <c r="CL61" s="83" t="str">
        <f t="shared" si="4"/>
        <v>No requiere reporte</v>
      </c>
      <c r="CM61" s="89" t="str">
        <f t="shared" si="5"/>
        <v>No requiere reporte</v>
      </c>
      <c r="CN61" s="89" t="str">
        <f t="shared" si="6"/>
        <v>No requiere reporte</v>
      </c>
      <c r="CO61" s="145" t="s">
        <v>589</v>
      </c>
      <c r="CP61" s="677" t="s">
        <v>590</v>
      </c>
      <c r="CQ61" s="665" t="s">
        <v>591</v>
      </c>
      <c r="CR61" s="677" t="s">
        <v>586</v>
      </c>
      <c r="CS61" s="677" t="s">
        <v>570</v>
      </c>
      <c r="CT61" s="145" t="s">
        <v>200</v>
      </c>
      <c r="CU61" s="145" t="s">
        <v>162</v>
      </c>
      <c r="CV61" s="157">
        <v>1</v>
      </c>
      <c r="CW61" s="145" t="s">
        <v>163</v>
      </c>
      <c r="CX61" s="663">
        <v>46023</v>
      </c>
      <c r="CY61" s="663">
        <v>46387</v>
      </c>
      <c r="CZ61" s="146">
        <v>1</v>
      </c>
      <c r="DA61" s="146">
        <v>1</v>
      </c>
      <c r="DB61" s="146">
        <v>1</v>
      </c>
      <c r="DC61" s="146">
        <v>1</v>
      </c>
      <c r="DD61" s="146">
        <v>1</v>
      </c>
      <c r="DE61" s="145" t="s">
        <v>265</v>
      </c>
      <c r="DF61" s="145" t="s">
        <v>587</v>
      </c>
      <c r="DG61" s="145" t="s">
        <v>588</v>
      </c>
      <c r="DH61" s="147">
        <v>59500000</v>
      </c>
      <c r="DI61" s="145" t="s">
        <v>557</v>
      </c>
      <c r="DJ61" s="145" t="s">
        <v>558</v>
      </c>
      <c r="DK61" s="145" t="s">
        <v>559</v>
      </c>
      <c r="DL61" s="145" t="s">
        <v>560</v>
      </c>
      <c r="DM61" s="759"/>
      <c r="DN61" s="85"/>
      <c r="DO61" s="761"/>
      <c r="DP61" s="86"/>
      <c r="DQ61" s="84"/>
      <c r="DR61" s="84"/>
      <c r="DS61" s="85"/>
      <c r="DT61" s="86"/>
      <c r="DU61" s="149"/>
      <c r="DV61" s="86"/>
      <c r="DW61" s="86"/>
      <c r="DX61" s="85"/>
      <c r="DY61" s="86"/>
      <c r="DZ61" s="150"/>
      <c r="EA61" s="86"/>
      <c r="EB61" s="86"/>
      <c r="EC61" s="85"/>
      <c r="ED61" s="86"/>
      <c r="EE61" s="86"/>
      <c r="EF61" s="86"/>
      <c r="EG61" s="86"/>
      <c r="EH61" s="83"/>
      <c r="EI61" s="86"/>
      <c r="EJ61" s="86"/>
      <c r="EK61" s="86"/>
      <c r="EL61" s="91" t="str">
        <f t="shared" si="7"/>
        <v>No se reportó avance</v>
      </c>
      <c r="EM61" s="83" t="str">
        <f t="shared" si="8"/>
        <v>No se reportó avance</v>
      </c>
      <c r="EN61" s="153"/>
      <c r="EO61" s="93" t="str">
        <f t="shared" si="10"/>
        <v>Gestión</v>
      </c>
      <c r="EP61" s="93" t="str">
        <f t="shared" si="11"/>
        <v>7</v>
      </c>
    </row>
    <row r="62" spans="1:146" ht="150" customHeight="1">
      <c r="A62" s="84" t="s">
        <v>449</v>
      </c>
      <c r="B62" s="85" t="s">
        <v>450</v>
      </c>
      <c r="C62" s="85" t="s">
        <v>451</v>
      </c>
      <c r="D62" s="85" t="s">
        <v>452</v>
      </c>
      <c r="E62" s="171" t="s">
        <v>567</v>
      </c>
      <c r="F62" s="84" t="s">
        <v>201</v>
      </c>
      <c r="G62" s="84" t="s">
        <v>201</v>
      </c>
      <c r="H62" s="85" t="s">
        <v>201</v>
      </c>
      <c r="I62" s="84" t="s">
        <v>454</v>
      </c>
      <c r="J62" s="84" t="s">
        <v>455</v>
      </c>
      <c r="K62" s="85" t="s">
        <v>523</v>
      </c>
      <c r="L62" s="84">
        <v>5</v>
      </c>
      <c r="M62" s="84" t="s">
        <v>568</v>
      </c>
      <c r="N62" s="84" t="s">
        <v>569</v>
      </c>
      <c r="O62" s="84" t="s">
        <v>570</v>
      </c>
      <c r="P62" s="84" t="s">
        <v>200</v>
      </c>
      <c r="Q62" s="84" t="s">
        <v>162</v>
      </c>
      <c r="R62" s="83">
        <v>1</v>
      </c>
      <c r="S62" s="84" t="s">
        <v>163</v>
      </c>
      <c r="T62" s="139">
        <v>44927</v>
      </c>
      <c r="U62" s="139">
        <v>46387</v>
      </c>
      <c r="V62" s="90"/>
      <c r="W62" s="90"/>
      <c r="X62" s="90"/>
      <c r="Y62" s="90"/>
      <c r="Z62" s="85"/>
      <c r="AA62" s="85">
        <v>1</v>
      </c>
      <c r="AB62" s="85">
        <v>1</v>
      </c>
      <c r="AC62" s="85">
        <v>1</v>
      </c>
      <c r="AD62" s="85">
        <v>1</v>
      </c>
      <c r="AE62" s="85"/>
      <c r="AF62" s="90"/>
      <c r="AG62" s="90"/>
      <c r="AH62" s="90"/>
      <c r="AI62" s="90"/>
      <c r="AJ62" s="85"/>
      <c r="AK62" s="90"/>
      <c r="AL62" s="90"/>
      <c r="AM62" s="90"/>
      <c r="AN62" s="90"/>
      <c r="AO62" s="85"/>
      <c r="AP62" s="85"/>
      <c r="AQ62" s="84"/>
      <c r="AR62" s="84"/>
      <c r="AS62" s="84"/>
      <c r="AT62" s="84"/>
      <c r="AU62" s="84"/>
      <c r="AV62" s="84"/>
      <c r="AW62" s="84"/>
      <c r="AX62" s="84"/>
      <c r="AY62" s="84"/>
      <c r="AZ62" s="86"/>
      <c r="BA62" s="84"/>
      <c r="BB62" s="86"/>
      <c r="BC62" s="84"/>
      <c r="BD62" s="86"/>
      <c r="BE62" s="84"/>
      <c r="BF62" s="84"/>
      <c r="BG62" s="84"/>
      <c r="BH62" s="84"/>
      <c r="BI62" s="84"/>
      <c r="BJ62" s="86"/>
      <c r="BK62" s="151"/>
      <c r="BL62" s="151"/>
      <c r="BM62" s="151"/>
      <c r="BN62" s="151"/>
      <c r="BO62" s="151"/>
      <c r="BP62" s="151"/>
      <c r="BQ62" s="151"/>
      <c r="BR62" s="151"/>
      <c r="BS62" s="84"/>
      <c r="BT62" s="84"/>
      <c r="BU62" s="84"/>
      <c r="BV62" s="84"/>
      <c r="BW62" s="84"/>
      <c r="BX62" s="84"/>
      <c r="BY62" s="84"/>
      <c r="BZ62" s="84"/>
      <c r="CA62" s="84"/>
      <c r="CB62" s="84"/>
      <c r="CC62" s="84"/>
      <c r="CD62" s="84"/>
      <c r="CE62" s="84"/>
      <c r="CF62" s="151"/>
      <c r="CG62" s="152"/>
      <c r="CH62" s="152"/>
      <c r="CI62" s="151"/>
      <c r="CJ62" s="83" t="str">
        <f t="shared" si="0"/>
        <v>No aplica</v>
      </c>
      <c r="CK62" s="83" t="str">
        <f t="shared" si="1"/>
        <v>No aplica</v>
      </c>
      <c r="CL62" s="83" t="str">
        <f t="shared" si="4"/>
        <v>No requiere reporte</v>
      </c>
      <c r="CM62" s="89" t="str">
        <f t="shared" si="5"/>
        <v>No requiere reporte</v>
      </c>
      <c r="CN62" s="89" t="str">
        <f t="shared" si="6"/>
        <v>No requiere reporte</v>
      </c>
      <c r="CO62" s="145" t="s">
        <v>592</v>
      </c>
      <c r="CP62" s="677" t="s">
        <v>593</v>
      </c>
      <c r="CQ62" s="665" t="s">
        <v>594</v>
      </c>
      <c r="CR62" s="677" t="s">
        <v>586</v>
      </c>
      <c r="CS62" s="677" t="s">
        <v>570</v>
      </c>
      <c r="CT62" s="145" t="s">
        <v>200</v>
      </c>
      <c r="CU62" s="145" t="s">
        <v>162</v>
      </c>
      <c r="CV62" s="157">
        <v>1</v>
      </c>
      <c r="CW62" s="145" t="s">
        <v>163</v>
      </c>
      <c r="CX62" s="663">
        <v>46023</v>
      </c>
      <c r="CY62" s="663">
        <v>46387</v>
      </c>
      <c r="CZ62" s="146">
        <v>1</v>
      </c>
      <c r="DA62" s="146">
        <v>1</v>
      </c>
      <c r="DB62" s="146">
        <v>1</v>
      </c>
      <c r="DC62" s="146">
        <v>1</v>
      </c>
      <c r="DD62" s="146">
        <v>1</v>
      </c>
      <c r="DE62" s="145" t="s">
        <v>265</v>
      </c>
      <c r="DF62" s="145" t="s">
        <v>587</v>
      </c>
      <c r="DG62" s="145" t="s">
        <v>588</v>
      </c>
      <c r="DH62" s="147">
        <v>327250000</v>
      </c>
      <c r="DI62" s="145" t="s">
        <v>557</v>
      </c>
      <c r="DJ62" s="145" t="s">
        <v>558</v>
      </c>
      <c r="DK62" s="145" t="s">
        <v>559</v>
      </c>
      <c r="DL62" s="145" t="s">
        <v>560</v>
      </c>
      <c r="DM62" s="759"/>
      <c r="DN62" s="85"/>
      <c r="DO62" s="761"/>
      <c r="DP62" s="86"/>
      <c r="DQ62" s="84"/>
      <c r="DR62" s="84"/>
      <c r="DS62" s="85"/>
      <c r="DT62" s="86"/>
      <c r="DU62" s="149"/>
      <c r="DV62" s="86"/>
      <c r="DW62" s="86"/>
      <c r="DX62" s="85"/>
      <c r="DY62" s="86"/>
      <c r="DZ62" s="150"/>
      <c r="EA62" s="86"/>
      <c r="EB62" s="86"/>
      <c r="EC62" s="85"/>
      <c r="ED62" s="86"/>
      <c r="EE62" s="86"/>
      <c r="EF62" s="86"/>
      <c r="EG62" s="86"/>
      <c r="EH62" s="83"/>
      <c r="EI62" s="86"/>
      <c r="EJ62" s="86"/>
      <c r="EK62" s="86"/>
      <c r="EL62" s="91" t="str">
        <f t="shared" si="7"/>
        <v>No se reportó avance</v>
      </c>
      <c r="EM62" s="83" t="str">
        <f t="shared" si="8"/>
        <v>No se reportó avance</v>
      </c>
      <c r="EN62" s="153"/>
      <c r="EO62" s="93" t="str">
        <f t="shared" si="10"/>
        <v>Gestión</v>
      </c>
      <c r="EP62" s="93" t="str">
        <f t="shared" si="11"/>
        <v>7</v>
      </c>
    </row>
    <row r="63" spans="1:146" ht="150" customHeight="1">
      <c r="A63" s="84" t="s">
        <v>449</v>
      </c>
      <c r="B63" s="85" t="s">
        <v>450</v>
      </c>
      <c r="C63" s="85" t="s">
        <v>451</v>
      </c>
      <c r="D63" s="85" t="s">
        <v>452</v>
      </c>
      <c r="E63" s="171" t="s">
        <v>567</v>
      </c>
      <c r="F63" s="84" t="s">
        <v>201</v>
      </c>
      <c r="G63" s="84" t="s">
        <v>201</v>
      </c>
      <c r="H63" s="85" t="s">
        <v>201</v>
      </c>
      <c r="I63" s="84" t="s">
        <v>454</v>
      </c>
      <c r="J63" s="84" t="s">
        <v>455</v>
      </c>
      <c r="K63" s="85" t="s">
        <v>523</v>
      </c>
      <c r="L63" s="84">
        <v>5</v>
      </c>
      <c r="M63" s="84" t="s">
        <v>568</v>
      </c>
      <c r="N63" s="84" t="s">
        <v>569</v>
      </c>
      <c r="O63" s="84" t="s">
        <v>570</v>
      </c>
      <c r="P63" s="84" t="s">
        <v>200</v>
      </c>
      <c r="Q63" s="84" t="s">
        <v>162</v>
      </c>
      <c r="R63" s="83">
        <v>1</v>
      </c>
      <c r="S63" s="84" t="s">
        <v>163</v>
      </c>
      <c r="T63" s="139">
        <v>44927</v>
      </c>
      <c r="U63" s="139">
        <v>46387</v>
      </c>
      <c r="V63" s="90"/>
      <c r="W63" s="90"/>
      <c r="X63" s="90"/>
      <c r="Y63" s="90"/>
      <c r="Z63" s="85"/>
      <c r="AA63" s="85">
        <v>1</v>
      </c>
      <c r="AB63" s="85">
        <v>1</v>
      </c>
      <c r="AC63" s="85">
        <v>1</v>
      </c>
      <c r="AD63" s="85">
        <v>1</v>
      </c>
      <c r="AE63" s="85"/>
      <c r="AF63" s="90"/>
      <c r="AG63" s="90"/>
      <c r="AH63" s="90"/>
      <c r="AI63" s="90"/>
      <c r="AJ63" s="85"/>
      <c r="AK63" s="90"/>
      <c r="AL63" s="90"/>
      <c r="AM63" s="90"/>
      <c r="AN63" s="90"/>
      <c r="AO63" s="85"/>
      <c r="AP63" s="85"/>
      <c r="AQ63" s="84"/>
      <c r="AR63" s="84"/>
      <c r="AS63" s="84"/>
      <c r="AT63" s="84"/>
      <c r="AU63" s="84"/>
      <c r="AV63" s="84"/>
      <c r="AW63" s="84"/>
      <c r="AX63" s="84"/>
      <c r="AY63" s="84"/>
      <c r="AZ63" s="86"/>
      <c r="BA63" s="84"/>
      <c r="BB63" s="86"/>
      <c r="BC63" s="84"/>
      <c r="BD63" s="86"/>
      <c r="BE63" s="84"/>
      <c r="BF63" s="84"/>
      <c r="BG63" s="84"/>
      <c r="BH63" s="84"/>
      <c r="BI63" s="84"/>
      <c r="BJ63" s="86"/>
      <c r="BK63" s="151"/>
      <c r="BL63" s="151"/>
      <c r="BM63" s="151"/>
      <c r="BN63" s="151"/>
      <c r="BO63" s="151"/>
      <c r="BP63" s="151"/>
      <c r="BQ63" s="151"/>
      <c r="BR63" s="151"/>
      <c r="BS63" s="84"/>
      <c r="BT63" s="84"/>
      <c r="BU63" s="84"/>
      <c r="BV63" s="84"/>
      <c r="BW63" s="84"/>
      <c r="BX63" s="84"/>
      <c r="BY63" s="84"/>
      <c r="BZ63" s="84"/>
      <c r="CA63" s="84"/>
      <c r="CB63" s="84"/>
      <c r="CC63" s="84"/>
      <c r="CD63" s="84"/>
      <c r="CE63" s="84"/>
      <c r="CF63" s="151"/>
      <c r="CG63" s="152"/>
      <c r="CH63" s="152"/>
      <c r="CI63" s="151"/>
      <c r="CJ63" s="83" t="str">
        <f t="shared" si="0"/>
        <v>No aplica</v>
      </c>
      <c r="CK63" s="83" t="str">
        <f t="shared" si="1"/>
        <v>No aplica</v>
      </c>
      <c r="CL63" s="83" t="str">
        <f t="shared" si="4"/>
        <v>No requiere reporte</v>
      </c>
      <c r="CM63" s="89" t="str">
        <f t="shared" si="5"/>
        <v>No requiere reporte</v>
      </c>
      <c r="CN63" s="89" t="str">
        <f t="shared" si="6"/>
        <v>No requiere reporte</v>
      </c>
      <c r="CO63" s="145" t="s">
        <v>595</v>
      </c>
      <c r="CP63" s="677" t="s">
        <v>596</v>
      </c>
      <c r="CQ63" s="145" t="s">
        <v>597</v>
      </c>
      <c r="CR63" s="716" t="s">
        <v>598</v>
      </c>
      <c r="CS63" s="677" t="s">
        <v>599</v>
      </c>
      <c r="CT63" s="145" t="s">
        <v>200</v>
      </c>
      <c r="CU63" s="145" t="s">
        <v>162</v>
      </c>
      <c r="CV63" s="157">
        <v>1</v>
      </c>
      <c r="CW63" s="145" t="s">
        <v>163</v>
      </c>
      <c r="CX63" s="663">
        <v>45658</v>
      </c>
      <c r="CY63" s="663">
        <v>46022</v>
      </c>
      <c r="CZ63" s="146">
        <v>1</v>
      </c>
      <c r="DA63" s="146">
        <v>1</v>
      </c>
      <c r="DB63" s="146">
        <v>1</v>
      </c>
      <c r="DC63" s="146">
        <v>1</v>
      </c>
      <c r="DD63" s="146">
        <v>1</v>
      </c>
      <c r="DE63" s="145" t="s">
        <v>514</v>
      </c>
      <c r="DF63" s="145" t="s">
        <v>4651</v>
      </c>
      <c r="DG63" s="145" t="s">
        <v>4652</v>
      </c>
      <c r="DH63" s="147">
        <v>98000000</v>
      </c>
      <c r="DI63" s="145" t="s">
        <v>557</v>
      </c>
      <c r="DJ63" s="145" t="s">
        <v>558</v>
      </c>
      <c r="DK63" s="145" t="s">
        <v>559</v>
      </c>
      <c r="DL63" s="145" t="s">
        <v>560</v>
      </c>
      <c r="DM63" s="759"/>
      <c r="DN63" s="85"/>
      <c r="DO63" s="86"/>
      <c r="DP63" s="86"/>
      <c r="DQ63" s="84"/>
      <c r="DR63" s="84"/>
      <c r="DS63" s="85"/>
      <c r="DT63" s="86"/>
      <c r="DU63" s="149"/>
      <c r="DV63" s="86"/>
      <c r="DW63" s="86"/>
      <c r="DX63" s="85"/>
      <c r="DY63" s="86"/>
      <c r="DZ63" s="150"/>
      <c r="EA63" s="86"/>
      <c r="EB63" s="86"/>
      <c r="EC63" s="85"/>
      <c r="ED63" s="86"/>
      <c r="EE63" s="86"/>
      <c r="EF63" s="86"/>
      <c r="EG63" s="86"/>
      <c r="EH63" s="83"/>
      <c r="EI63" s="86"/>
      <c r="EJ63" s="86"/>
      <c r="EK63" s="86"/>
      <c r="EL63" s="91" t="str">
        <f t="shared" si="7"/>
        <v>No se reportó avance</v>
      </c>
      <c r="EM63" s="83" t="str">
        <f t="shared" si="8"/>
        <v>No se reportó avance</v>
      </c>
      <c r="EN63" s="153"/>
      <c r="EO63" s="93" t="str">
        <f t="shared" si="10"/>
        <v>Gestión</v>
      </c>
      <c r="EP63" s="93" t="str">
        <f t="shared" si="11"/>
        <v>7</v>
      </c>
    </row>
    <row r="64" spans="1:146" s="93" customFormat="1" ht="73.150000000000006" customHeight="1">
      <c r="A64" s="84" t="s">
        <v>449</v>
      </c>
      <c r="B64" s="85" t="s">
        <v>450</v>
      </c>
      <c r="C64" s="85" t="s">
        <v>451</v>
      </c>
      <c r="D64" s="85" t="s">
        <v>452</v>
      </c>
      <c r="E64" s="171" t="s">
        <v>567</v>
      </c>
      <c r="F64" s="84" t="s">
        <v>201</v>
      </c>
      <c r="G64" s="84" t="s">
        <v>201</v>
      </c>
      <c r="H64" s="85" t="s">
        <v>201</v>
      </c>
      <c r="I64" s="84" t="s">
        <v>454</v>
      </c>
      <c r="J64" s="84" t="s">
        <v>455</v>
      </c>
      <c r="K64" s="85" t="s">
        <v>523</v>
      </c>
      <c r="L64" s="84">
        <v>5</v>
      </c>
      <c r="M64" s="84" t="s">
        <v>568</v>
      </c>
      <c r="N64" s="84" t="s">
        <v>569</v>
      </c>
      <c r="O64" s="84" t="s">
        <v>570</v>
      </c>
      <c r="P64" s="84" t="s">
        <v>200</v>
      </c>
      <c r="Q64" s="84" t="s">
        <v>162</v>
      </c>
      <c r="R64" s="83">
        <v>1</v>
      </c>
      <c r="S64" s="84" t="s">
        <v>163</v>
      </c>
      <c r="T64" s="139">
        <v>44927</v>
      </c>
      <c r="U64" s="139">
        <v>46387</v>
      </c>
      <c r="V64" s="90"/>
      <c r="W64" s="90"/>
      <c r="X64" s="90"/>
      <c r="Y64" s="90"/>
      <c r="Z64" s="85"/>
      <c r="AA64" s="85"/>
      <c r="AB64" s="85"/>
      <c r="AC64" s="85"/>
      <c r="AD64" s="85"/>
      <c r="AE64" s="85"/>
      <c r="AF64" s="90"/>
      <c r="AG64" s="90"/>
      <c r="AH64" s="90"/>
      <c r="AI64" s="90"/>
      <c r="AJ64" s="85"/>
      <c r="AK64" s="90"/>
      <c r="AL64" s="90"/>
      <c r="AM64" s="90"/>
      <c r="AN64" s="90"/>
      <c r="AO64" s="85"/>
      <c r="AP64" s="85"/>
      <c r="AQ64" s="84"/>
      <c r="AR64" s="84"/>
      <c r="AS64" s="84"/>
      <c r="AT64" s="84"/>
      <c r="AU64" s="84"/>
      <c r="AV64" s="84"/>
      <c r="AW64" s="84"/>
      <c r="AX64" s="84"/>
      <c r="AY64" s="84"/>
      <c r="AZ64" s="86"/>
      <c r="BA64" s="84"/>
      <c r="BB64" s="86"/>
      <c r="BC64" s="84"/>
      <c r="BD64" s="86"/>
      <c r="BE64" s="84"/>
      <c r="BF64" s="84"/>
      <c r="BG64" s="84"/>
      <c r="BH64" s="84"/>
      <c r="BI64" s="84"/>
      <c r="BJ64" s="86"/>
      <c r="BK64" s="151"/>
      <c r="BL64" s="151"/>
      <c r="BM64" s="151"/>
      <c r="BN64" s="151"/>
      <c r="BO64" s="151"/>
      <c r="BP64" s="151"/>
      <c r="BQ64" s="151"/>
      <c r="BR64" s="151"/>
      <c r="BS64" s="84"/>
      <c r="BT64" s="84"/>
      <c r="BU64" s="84"/>
      <c r="BV64" s="84"/>
      <c r="BW64" s="84"/>
      <c r="BX64" s="84"/>
      <c r="BY64" s="84"/>
      <c r="BZ64" s="84"/>
      <c r="CA64" s="84"/>
      <c r="CB64" s="84"/>
      <c r="CC64" s="84"/>
      <c r="CD64" s="84"/>
      <c r="CE64" s="84"/>
      <c r="CF64" s="151"/>
      <c r="CG64" s="152"/>
      <c r="CH64" s="152"/>
      <c r="CI64" s="151"/>
      <c r="CJ64" s="83" t="str">
        <f t="shared" si="0"/>
        <v>No aplica</v>
      </c>
      <c r="CK64" s="83" t="str">
        <f t="shared" si="1"/>
        <v>No aplica</v>
      </c>
      <c r="CL64" s="83" t="str">
        <f t="shared" si="4"/>
        <v>No requiere reporte</v>
      </c>
      <c r="CM64" s="89" t="str">
        <f t="shared" si="5"/>
        <v>No requiere reporte</v>
      </c>
      <c r="CN64" s="89" t="str">
        <f t="shared" si="6"/>
        <v>No requiere reporte</v>
      </c>
      <c r="CO64" s="145" t="s">
        <v>600</v>
      </c>
      <c r="CP64" s="677" t="s">
        <v>601</v>
      </c>
      <c r="CQ64" s="145" t="s">
        <v>602</v>
      </c>
      <c r="CR64" s="778" t="s">
        <v>603</v>
      </c>
      <c r="CS64" s="778" t="s">
        <v>604</v>
      </c>
      <c r="CT64" s="778" t="s">
        <v>200</v>
      </c>
      <c r="CU64" s="778" t="s">
        <v>233</v>
      </c>
      <c r="CV64" s="154">
        <v>4</v>
      </c>
      <c r="CW64" s="145" t="s">
        <v>234</v>
      </c>
      <c r="CX64" s="663">
        <v>46023</v>
      </c>
      <c r="CY64" s="663">
        <v>46387</v>
      </c>
      <c r="CZ64" s="145">
        <v>1</v>
      </c>
      <c r="DA64" s="145">
        <v>1</v>
      </c>
      <c r="DB64" s="145">
        <v>1</v>
      </c>
      <c r="DC64" s="145">
        <v>1</v>
      </c>
      <c r="DD64" s="145">
        <v>4</v>
      </c>
      <c r="DE64" s="145" t="s">
        <v>201</v>
      </c>
      <c r="DF64" s="145" t="s">
        <v>201</v>
      </c>
      <c r="DG64" s="145" t="s">
        <v>201</v>
      </c>
      <c r="DH64" s="147">
        <v>0</v>
      </c>
      <c r="DI64" s="665" t="s">
        <v>557</v>
      </c>
      <c r="DJ64" s="665" t="s">
        <v>558</v>
      </c>
      <c r="DK64" s="665" t="s">
        <v>559</v>
      </c>
      <c r="DL64" s="665" t="s">
        <v>4685</v>
      </c>
      <c r="DM64" s="759"/>
      <c r="DN64" s="85"/>
      <c r="DO64" s="86"/>
      <c r="DP64" s="86"/>
      <c r="DQ64" s="84"/>
      <c r="DR64" s="84"/>
      <c r="DS64" s="85"/>
      <c r="DT64" s="86"/>
      <c r="DU64" s="149"/>
      <c r="DV64" s="86"/>
      <c r="DW64" s="86"/>
      <c r="DX64" s="85"/>
      <c r="DY64" s="86"/>
      <c r="DZ64" s="150"/>
      <c r="EA64" s="86"/>
      <c r="EB64" s="86"/>
      <c r="EC64" s="85"/>
      <c r="ED64" s="86"/>
      <c r="EE64" s="86"/>
      <c r="EF64" s="86"/>
      <c r="EG64" s="86"/>
      <c r="EH64" s="83"/>
      <c r="EI64" s="86"/>
      <c r="EJ64" s="86"/>
      <c r="EK64" s="86"/>
      <c r="EL64" s="91" t="str">
        <f t="shared" si="7"/>
        <v>No se reportó avance</v>
      </c>
      <c r="EM64" s="83" t="str">
        <f t="shared" si="8"/>
        <v>No se reportó avance</v>
      </c>
      <c r="EN64" s="153"/>
    </row>
    <row r="65" spans="1:146" s="93" customFormat="1" ht="150" customHeight="1">
      <c r="A65" s="74" t="s">
        <v>605</v>
      </c>
      <c r="B65" s="75" t="s">
        <v>606</v>
      </c>
      <c r="C65" s="75" t="s">
        <v>201</v>
      </c>
      <c r="D65" s="75" t="s">
        <v>201</v>
      </c>
      <c r="E65" s="75" t="s">
        <v>607</v>
      </c>
      <c r="F65" s="75" t="s">
        <v>201</v>
      </c>
      <c r="G65" s="75" t="s">
        <v>201</v>
      </c>
      <c r="H65" s="75" t="s">
        <v>201</v>
      </c>
      <c r="I65" s="74" t="s">
        <v>454</v>
      </c>
      <c r="J65" s="74" t="s">
        <v>455</v>
      </c>
      <c r="K65" s="74"/>
      <c r="L65" s="78">
        <v>1</v>
      </c>
      <c r="M65" s="78" t="s">
        <v>608</v>
      </c>
      <c r="N65" s="78" t="s">
        <v>609</v>
      </c>
      <c r="O65" s="78" t="s">
        <v>610</v>
      </c>
      <c r="P65" s="78" t="s">
        <v>200</v>
      </c>
      <c r="Q65" s="78" t="s">
        <v>162</v>
      </c>
      <c r="R65" s="82">
        <v>1</v>
      </c>
      <c r="S65" s="78" t="s">
        <v>163</v>
      </c>
      <c r="T65" s="80">
        <v>44927</v>
      </c>
      <c r="U65" s="80">
        <v>46387</v>
      </c>
      <c r="V65" s="121">
        <v>1</v>
      </c>
      <c r="W65" s="121">
        <v>1</v>
      </c>
      <c r="X65" s="121">
        <v>1</v>
      </c>
      <c r="Y65" s="121">
        <v>1</v>
      </c>
      <c r="Z65" s="82">
        <v>1</v>
      </c>
      <c r="AA65" s="121">
        <v>1</v>
      </c>
      <c r="AB65" s="121">
        <v>1</v>
      </c>
      <c r="AC65" s="121">
        <v>1</v>
      </c>
      <c r="AD65" s="121">
        <v>1</v>
      </c>
      <c r="AE65" s="82">
        <v>1</v>
      </c>
      <c r="AF65" s="82">
        <v>0</v>
      </c>
      <c r="AG65" s="82">
        <v>0</v>
      </c>
      <c r="AH65" s="82">
        <v>1</v>
      </c>
      <c r="AI65" s="82">
        <v>1</v>
      </c>
      <c r="AJ65" s="82">
        <v>1</v>
      </c>
      <c r="AK65" s="121">
        <v>1</v>
      </c>
      <c r="AL65" s="121">
        <v>1</v>
      </c>
      <c r="AM65" s="121">
        <v>1</v>
      </c>
      <c r="AN65" s="121">
        <v>1</v>
      </c>
      <c r="AO65" s="82">
        <v>1</v>
      </c>
      <c r="AP65" s="82">
        <v>1</v>
      </c>
      <c r="AQ65" s="83">
        <v>1</v>
      </c>
      <c r="AR65" s="84" t="s">
        <v>611</v>
      </c>
      <c r="AS65" s="83">
        <v>1</v>
      </c>
      <c r="AT65" s="84" t="s">
        <v>612</v>
      </c>
      <c r="AU65" s="83">
        <v>1</v>
      </c>
      <c r="AV65" s="84" t="s">
        <v>613</v>
      </c>
      <c r="AW65" s="83">
        <v>1</v>
      </c>
      <c r="AX65" s="84" t="s">
        <v>614</v>
      </c>
      <c r="AY65" s="83">
        <v>1</v>
      </c>
      <c r="AZ65" s="86" t="s">
        <v>615</v>
      </c>
      <c r="BA65" s="83">
        <f>1/1</f>
        <v>1</v>
      </c>
      <c r="BB65" s="84" t="s">
        <v>616</v>
      </c>
      <c r="BC65" s="83">
        <f>1/1</f>
        <v>1</v>
      </c>
      <c r="BD65" s="84" t="s">
        <v>617</v>
      </c>
      <c r="BE65" s="83">
        <v>1</v>
      </c>
      <c r="BF65" s="84" t="s">
        <v>618</v>
      </c>
      <c r="BG65" s="89" t="str">
        <f>+EN65</f>
        <v>OAP 12.03.2025: Se realiza ajuste a a la actividad 1.1 conforme a la solicitud de correo electrónico de fecha 13.03.2025 remitido por la Directora Jurídica así:
Indicador de la actividad_Antes: Numero de documentos instructivos en el tema de contrato realidad realizadas
Fórmula de cálculo: Antes: Sumatoria del número de documentos elaborados
Tipo de indicador_ Producto </v>
      </c>
      <c r="BH65" s="89" t="s">
        <v>619</v>
      </c>
      <c r="BI65" s="83">
        <f>(2/2)</f>
        <v>1</v>
      </c>
      <c r="BJ65" s="172" t="s">
        <v>620</v>
      </c>
      <c r="BK65" s="85">
        <v>0</v>
      </c>
      <c r="BL65" s="86" t="s">
        <v>621</v>
      </c>
      <c r="BM65" s="85">
        <v>0</v>
      </c>
      <c r="BN65" s="86" t="s">
        <v>622</v>
      </c>
      <c r="BO65" s="85">
        <v>0</v>
      </c>
      <c r="BP65" s="86" t="s">
        <v>623</v>
      </c>
      <c r="BQ65" s="84"/>
      <c r="BR65" s="84"/>
      <c r="BS65" s="85">
        <v>0</v>
      </c>
      <c r="BT65" s="85"/>
      <c r="BU65" s="85"/>
      <c r="BV65" s="85"/>
      <c r="BW65" s="85"/>
      <c r="BX65" s="85"/>
      <c r="BY65" s="85"/>
      <c r="BZ65" s="85"/>
      <c r="CA65" s="85"/>
      <c r="CB65" s="85"/>
      <c r="CC65" s="85"/>
      <c r="CD65" s="85"/>
      <c r="CE65" s="173"/>
      <c r="CF65" s="84"/>
      <c r="CG65" s="372">
        <f>+SUM(DH65)</f>
        <v>0</v>
      </c>
      <c r="CH65" s="372"/>
      <c r="CI65" s="372"/>
      <c r="CJ65" s="83" t="str">
        <f t="shared" si="0"/>
        <v>No aplica</v>
      </c>
      <c r="CK65" s="83" t="str">
        <f t="shared" si="1"/>
        <v>No aplica</v>
      </c>
      <c r="CL65" s="83" t="str">
        <f t="shared" si="4"/>
        <v>No se reportó avance</v>
      </c>
      <c r="CM65" s="89" t="str">
        <f t="shared" si="5"/>
        <v>No se reportó avance</v>
      </c>
      <c r="CN65" s="89" t="str">
        <f t="shared" si="6"/>
        <v>No se reportó avance</v>
      </c>
      <c r="CO65" s="84" t="s">
        <v>177</v>
      </c>
      <c r="CP65" s="84" t="s">
        <v>624</v>
      </c>
      <c r="CQ65" s="84" t="s">
        <v>625</v>
      </c>
      <c r="CR65" s="84" t="s">
        <v>4657</v>
      </c>
      <c r="CS65" s="84" t="s">
        <v>626</v>
      </c>
      <c r="CT65" s="84" t="s">
        <v>200</v>
      </c>
      <c r="CU65" s="84" t="s">
        <v>233</v>
      </c>
      <c r="CV65" s="83" t="s">
        <v>182</v>
      </c>
      <c r="CW65" s="84" t="s">
        <v>234</v>
      </c>
      <c r="CX65" s="90">
        <v>46023</v>
      </c>
      <c r="CY65" s="90">
        <v>46387</v>
      </c>
      <c r="CZ65" s="122">
        <v>1</v>
      </c>
      <c r="DA65" s="122">
        <v>0</v>
      </c>
      <c r="DB65" s="122">
        <v>1</v>
      </c>
      <c r="DC65" s="122">
        <v>0</v>
      </c>
      <c r="DD65" s="122">
        <f>+CZ65+DA65+DB65+DC65</f>
        <v>2</v>
      </c>
      <c r="DE65" s="84" t="s">
        <v>201</v>
      </c>
      <c r="DF65" s="84" t="s">
        <v>201</v>
      </c>
      <c r="DG65" s="84" t="s">
        <v>201</v>
      </c>
      <c r="DH65" s="84" t="s">
        <v>201</v>
      </c>
      <c r="DI65" s="84" t="s">
        <v>627</v>
      </c>
      <c r="DJ65" s="84" t="s">
        <v>628</v>
      </c>
      <c r="DK65" s="84" t="s">
        <v>629</v>
      </c>
      <c r="DL65" s="84" t="s">
        <v>201</v>
      </c>
      <c r="DM65" s="84" t="s">
        <v>201</v>
      </c>
      <c r="DN65" s="84"/>
      <c r="DO65" s="86"/>
      <c r="DP65" s="84"/>
      <c r="DQ65" s="86"/>
      <c r="DR65" s="86"/>
      <c r="DS65" s="84"/>
      <c r="DT65" s="86"/>
      <c r="DU65" s="84"/>
      <c r="DV65" s="86"/>
      <c r="DW65" s="86"/>
      <c r="DX65" s="84"/>
      <c r="DY65" s="86"/>
      <c r="DZ65" s="84"/>
      <c r="EA65" s="86"/>
      <c r="EB65" s="86"/>
      <c r="EC65" s="84"/>
      <c r="ED65" s="84"/>
      <c r="EE65" s="84"/>
      <c r="EF65" s="84"/>
      <c r="EG65" s="84"/>
      <c r="EH65" s="122"/>
      <c r="EI65" s="84"/>
      <c r="EJ65" s="84"/>
      <c r="EK65" s="131"/>
      <c r="EL65" s="91" t="str">
        <f t="shared" si="7"/>
        <v>No se reportó avance</v>
      </c>
      <c r="EM65" s="83" t="str">
        <f t="shared" si="8"/>
        <v>No se reportó avance</v>
      </c>
      <c r="EN65" s="86" t="s">
        <v>630</v>
      </c>
      <c r="EO65" s="93" t="str">
        <f t="shared" ref="EO65:EO74" si="12">+IF(OR(P65="Producto",P65="Resultado",P65="Impacto"),"Producto",P65)</f>
        <v>Gestión</v>
      </c>
      <c r="EP65" s="93" t="str">
        <f t="shared" ref="EP65:EP74" si="13">+MID(J65,1,1)</f>
        <v>7</v>
      </c>
    </row>
    <row r="66" spans="1:146" s="93" customFormat="1" ht="150" customHeight="1">
      <c r="A66" s="74" t="s">
        <v>605</v>
      </c>
      <c r="B66" s="75" t="s">
        <v>606</v>
      </c>
      <c r="C66" s="75" t="s">
        <v>201</v>
      </c>
      <c r="D66" s="75" t="s">
        <v>201</v>
      </c>
      <c r="E66" s="75" t="s">
        <v>607</v>
      </c>
      <c r="F66" s="75" t="s">
        <v>201</v>
      </c>
      <c r="G66" s="75" t="s">
        <v>201</v>
      </c>
      <c r="H66" s="75" t="s">
        <v>201</v>
      </c>
      <c r="I66" s="74" t="s">
        <v>454</v>
      </c>
      <c r="J66" s="74" t="s">
        <v>455</v>
      </c>
      <c r="K66" s="74"/>
      <c r="L66" s="78">
        <v>2</v>
      </c>
      <c r="M66" s="78" t="s">
        <v>631</v>
      </c>
      <c r="N66" s="78" t="s">
        <v>632</v>
      </c>
      <c r="O66" s="78" t="s">
        <v>633</v>
      </c>
      <c r="P66" s="78" t="s">
        <v>200</v>
      </c>
      <c r="Q66" s="78" t="s">
        <v>162</v>
      </c>
      <c r="R66" s="78" t="s">
        <v>182</v>
      </c>
      <c r="S66" s="78" t="s">
        <v>163</v>
      </c>
      <c r="T66" s="80">
        <v>44927</v>
      </c>
      <c r="U66" s="80">
        <v>46387</v>
      </c>
      <c r="V66" s="121">
        <f>(6/6)*100%</f>
        <v>1</v>
      </c>
      <c r="W66" s="121">
        <f>(6/6)*100%</f>
        <v>1</v>
      </c>
      <c r="X66" s="121">
        <f>(6/6)*100%</f>
        <v>1</v>
      </c>
      <c r="Y66" s="121">
        <f>(6/6)*100%</f>
        <v>1</v>
      </c>
      <c r="Z66" s="82">
        <f>(24/24)*100%</f>
        <v>1</v>
      </c>
      <c r="AA66" s="121">
        <f t="shared" ref="AA66:AD67" si="14">(6/6)*100%</f>
        <v>1</v>
      </c>
      <c r="AB66" s="121">
        <f t="shared" si="14"/>
        <v>1</v>
      </c>
      <c r="AC66" s="121">
        <f t="shared" si="14"/>
        <v>1</v>
      </c>
      <c r="AD66" s="121">
        <f t="shared" si="14"/>
        <v>1</v>
      </c>
      <c r="AE66" s="82">
        <f>(24/24)*100%</f>
        <v>1</v>
      </c>
      <c r="AF66" s="82">
        <f t="shared" ref="AF66:AI67" si="15">(6/6)*100%</f>
        <v>1</v>
      </c>
      <c r="AG66" s="82">
        <f t="shared" si="15"/>
        <v>1</v>
      </c>
      <c r="AH66" s="82">
        <f t="shared" si="15"/>
        <v>1</v>
      </c>
      <c r="AI66" s="82">
        <f t="shared" si="15"/>
        <v>1</v>
      </c>
      <c r="AJ66" s="82">
        <f>(24/24)*100%</f>
        <v>1</v>
      </c>
      <c r="AK66" s="121">
        <v>1</v>
      </c>
      <c r="AL66" s="121">
        <v>1</v>
      </c>
      <c r="AM66" s="121">
        <v>1</v>
      </c>
      <c r="AN66" s="121">
        <v>1</v>
      </c>
      <c r="AO66" s="82">
        <v>1</v>
      </c>
      <c r="AP66" s="82">
        <f>+(1)*100%</f>
        <v>1</v>
      </c>
      <c r="AQ66" s="83">
        <f>+(6/6)*100%</f>
        <v>1</v>
      </c>
      <c r="AR66" s="84" t="s">
        <v>634</v>
      </c>
      <c r="AS66" s="83">
        <f>+(7/7)*100%</f>
        <v>1</v>
      </c>
      <c r="AT66" s="84" t="s">
        <v>635</v>
      </c>
      <c r="AU66" s="83">
        <f>+(7/7)*100%</f>
        <v>1</v>
      </c>
      <c r="AV66" s="84" t="s">
        <v>636</v>
      </c>
      <c r="AW66" s="83">
        <f>+(6/6)*100%</f>
        <v>1</v>
      </c>
      <c r="AX66" s="84" t="s">
        <v>637</v>
      </c>
      <c r="AY66" s="83">
        <f>+(26/26)*100%</f>
        <v>1</v>
      </c>
      <c r="AZ66" s="86" t="s">
        <v>638</v>
      </c>
      <c r="BA66" s="83">
        <f>+(6/6)*100%</f>
        <v>1</v>
      </c>
      <c r="BB66" s="84" t="s">
        <v>639</v>
      </c>
      <c r="BC66" s="83">
        <f>+(6/6)*100%</f>
        <v>1</v>
      </c>
      <c r="BD66" s="84" t="s">
        <v>640</v>
      </c>
      <c r="BE66" s="83">
        <f>+(6/6)*100%</f>
        <v>1</v>
      </c>
      <c r="BF66" s="84" t="s">
        <v>641</v>
      </c>
      <c r="BG66" s="83">
        <f>+(6/6)*100%</f>
        <v>1</v>
      </c>
      <c r="BH66" s="115" t="s">
        <v>642</v>
      </c>
      <c r="BI66" s="83">
        <f>+(24/24)*100%</f>
        <v>1</v>
      </c>
      <c r="BJ66" s="174" t="s">
        <v>643</v>
      </c>
      <c r="BK66" s="83">
        <f>+(4/4)*100%</f>
        <v>1</v>
      </c>
      <c r="BL66" s="86" t="s">
        <v>644</v>
      </c>
      <c r="BM66" s="83">
        <f>(6/6)*100%</f>
        <v>1</v>
      </c>
      <c r="BN66" s="86" t="s">
        <v>645</v>
      </c>
      <c r="BO66" s="83">
        <f>(6/6)*100%</f>
        <v>1</v>
      </c>
      <c r="BP66" s="86" t="s">
        <v>646</v>
      </c>
      <c r="BQ66" s="84"/>
      <c r="BR66" s="84"/>
      <c r="BS66" s="83">
        <f>(16/16)*100%</f>
        <v>1</v>
      </c>
      <c r="BT66" s="85"/>
      <c r="BU66" s="85"/>
      <c r="BV66" s="85"/>
      <c r="BW66" s="85"/>
      <c r="BX66" s="85"/>
      <c r="BY66" s="85"/>
      <c r="BZ66" s="85"/>
      <c r="CA66" s="85"/>
      <c r="CB66" s="85"/>
      <c r="CC66" s="85"/>
      <c r="CD66" s="85"/>
      <c r="CE66" s="83"/>
      <c r="CF66" s="84"/>
      <c r="CG66" s="372">
        <f>+SUM(DH66:DH67)</f>
        <v>3542900000</v>
      </c>
      <c r="CH66" s="372"/>
      <c r="CI66" s="372"/>
      <c r="CJ66" s="83">
        <f t="shared" si="0"/>
        <v>0</v>
      </c>
      <c r="CK66" s="83">
        <f t="shared" si="1"/>
        <v>0</v>
      </c>
      <c r="CL66" s="83" t="str">
        <f t="shared" si="4"/>
        <v>No se reportó avance</v>
      </c>
      <c r="CM66" s="89" t="str">
        <f t="shared" si="5"/>
        <v>No se reportó avance</v>
      </c>
      <c r="CN66" s="89" t="str">
        <f t="shared" si="6"/>
        <v>No se reportó avance</v>
      </c>
      <c r="CO66" s="84" t="s">
        <v>225</v>
      </c>
      <c r="CP66" s="84" t="s">
        <v>4658</v>
      </c>
      <c r="CQ66" s="84" t="s">
        <v>649</v>
      </c>
      <c r="CR66" s="84" t="s">
        <v>4659</v>
      </c>
      <c r="CS66" s="84" t="s">
        <v>4660</v>
      </c>
      <c r="CT66" s="84" t="s">
        <v>200</v>
      </c>
      <c r="CU66" s="84" t="s">
        <v>162</v>
      </c>
      <c r="CV66" s="85">
        <v>1</v>
      </c>
      <c r="CW66" s="84" t="s">
        <v>163</v>
      </c>
      <c r="CX66" s="90">
        <v>46023</v>
      </c>
      <c r="CY66" s="90">
        <v>46387</v>
      </c>
      <c r="CZ66" s="146">
        <v>1</v>
      </c>
      <c r="DA66" s="146">
        <v>1</v>
      </c>
      <c r="DB66" s="146">
        <v>1</v>
      </c>
      <c r="DC66" s="146">
        <v>1</v>
      </c>
      <c r="DD66" s="146">
        <v>1</v>
      </c>
      <c r="DE66" s="84" t="s">
        <v>201</v>
      </c>
      <c r="DF66" s="84" t="s">
        <v>201</v>
      </c>
      <c r="DG66" s="84" t="s">
        <v>201</v>
      </c>
      <c r="DH66" s="84" t="s">
        <v>201</v>
      </c>
      <c r="DI66" s="84" t="s">
        <v>627</v>
      </c>
      <c r="DJ66" s="84" t="s">
        <v>628</v>
      </c>
      <c r="DK66" s="84" t="s">
        <v>629</v>
      </c>
      <c r="DL66" s="84" t="s">
        <v>201</v>
      </c>
      <c r="DM66" s="84" t="s">
        <v>201</v>
      </c>
      <c r="DN66" s="84"/>
      <c r="DO66" s="86"/>
      <c r="DP66" s="150"/>
      <c r="DQ66" s="86"/>
      <c r="DR66" s="86"/>
      <c r="DS66" s="84"/>
      <c r="DT66" s="86"/>
      <c r="DU66" s="150"/>
      <c r="DV66" s="86"/>
      <c r="DW66" s="86"/>
      <c r="DX66" s="84"/>
      <c r="DY66" s="86"/>
      <c r="DZ66" s="760"/>
      <c r="EA66" s="86"/>
      <c r="EB66" s="86"/>
      <c r="EC66" s="84"/>
      <c r="ED66" s="84"/>
      <c r="EE66" s="84"/>
      <c r="EF66" s="84"/>
      <c r="EG66" s="84"/>
      <c r="EH66" s="122"/>
      <c r="EI66" s="84"/>
      <c r="EJ66" s="84"/>
      <c r="EK66" s="131"/>
      <c r="EL66" s="91" t="str">
        <f t="shared" si="7"/>
        <v>No se reportó avance</v>
      </c>
      <c r="EM66" s="83" t="str">
        <f t="shared" si="8"/>
        <v>No se reportó avance</v>
      </c>
      <c r="EN66" s="86" t="s">
        <v>648</v>
      </c>
      <c r="EO66" s="93" t="str">
        <f t="shared" si="12"/>
        <v>Gestión</v>
      </c>
      <c r="EP66" s="93" t="str">
        <f t="shared" si="13"/>
        <v>7</v>
      </c>
    </row>
    <row r="67" spans="1:146" s="93" customFormat="1" ht="150" customHeight="1">
      <c r="A67" s="84" t="s">
        <v>605</v>
      </c>
      <c r="B67" s="85" t="s">
        <v>606</v>
      </c>
      <c r="C67" s="85" t="s">
        <v>201</v>
      </c>
      <c r="D67" s="85" t="s">
        <v>201</v>
      </c>
      <c r="E67" s="85" t="s">
        <v>607</v>
      </c>
      <c r="F67" s="85" t="s">
        <v>201</v>
      </c>
      <c r="G67" s="85" t="s">
        <v>201</v>
      </c>
      <c r="H67" s="85" t="s">
        <v>201</v>
      </c>
      <c r="I67" s="84" t="s">
        <v>454</v>
      </c>
      <c r="J67" s="84" t="s">
        <v>455</v>
      </c>
      <c r="K67" s="84"/>
      <c r="L67" s="84">
        <v>2</v>
      </c>
      <c r="M67" s="84" t="s">
        <v>631</v>
      </c>
      <c r="N67" s="84" t="s">
        <v>632</v>
      </c>
      <c r="O67" s="84" t="s">
        <v>633</v>
      </c>
      <c r="P67" s="84" t="s">
        <v>200</v>
      </c>
      <c r="Q67" s="84" t="s">
        <v>162</v>
      </c>
      <c r="R67" s="84" t="s">
        <v>182</v>
      </c>
      <c r="S67" s="84" t="s">
        <v>163</v>
      </c>
      <c r="T67" s="90">
        <v>44927</v>
      </c>
      <c r="U67" s="90">
        <v>46387</v>
      </c>
      <c r="V67" s="83">
        <f>+(1)*100%</f>
        <v>1</v>
      </c>
      <c r="W67" s="83">
        <f>+(1)*100%</f>
        <v>1</v>
      </c>
      <c r="X67" s="83">
        <f>+(1)*100%</f>
        <v>1</v>
      </c>
      <c r="Y67" s="83">
        <f>+(1)*100%</f>
        <v>1</v>
      </c>
      <c r="Z67" s="83">
        <f>+(24/24)*100%</f>
        <v>1</v>
      </c>
      <c r="AA67" s="83">
        <f t="shared" si="14"/>
        <v>1</v>
      </c>
      <c r="AB67" s="83">
        <f t="shared" si="14"/>
        <v>1</v>
      </c>
      <c r="AC67" s="83">
        <f t="shared" si="14"/>
        <v>1</v>
      </c>
      <c r="AD67" s="83">
        <f t="shared" si="14"/>
        <v>1</v>
      </c>
      <c r="AE67" s="83">
        <f>(24/24)*100%</f>
        <v>1</v>
      </c>
      <c r="AF67" s="83">
        <f t="shared" si="15"/>
        <v>1</v>
      </c>
      <c r="AG67" s="83">
        <f t="shared" si="15"/>
        <v>1</v>
      </c>
      <c r="AH67" s="83">
        <f t="shared" si="15"/>
        <v>1</v>
      </c>
      <c r="AI67" s="83">
        <f t="shared" si="15"/>
        <v>1</v>
      </c>
      <c r="AJ67" s="83">
        <f>(24/24)*100%</f>
        <v>1</v>
      </c>
      <c r="AK67" s="83">
        <v>1</v>
      </c>
      <c r="AL67" s="83">
        <v>1</v>
      </c>
      <c r="AM67" s="83">
        <v>1</v>
      </c>
      <c r="AN67" s="83">
        <v>1</v>
      </c>
      <c r="AO67" s="83">
        <v>1</v>
      </c>
      <c r="AP67" s="83">
        <v>1</v>
      </c>
      <c r="AQ67" s="84"/>
      <c r="AR67" s="84"/>
      <c r="AS67" s="84"/>
      <c r="AT67" s="84"/>
      <c r="AU67" s="84"/>
      <c r="AV67" s="84"/>
      <c r="AW67" s="84"/>
      <c r="AX67" s="84"/>
      <c r="AY67" s="84"/>
      <c r="AZ67" s="86"/>
      <c r="BA67" s="84"/>
      <c r="BB67" s="84"/>
      <c r="BC67" s="84"/>
      <c r="BD67" s="84"/>
      <c r="BE67" s="84"/>
      <c r="BF67" s="84"/>
      <c r="BG67" s="84"/>
      <c r="BH67" s="84"/>
      <c r="BI67" s="84"/>
      <c r="BJ67" s="647"/>
      <c r="BK67" s="84"/>
      <c r="BL67" s="86"/>
      <c r="BM67" s="84"/>
      <c r="BN67" s="86"/>
      <c r="BO67" s="84"/>
      <c r="BP67" s="86"/>
      <c r="BQ67" s="84"/>
      <c r="BR67" s="84"/>
      <c r="BS67" s="85"/>
      <c r="BT67" s="85"/>
      <c r="BU67" s="85"/>
      <c r="BV67" s="85"/>
      <c r="BW67" s="85"/>
      <c r="BX67" s="85"/>
      <c r="BY67" s="85"/>
      <c r="BZ67" s="85"/>
      <c r="CA67" s="85"/>
      <c r="CB67" s="85"/>
      <c r="CC67" s="85"/>
      <c r="CD67" s="85"/>
      <c r="CE67" s="85"/>
      <c r="CF67" s="84"/>
      <c r="CG67" s="155"/>
      <c r="CH67" s="155"/>
      <c r="CI67" s="84"/>
      <c r="CJ67" s="83" t="str">
        <f t="shared" si="0"/>
        <v>No aplica</v>
      </c>
      <c r="CK67" s="83" t="str">
        <f t="shared" si="1"/>
        <v>No aplica</v>
      </c>
      <c r="CL67" s="83" t="str">
        <f t="shared" si="4"/>
        <v>No requiere reporte</v>
      </c>
      <c r="CM67" s="89" t="str">
        <f t="shared" si="5"/>
        <v>No requiere reporte</v>
      </c>
      <c r="CN67" s="89" t="str">
        <f t="shared" si="6"/>
        <v>No requiere reporte</v>
      </c>
      <c r="CO67" s="84" t="s">
        <v>313</v>
      </c>
      <c r="CP67" s="84" t="s">
        <v>650</v>
      </c>
      <c r="CQ67" s="84" t="s">
        <v>651</v>
      </c>
      <c r="CR67" s="84" t="s">
        <v>652</v>
      </c>
      <c r="CS67" s="84" t="s">
        <v>653</v>
      </c>
      <c r="CT67" s="84" t="s">
        <v>200</v>
      </c>
      <c r="CU67" s="84" t="s">
        <v>162</v>
      </c>
      <c r="CV67" s="85">
        <v>1</v>
      </c>
      <c r="CW67" s="84" t="s">
        <v>163</v>
      </c>
      <c r="CX67" s="90">
        <v>46023</v>
      </c>
      <c r="CY67" s="90">
        <v>46387</v>
      </c>
      <c r="CZ67" s="146">
        <v>1</v>
      </c>
      <c r="DA67" s="146">
        <v>1</v>
      </c>
      <c r="DB67" s="146">
        <v>1</v>
      </c>
      <c r="DC67" s="146">
        <v>1</v>
      </c>
      <c r="DD67" s="146">
        <v>1</v>
      </c>
      <c r="DE67" s="84" t="s">
        <v>647</v>
      </c>
      <c r="DF67" s="84" t="s">
        <v>4661</v>
      </c>
      <c r="DG67" s="84" t="s">
        <v>4662</v>
      </c>
      <c r="DH67" s="362">
        <v>3542900000</v>
      </c>
      <c r="DI67" s="84" t="s">
        <v>627</v>
      </c>
      <c r="DJ67" s="84" t="s">
        <v>628</v>
      </c>
      <c r="DK67" s="84" t="s">
        <v>629</v>
      </c>
      <c r="DL67" s="84" t="s">
        <v>201</v>
      </c>
      <c r="DM67" s="84" t="s">
        <v>201</v>
      </c>
      <c r="DN67" s="85"/>
      <c r="DO67" s="86"/>
      <c r="DP67" s="84"/>
      <c r="DQ67" s="86"/>
      <c r="DR67" s="86"/>
      <c r="DS67" s="85"/>
      <c r="DT67" s="86"/>
      <c r="DU67" s="84"/>
      <c r="DV67" s="86"/>
      <c r="DW67" s="86"/>
      <c r="DX67" s="85"/>
      <c r="DY67" s="86"/>
      <c r="DZ67" s="84"/>
      <c r="EA67" s="86"/>
      <c r="EB67" s="86"/>
      <c r="EC67" s="85"/>
      <c r="ED67" s="84"/>
      <c r="EE67" s="84"/>
      <c r="EF67" s="84"/>
      <c r="EG67" s="84"/>
      <c r="EH67" s="83"/>
      <c r="EI67" s="84"/>
      <c r="EJ67" s="84"/>
      <c r="EK67" s="131"/>
      <c r="EL67" s="91" t="str">
        <f t="shared" si="7"/>
        <v>No se reportó avance</v>
      </c>
      <c r="EM67" s="83" t="str">
        <f t="shared" si="8"/>
        <v>No se reportó avance</v>
      </c>
      <c r="EN67" s="86"/>
      <c r="EO67" s="93" t="str">
        <f t="shared" si="12"/>
        <v>Gestión</v>
      </c>
      <c r="EP67" s="93" t="str">
        <f t="shared" si="13"/>
        <v>7</v>
      </c>
    </row>
    <row r="68" spans="1:146" s="93" customFormat="1" ht="150" customHeight="1">
      <c r="A68" s="74" t="s">
        <v>605</v>
      </c>
      <c r="B68" s="75" t="s">
        <v>606</v>
      </c>
      <c r="C68" s="75" t="s">
        <v>201</v>
      </c>
      <c r="D68" s="75" t="s">
        <v>201</v>
      </c>
      <c r="E68" s="75" t="s">
        <v>607</v>
      </c>
      <c r="F68" s="75" t="s">
        <v>201</v>
      </c>
      <c r="G68" s="75" t="s">
        <v>201</v>
      </c>
      <c r="H68" s="75" t="s">
        <v>201</v>
      </c>
      <c r="I68" s="74" t="s">
        <v>454</v>
      </c>
      <c r="J68" s="74" t="s">
        <v>455</v>
      </c>
      <c r="K68" s="74"/>
      <c r="L68" s="78">
        <v>3</v>
      </c>
      <c r="M68" s="78" t="s">
        <v>4663</v>
      </c>
      <c r="N68" s="78" t="s">
        <v>654</v>
      </c>
      <c r="O68" s="78" t="s">
        <v>655</v>
      </c>
      <c r="P68" s="78" t="s">
        <v>200</v>
      </c>
      <c r="Q68" s="78" t="s">
        <v>162</v>
      </c>
      <c r="R68" s="78" t="s">
        <v>182</v>
      </c>
      <c r="S68" s="78" t="s">
        <v>163</v>
      </c>
      <c r="T68" s="80">
        <v>44927</v>
      </c>
      <c r="U68" s="80">
        <v>46387</v>
      </c>
      <c r="V68" s="121" t="s">
        <v>201</v>
      </c>
      <c r="W68" s="121">
        <f>2/2</f>
        <v>1</v>
      </c>
      <c r="X68" s="121">
        <f>1/1</f>
        <v>1</v>
      </c>
      <c r="Y68" s="121">
        <f>2/2</f>
        <v>1</v>
      </c>
      <c r="Z68" s="82">
        <f>5/5</f>
        <v>1</v>
      </c>
      <c r="AA68" s="121">
        <v>1</v>
      </c>
      <c r="AB68" s="121">
        <v>1</v>
      </c>
      <c r="AC68" s="121">
        <v>1</v>
      </c>
      <c r="AD68" s="121">
        <v>1</v>
      </c>
      <c r="AE68" s="82">
        <v>1</v>
      </c>
      <c r="AF68" s="82">
        <v>1</v>
      </c>
      <c r="AG68" s="82">
        <v>1</v>
      </c>
      <c r="AH68" s="82">
        <v>1</v>
      </c>
      <c r="AI68" s="82">
        <v>1</v>
      </c>
      <c r="AJ68" s="82">
        <v>1</v>
      </c>
      <c r="AK68" s="121">
        <v>1</v>
      </c>
      <c r="AL68" s="121">
        <v>1</v>
      </c>
      <c r="AM68" s="121">
        <v>1</v>
      </c>
      <c r="AN68" s="121">
        <v>1</v>
      </c>
      <c r="AO68" s="82">
        <v>1</v>
      </c>
      <c r="AP68" s="82">
        <v>1</v>
      </c>
      <c r="AQ68" s="84" t="s">
        <v>182</v>
      </c>
      <c r="AR68" s="84" t="s">
        <v>656</v>
      </c>
      <c r="AS68" s="83">
        <f>2/2</f>
        <v>1</v>
      </c>
      <c r="AT68" s="84" t="s">
        <v>657</v>
      </c>
      <c r="AU68" s="83">
        <v>0</v>
      </c>
      <c r="AV68" s="84" t="s">
        <v>658</v>
      </c>
      <c r="AW68" s="83">
        <f>3/3</f>
        <v>1</v>
      </c>
      <c r="AX68" s="84" t="s">
        <v>659</v>
      </c>
      <c r="AY68" s="83">
        <f>5/5</f>
        <v>1</v>
      </c>
      <c r="AZ68" s="106" t="s">
        <v>660</v>
      </c>
      <c r="BA68" s="83">
        <f>2/2</f>
        <v>1</v>
      </c>
      <c r="BB68" s="84" t="s">
        <v>661</v>
      </c>
      <c r="BC68" s="83">
        <f>2/2</f>
        <v>1</v>
      </c>
      <c r="BD68" s="84" t="s">
        <v>662</v>
      </c>
      <c r="BE68" s="83">
        <v>1</v>
      </c>
      <c r="BF68" s="84" t="s">
        <v>663</v>
      </c>
      <c r="BG68" s="83">
        <f>1/1</f>
        <v>1</v>
      </c>
      <c r="BH68" s="84" t="s">
        <v>664</v>
      </c>
      <c r="BI68" s="83">
        <f>8/8</f>
        <v>1</v>
      </c>
      <c r="BJ68" s="646" t="s">
        <v>665</v>
      </c>
      <c r="BK68" s="173">
        <f>+(1)*1</f>
        <v>1</v>
      </c>
      <c r="BL68" s="86" t="s">
        <v>666</v>
      </c>
      <c r="BM68" s="175">
        <f>+(2/2)*1</f>
        <v>1</v>
      </c>
      <c r="BN68" s="86" t="s">
        <v>667</v>
      </c>
      <c r="BO68" s="175">
        <f>(1/1)*100%</f>
        <v>1</v>
      </c>
      <c r="BP68" s="86" t="s">
        <v>668</v>
      </c>
      <c r="BQ68" s="84"/>
      <c r="BR68" s="84"/>
      <c r="BS68" s="83">
        <f>(4/4)*100%</f>
        <v>1</v>
      </c>
      <c r="BT68" s="85"/>
      <c r="BU68" s="85"/>
      <c r="BV68" s="85"/>
      <c r="BW68" s="85"/>
      <c r="BX68" s="85"/>
      <c r="BY68" s="85"/>
      <c r="BZ68" s="85"/>
      <c r="CA68" s="85"/>
      <c r="CB68" s="85"/>
      <c r="CC68" s="85"/>
      <c r="CD68" s="85"/>
      <c r="CE68" s="83"/>
      <c r="CF68" s="84"/>
      <c r="CG68" s="372">
        <f>+SUM(DH68:DH68)</f>
        <v>0</v>
      </c>
      <c r="CH68" s="372"/>
      <c r="CI68" s="372"/>
      <c r="CJ68" s="83" t="str">
        <f t="shared" si="0"/>
        <v>No aplica</v>
      </c>
      <c r="CK68" s="83" t="str">
        <f t="shared" si="1"/>
        <v>No aplica</v>
      </c>
      <c r="CL68" s="83" t="str">
        <f t="shared" si="4"/>
        <v>No se reportó avance</v>
      </c>
      <c r="CM68" s="89" t="str">
        <f t="shared" si="5"/>
        <v>No se reportó avance</v>
      </c>
      <c r="CN68" s="89" t="str">
        <f t="shared" si="6"/>
        <v>No se reportó avance</v>
      </c>
      <c r="CO68" s="84" t="s">
        <v>236</v>
      </c>
      <c r="CP68" s="84" t="s">
        <v>4664</v>
      </c>
      <c r="CQ68" s="84" t="s">
        <v>4665</v>
      </c>
      <c r="CR68" s="84" t="s">
        <v>4666</v>
      </c>
      <c r="CS68" s="84" t="s">
        <v>331</v>
      </c>
      <c r="CT68" s="84" t="s">
        <v>200</v>
      </c>
      <c r="CU68" s="84" t="s">
        <v>233</v>
      </c>
      <c r="CV68" s="85" t="s">
        <v>182</v>
      </c>
      <c r="CW68" s="84" t="s">
        <v>234</v>
      </c>
      <c r="CX68" s="90">
        <v>46023</v>
      </c>
      <c r="CY68" s="90">
        <v>46387</v>
      </c>
      <c r="CZ68" s="84">
        <v>1</v>
      </c>
      <c r="DA68" s="84">
        <v>0</v>
      </c>
      <c r="DB68" s="84">
        <v>0</v>
      </c>
      <c r="DC68" s="84">
        <v>0</v>
      </c>
      <c r="DD68" s="115">
        <v>1</v>
      </c>
      <c r="DE68" s="84" t="s">
        <v>201</v>
      </c>
      <c r="DF68" s="84" t="s">
        <v>201</v>
      </c>
      <c r="DG68" s="84" t="s">
        <v>201</v>
      </c>
      <c r="DH68" s="84" t="s">
        <v>201</v>
      </c>
      <c r="DI68" s="84" t="s">
        <v>627</v>
      </c>
      <c r="DJ68" s="84" t="s">
        <v>628</v>
      </c>
      <c r="DK68" s="84" t="s">
        <v>629</v>
      </c>
      <c r="DL68" s="84" t="s">
        <v>201</v>
      </c>
      <c r="DM68" s="84" t="s">
        <v>201</v>
      </c>
      <c r="DN68" s="85"/>
      <c r="DO68" s="86"/>
      <c r="DP68" s="148"/>
      <c r="DQ68" s="86"/>
      <c r="DR68" s="86"/>
      <c r="DS68" s="85"/>
      <c r="DT68" s="86"/>
      <c r="DU68" s="150"/>
      <c r="DV68" s="86"/>
      <c r="DW68" s="86"/>
      <c r="DX68" s="85"/>
      <c r="DY68" s="86"/>
      <c r="DZ68" s="86"/>
      <c r="EA68" s="86"/>
      <c r="EB68" s="86"/>
      <c r="EC68" s="85"/>
      <c r="ED68" s="84"/>
      <c r="EE68" s="84"/>
      <c r="EF68" s="84"/>
      <c r="EG68" s="84"/>
      <c r="EH68" s="83"/>
      <c r="EI68" s="84"/>
      <c r="EJ68" s="84"/>
      <c r="EK68" s="131"/>
      <c r="EL68" s="91" t="str">
        <f t="shared" si="7"/>
        <v>No se reportó avance</v>
      </c>
      <c r="EM68" s="83" t="str">
        <f t="shared" si="8"/>
        <v>No se reportó avance</v>
      </c>
      <c r="EN68" s="86" t="s">
        <v>4667</v>
      </c>
      <c r="EO68" s="93" t="str">
        <f t="shared" si="12"/>
        <v>Gestión</v>
      </c>
      <c r="EP68" s="93" t="str">
        <f t="shared" si="13"/>
        <v>7</v>
      </c>
    </row>
    <row r="69" spans="1:146" s="93" customFormat="1" ht="150" customHeight="1">
      <c r="A69" s="74" t="s">
        <v>605</v>
      </c>
      <c r="B69" s="75" t="s">
        <v>606</v>
      </c>
      <c r="C69" s="75" t="s">
        <v>201</v>
      </c>
      <c r="D69" s="75" t="s">
        <v>201</v>
      </c>
      <c r="E69" s="75" t="s">
        <v>607</v>
      </c>
      <c r="F69" s="75" t="s">
        <v>201</v>
      </c>
      <c r="G69" s="75" t="s">
        <v>201</v>
      </c>
      <c r="H69" s="75" t="s">
        <v>201</v>
      </c>
      <c r="I69" s="74" t="s">
        <v>454</v>
      </c>
      <c r="J69" s="74" t="s">
        <v>455</v>
      </c>
      <c r="K69" s="74"/>
      <c r="L69" s="78">
        <v>4</v>
      </c>
      <c r="M69" s="77" t="s">
        <v>670</v>
      </c>
      <c r="N69" s="78" t="s">
        <v>671</v>
      </c>
      <c r="O69" s="78" t="s">
        <v>672</v>
      </c>
      <c r="P69" s="78" t="s">
        <v>200</v>
      </c>
      <c r="Q69" s="78" t="s">
        <v>162</v>
      </c>
      <c r="R69" s="78" t="s">
        <v>182</v>
      </c>
      <c r="S69" s="78" t="s">
        <v>163</v>
      </c>
      <c r="T69" s="80">
        <v>44927</v>
      </c>
      <c r="U69" s="80">
        <v>46387</v>
      </c>
      <c r="V69" s="121">
        <v>1</v>
      </c>
      <c r="W69" s="121">
        <v>1</v>
      </c>
      <c r="X69" s="121">
        <v>1</v>
      </c>
      <c r="Y69" s="121">
        <v>1</v>
      </c>
      <c r="Z69" s="82">
        <v>1</v>
      </c>
      <c r="AA69" s="121">
        <v>1</v>
      </c>
      <c r="AB69" s="121">
        <v>1</v>
      </c>
      <c r="AC69" s="121">
        <v>1</v>
      </c>
      <c r="AD69" s="121">
        <v>1</v>
      </c>
      <c r="AE69" s="82">
        <v>1</v>
      </c>
      <c r="AF69" s="82">
        <v>1</v>
      </c>
      <c r="AG69" s="82">
        <v>1</v>
      </c>
      <c r="AH69" s="82">
        <v>1</v>
      </c>
      <c r="AI69" s="82">
        <v>1</v>
      </c>
      <c r="AJ69" s="82">
        <v>1</v>
      </c>
      <c r="AK69" s="121">
        <v>1</v>
      </c>
      <c r="AL69" s="121">
        <v>1</v>
      </c>
      <c r="AM69" s="121">
        <v>1</v>
      </c>
      <c r="AN69" s="121">
        <v>1</v>
      </c>
      <c r="AO69" s="82">
        <v>1</v>
      </c>
      <c r="AP69" s="82">
        <v>1</v>
      </c>
      <c r="AQ69" s="83">
        <f>501/501</f>
        <v>1</v>
      </c>
      <c r="AR69" s="83" t="s">
        <v>673</v>
      </c>
      <c r="AS69" s="83">
        <f>543/543</f>
        <v>1</v>
      </c>
      <c r="AT69" s="83" t="s">
        <v>674</v>
      </c>
      <c r="AU69" s="83">
        <f>582/582</f>
        <v>1</v>
      </c>
      <c r="AV69" s="83" t="s">
        <v>675</v>
      </c>
      <c r="AW69" s="83">
        <f>447/447</f>
        <v>1</v>
      </c>
      <c r="AX69" s="83" t="s">
        <v>676</v>
      </c>
      <c r="AY69" s="83">
        <f>2073/2073</f>
        <v>1</v>
      </c>
      <c r="AZ69" s="87" t="s">
        <v>677</v>
      </c>
      <c r="BA69" s="83">
        <f>469/469</f>
        <v>1</v>
      </c>
      <c r="BB69" s="84" t="s">
        <v>678</v>
      </c>
      <c r="BC69" s="83">
        <f>580/580</f>
        <v>1</v>
      </c>
      <c r="BD69" s="84" t="s">
        <v>679</v>
      </c>
      <c r="BE69" s="83">
        <f>538/538</f>
        <v>1</v>
      </c>
      <c r="BF69" s="84" t="s">
        <v>680</v>
      </c>
      <c r="BG69" s="83">
        <f>454/454</f>
        <v>1</v>
      </c>
      <c r="BH69" s="84" t="s">
        <v>681</v>
      </c>
      <c r="BI69" s="83">
        <f>2041/2041</f>
        <v>1</v>
      </c>
      <c r="BJ69" s="646" t="s">
        <v>682</v>
      </c>
      <c r="BK69" s="85">
        <f>(529/529)*100%</f>
        <v>1</v>
      </c>
      <c r="BL69" s="86" t="s">
        <v>683</v>
      </c>
      <c r="BM69" s="85">
        <f>+(514/514)*100%</f>
        <v>1</v>
      </c>
      <c r="BN69" s="86" t="s">
        <v>684</v>
      </c>
      <c r="BO69" s="85">
        <f>(760/760)*100%</f>
        <v>1</v>
      </c>
      <c r="BP69" s="86" t="s">
        <v>685</v>
      </c>
      <c r="BQ69" s="84"/>
      <c r="BR69" s="84"/>
      <c r="BS69" s="83">
        <f>(1043/1043)*100%</f>
        <v>1</v>
      </c>
      <c r="BT69" s="85"/>
      <c r="BU69" s="85"/>
      <c r="BV69" s="85"/>
      <c r="BW69" s="85"/>
      <c r="BX69" s="85"/>
      <c r="BY69" s="85"/>
      <c r="BZ69" s="85"/>
      <c r="CA69" s="85"/>
      <c r="CB69" s="85"/>
      <c r="CC69" s="85"/>
      <c r="CD69" s="85"/>
      <c r="CE69" s="83"/>
      <c r="CF69" s="84"/>
      <c r="CG69" s="372">
        <f>+SUM(DH69:DH72)</f>
        <v>0</v>
      </c>
      <c r="CH69" s="372"/>
      <c r="CI69" s="372"/>
      <c r="CJ69" s="83" t="str">
        <f t="shared" si="0"/>
        <v>No aplica</v>
      </c>
      <c r="CK69" s="83" t="str">
        <f t="shared" si="1"/>
        <v>No aplica</v>
      </c>
      <c r="CL69" s="83" t="str">
        <f t="shared" si="4"/>
        <v>No se reportó avance</v>
      </c>
      <c r="CM69" s="89" t="str">
        <f t="shared" si="5"/>
        <v>No se reportó avance</v>
      </c>
      <c r="CN69" s="89" t="str">
        <f t="shared" si="6"/>
        <v>No se reportó avance</v>
      </c>
      <c r="CO69" s="84" t="s">
        <v>391</v>
      </c>
      <c r="CP69" s="84" t="s">
        <v>686</v>
      </c>
      <c r="CQ69" s="94" t="s">
        <v>687</v>
      </c>
      <c r="CR69" s="84" t="s">
        <v>671</v>
      </c>
      <c r="CS69" s="84" t="s">
        <v>4668</v>
      </c>
      <c r="CT69" s="84" t="s">
        <v>200</v>
      </c>
      <c r="CU69" s="84" t="s">
        <v>162</v>
      </c>
      <c r="CV69" s="85">
        <v>1</v>
      </c>
      <c r="CW69" s="84" t="s">
        <v>163</v>
      </c>
      <c r="CX69" s="90">
        <v>46023</v>
      </c>
      <c r="CY69" s="90">
        <v>46387</v>
      </c>
      <c r="CZ69" s="146">
        <v>1</v>
      </c>
      <c r="DA69" s="146">
        <v>1</v>
      </c>
      <c r="DB69" s="146">
        <v>1</v>
      </c>
      <c r="DC69" s="146">
        <v>1</v>
      </c>
      <c r="DD69" s="146">
        <v>1</v>
      </c>
      <c r="DE69" s="84" t="s">
        <v>201</v>
      </c>
      <c r="DF69" s="84" t="s">
        <v>201</v>
      </c>
      <c r="DG69" s="84" t="s">
        <v>201</v>
      </c>
      <c r="DH69" s="84" t="s">
        <v>201</v>
      </c>
      <c r="DI69" s="84" t="s">
        <v>627</v>
      </c>
      <c r="DJ69" s="84" t="s">
        <v>628</v>
      </c>
      <c r="DK69" s="84" t="s">
        <v>629</v>
      </c>
      <c r="DL69" s="84" t="s">
        <v>182</v>
      </c>
      <c r="DM69" s="84" t="s">
        <v>201</v>
      </c>
      <c r="DN69" s="85"/>
      <c r="DO69" s="86"/>
      <c r="DP69" s="84"/>
      <c r="DQ69" s="86"/>
      <c r="DR69" s="86"/>
      <c r="DS69" s="85"/>
      <c r="DT69" s="86"/>
      <c r="DU69" s="84"/>
      <c r="DV69" s="86"/>
      <c r="DW69" s="86"/>
      <c r="DX69" s="85"/>
      <c r="DY69" s="86"/>
      <c r="DZ69" s="351"/>
      <c r="EA69" s="86"/>
      <c r="EB69" s="86"/>
      <c r="EC69" s="85"/>
      <c r="ED69" s="84"/>
      <c r="EE69" s="84"/>
      <c r="EF69" s="84"/>
      <c r="EG69" s="84"/>
      <c r="EH69" s="83"/>
      <c r="EI69" s="84"/>
      <c r="EJ69" s="84"/>
      <c r="EK69" s="131"/>
      <c r="EL69" s="91" t="str">
        <f t="shared" si="7"/>
        <v>No se reportó avance</v>
      </c>
      <c r="EM69" s="83" t="str">
        <f t="shared" si="8"/>
        <v>No se reportó avance</v>
      </c>
      <c r="EN69" s="86" t="s">
        <v>688</v>
      </c>
      <c r="EO69" s="93" t="str">
        <f t="shared" si="12"/>
        <v>Gestión</v>
      </c>
      <c r="EP69" s="93" t="str">
        <f t="shared" si="13"/>
        <v>7</v>
      </c>
    </row>
    <row r="70" spans="1:146" s="93" customFormat="1" ht="150" customHeight="1">
      <c r="A70" s="84" t="s">
        <v>605</v>
      </c>
      <c r="B70" s="85" t="s">
        <v>606</v>
      </c>
      <c r="C70" s="85" t="s">
        <v>201</v>
      </c>
      <c r="D70" s="85" t="s">
        <v>201</v>
      </c>
      <c r="E70" s="85" t="s">
        <v>607</v>
      </c>
      <c r="F70" s="85" t="s">
        <v>201</v>
      </c>
      <c r="G70" s="85" t="s">
        <v>201</v>
      </c>
      <c r="H70" s="85" t="s">
        <v>201</v>
      </c>
      <c r="I70" s="84" t="s">
        <v>454</v>
      </c>
      <c r="J70" s="84" t="s">
        <v>455</v>
      </c>
      <c r="K70" s="84"/>
      <c r="L70" s="84">
        <v>4</v>
      </c>
      <c r="M70" s="84" t="s">
        <v>670</v>
      </c>
      <c r="N70" s="84" t="s">
        <v>671</v>
      </c>
      <c r="O70" s="84" t="s">
        <v>672</v>
      </c>
      <c r="P70" s="84" t="s">
        <v>200</v>
      </c>
      <c r="Q70" s="84" t="s">
        <v>162</v>
      </c>
      <c r="R70" s="83" t="s">
        <v>182</v>
      </c>
      <c r="S70" s="84" t="s">
        <v>163</v>
      </c>
      <c r="T70" s="90">
        <v>44927</v>
      </c>
      <c r="U70" s="90">
        <v>46387</v>
      </c>
      <c r="V70" s="83">
        <v>1</v>
      </c>
      <c r="W70" s="83">
        <v>1</v>
      </c>
      <c r="X70" s="83">
        <v>1</v>
      </c>
      <c r="Y70" s="83">
        <v>1</v>
      </c>
      <c r="Z70" s="83">
        <v>1</v>
      </c>
      <c r="AA70" s="83">
        <v>1</v>
      </c>
      <c r="AB70" s="83">
        <v>1</v>
      </c>
      <c r="AC70" s="83">
        <v>1</v>
      </c>
      <c r="AD70" s="83">
        <v>1</v>
      </c>
      <c r="AE70" s="83">
        <v>1</v>
      </c>
      <c r="AF70" s="83">
        <v>1</v>
      </c>
      <c r="AG70" s="83">
        <v>1</v>
      </c>
      <c r="AH70" s="83">
        <v>1</v>
      </c>
      <c r="AI70" s="83">
        <v>1</v>
      </c>
      <c r="AJ70" s="83">
        <v>1</v>
      </c>
      <c r="AK70" s="83">
        <v>1</v>
      </c>
      <c r="AL70" s="83">
        <v>1</v>
      </c>
      <c r="AM70" s="83">
        <v>1</v>
      </c>
      <c r="AN70" s="83">
        <v>1</v>
      </c>
      <c r="AO70" s="83">
        <v>1</v>
      </c>
      <c r="AP70" s="83">
        <v>1</v>
      </c>
      <c r="AQ70" s="84"/>
      <c r="AR70" s="84"/>
      <c r="AS70" s="84"/>
      <c r="AT70" s="84"/>
      <c r="AU70" s="84"/>
      <c r="AV70" s="84"/>
      <c r="AW70" s="84"/>
      <c r="AX70" s="84"/>
      <c r="AY70" s="84"/>
      <c r="AZ70" s="86"/>
      <c r="BA70" s="84"/>
      <c r="BB70" s="84"/>
      <c r="BC70" s="84"/>
      <c r="BD70" s="84"/>
      <c r="BE70" s="84"/>
      <c r="BF70" s="84"/>
      <c r="BG70" s="84"/>
      <c r="BH70" s="84"/>
      <c r="BI70" s="84"/>
      <c r="BJ70" s="647"/>
      <c r="BK70" s="84"/>
      <c r="BL70" s="86"/>
      <c r="BM70" s="84"/>
      <c r="BN70" s="86"/>
      <c r="BO70" s="84"/>
      <c r="BP70" s="86"/>
      <c r="BQ70" s="84"/>
      <c r="BR70" s="84"/>
      <c r="BS70" s="85"/>
      <c r="BT70" s="85"/>
      <c r="BU70" s="85"/>
      <c r="BV70" s="85"/>
      <c r="BW70" s="85"/>
      <c r="BX70" s="85"/>
      <c r="BY70" s="85"/>
      <c r="BZ70" s="85"/>
      <c r="CA70" s="85"/>
      <c r="CB70" s="85"/>
      <c r="CC70" s="85"/>
      <c r="CD70" s="85"/>
      <c r="CE70" s="85"/>
      <c r="CF70" s="84"/>
      <c r="CG70" s="155"/>
      <c r="CH70" s="155"/>
      <c r="CI70" s="84"/>
      <c r="CJ70" s="83" t="str">
        <f t="shared" si="0"/>
        <v>No aplica</v>
      </c>
      <c r="CK70" s="83" t="str">
        <f t="shared" si="1"/>
        <v>No aplica</v>
      </c>
      <c r="CL70" s="83" t="str">
        <f t="shared" si="4"/>
        <v>No requiere reporte</v>
      </c>
      <c r="CM70" s="89" t="str">
        <f t="shared" si="5"/>
        <v>No requiere reporte</v>
      </c>
      <c r="CN70" s="89" t="str">
        <f t="shared" si="6"/>
        <v>No requiere reporte</v>
      </c>
      <c r="CO70" s="84" t="s">
        <v>403</v>
      </c>
      <c r="CP70" s="94" t="s">
        <v>689</v>
      </c>
      <c r="CQ70" s="84" t="s">
        <v>4669</v>
      </c>
      <c r="CR70" s="84" t="s">
        <v>690</v>
      </c>
      <c r="CS70" s="84" t="s">
        <v>669</v>
      </c>
      <c r="CT70" s="84" t="s">
        <v>200</v>
      </c>
      <c r="CU70" s="84" t="s">
        <v>233</v>
      </c>
      <c r="CV70" s="83" t="s">
        <v>182</v>
      </c>
      <c r="CW70" s="84" t="s">
        <v>234</v>
      </c>
      <c r="CX70" s="90">
        <v>46023</v>
      </c>
      <c r="CY70" s="90">
        <v>46387</v>
      </c>
      <c r="CZ70" s="123">
        <v>1</v>
      </c>
      <c r="DA70" s="122">
        <v>0</v>
      </c>
      <c r="DB70" s="123">
        <v>1</v>
      </c>
      <c r="DC70" s="122">
        <v>0</v>
      </c>
      <c r="DD70" s="122">
        <f>+CZ70+DA70+DB70+DC70</f>
        <v>2</v>
      </c>
      <c r="DE70" s="84" t="s">
        <v>201</v>
      </c>
      <c r="DF70" s="84" t="s">
        <v>201</v>
      </c>
      <c r="DG70" s="84" t="s">
        <v>201</v>
      </c>
      <c r="DH70" s="84" t="s">
        <v>201</v>
      </c>
      <c r="DI70" s="84" t="s">
        <v>627</v>
      </c>
      <c r="DJ70" s="84" t="s">
        <v>628</v>
      </c>
      <c r="DK70" s="84" t="s">
        <v>629</v>
      </c>
      <c r="DL70" s="84" t="s">
        <v>182</v>
      </c>
      <c r="DM70" s="84" t="s">
        <v>201</v>
      </c>
      <c r="DN70" s="84"/>
      <c r="DO70" s="86"/>
      <c r="DP70" s="84"/>
      <c r="DQ70" s="86"/>
      <c r="DR70" s="86"/>
      <c r="DS70" s="122"/>
      <c r="DT70" s="86"/>
      <c r="DU70" s="84"/>
      <c r="DV70" s="86"/>
      <c r="DW70" s="86"/>
      <c r="DX70" s="122"/>
      <c r="DY70" s="86"/>
      <c r="DZ70" s="84"/>
      <c r="EA70" s="86"/>
      <c r="EB70" s="86"/>
      <c r="EC70" s="122"/>
      <c r="ED70" s="84"/>
      <c r="EE70" s="84"/>
      <c r="EF70" s="84"/>
      <c r="EG70" s="84"/>
      <c r="EH70" s="122"/>
      <c r="EI70" s="84"/>
      <c r="EJ70" s="84"/>
      <c r="EK70" s="131"/>
      <c r="EL70" s="91" t="str">
        <f t="shared" si="7"/>
        <v>No se reportó avance</v>
      </c>
      <c r="EM70" s="83" t="str">
        <f t="shared" si="8"/>
        <v>No se reportó avance</v>
      </c>
      <c r="EN70" s="153"/>
      <c r="EO70" s="93" t="str">
        <f t="shared" si="12"/>
        <v>Gestión</v>
      </c>
      <c r="EP70" s="93" t="str">
        <f t="shared" si="13"/>
        <v>7</v>
      </c>
    </row>
    <row r="71" spans="1:146" s="93" customFormat="1" ht="150" customHeight="1">
      <c r="A71" s="84" t="s">
        <v>605</v>
      </c>
      <c r="B71" s="85" t="s">
        <v>606</v>
      </c>
      <c r="C71" s="85" t="s">
        <v>201</v>
      </c>
      <c r="D71" s="85" t="s">
        <v>201</v>
      </c>
      <c r="E71" s="85" t="s">
        <v>607</v>
      </c>
      <c r="F71" s="85" t="s">
        <v>201</v>
      </c>
      <c r="G71" s="85" t="s">
        <v>201</v>
      </c>
      <c r="H71" s="85" t="s">
        <v>201</v>
      </c>
      <c r="I71" s="84" t="s">
        <v>454</v>
      </c>
      <c r="J71" s="84" t="s">
        <v>455</v>
      </c>
      <c r="K71" s="84"/>
      <c r="L71" s="84">
        <v>4</v>
      </c>
      <c r="M71" s="84" t="s">
        <v>670</v>
      </c>
      <c r="N71" s="84" t="s">
        <v>671</v>
      </c>
      <c r="O71" s="84" t="s">
        <v>672</v>
      </c>
      <c r="P71" s="84" t="s">
        <v>200</v>
      </c>
      <c r="Q71" s="84" t="s">
        <v>162</v>
      </c>
      <c r="R71" s="83" t="s">
        <v>182</v>
      </c>
      <c r="S71" s="84" t="s">
        <v>163</v>
      </c>
      <c r="T71" s="90">
        <v>44927</v>
      </c>
      <c r="U71" s="90">
        <v>46387</v>
      </c>
      <c r="V71" s="83">
        <v>1</v>
      </c>
      <c r="W71" s="83">
        <v>1</v>
      </c>
      <c r="X71" s="83">
        <v>1</v>
      </c>
      <c r="Y71" s="83">
        <v>1</v>
      </c>
      <c r="Z71" s="83">
        <v>1</v>
      </c>
      <c r="AA71" s="83">
        <v>1</v>
      </c>
      <c r="AB71" s="83">
        <v>1</v>
      </c>
      <c r="AC71" s="83">
        <v>1</v>
      </c>
      <c r="AD71" s="83">
        <v>1</v>
      </c>
      <c r="AE71" s="83">
        <v>1</v>
      </c>
      <c r="AF71" s="83">
        <v>1</v>
      </c>
      <c r="AG71" s="83">
        <v>1</v>
      </c>
      <c r="AH71" s="83">
        <v>1</v>
      </c>
      <c r="AI71" s="83">
        <v>1</v>
      </c>
      <c r="AJ71" s="83">
        <v>1</v>
      </c>
      <c r="AK71" s="83">
        <v>1</v>
      </c>
      <c r="AL71" s="83">
        <v>1</v>
      </c>
      <c r="AM71" s="83">
        <v>1</v>
      </c>
      <c r="AN71" s="83">
        <v>1</v>
      </c>
      <c r="AO71" s="83">
        <v>1</v>
      </c>
      <c r="AP71" s="83">
        <v>1</v>
      </c>
      <c r="AQ71" s="84"/>
      <c r="AR71" s="84"/>
      <c r="AS71" s="84"/>
      <c r="AT71" s="84"/>
      <c r="AU71" s="84"/>
      <c r="AV71" s="84"/>
      <c r="AW71" s="84"/>
      <c r="AX71" s="84"/>
      <c r="AY71" s="84"/>
      <c r="AZ71" s="86"/>
      <c r="BA71" s="84"/>
      <c r="BB71" s="84"/>
      <c r="BC71" s="84"/>
      <c r="BD71" s="84"/>
      <c r="BE71" s="84"/>
      <c r="BF71" s="84"/>
      <c r="BG71" s="84"/>
      <c r="BH71" s="84"/>
      <c r="BI71" s="84"/>
      <c r="BJ71" s="647"/>
      <c r="BK71" s="84"/>
      <c r="BL71" s="86"/>
      <c r="BM71" s="84"/>
      <c r="BN71" s="86"/>
      <c r="BO71" s="84"/>
      <c r="BP71" s="86"/>
      <c r="BQ71" s="84"/>
      <c r="BR71" s="84"/>
      <c r="BS71" s="85"/>
      <c r="BT71" s="85"/>
      <c r="BU71" s="85"/>
      <c r="BV71" s="85"/>
      <c r="BW71" s="85"/>
      <c r="BX71" s="85"/>
      <c r="BY71" s="85"/>
      <c r="BZ71" s="85"/>
      <c r="CA71" s="85"/>
      <c r="CB71" s="85"/>
      <c r="CC71" s="85"/>
      <c r="CD71" s="85"/>
      <c r="CE71" s="85"/>
      <c r="CF71" s="84"/>
      <c r="CG71" s="155"/>
      <c r="CH71" s="155"/>
      <c r="CI71" s="84"/>
      <c r="CJ71" s="83" t="str">
        <f t="shared" si="0"/>
        <v>No aplica</v>
      </c>
      <c r="CK71" s="83" t="str">
        <f t="shared" si="1"/>
        <v>No aplica</v>
      </c>
      <c r="CL71" s="83" t="str">
        <f t="shared" si="4"/>
        <v>No requiere reporte</v>
      </c>
      <c r="CM71" s="89" t="str">
        <f t="shared" si="5"/>
        <v>No requiere reporte</v>
      </c>
      <c r="CN71" s="89" t="str">
        <f t="shared" si="6"/>
        <v>No requiere reporte</v>
      </c>
      <c r="CO71" s="84" t="s">
        <v>408</v>
      </c>
      <c r="CP71" s="84" t="s">
        <v>691</v>
      </c>
      <c r="CQ71" s="84" t="s">
        <v>692</v>
      </c>
      <c r="CR71" s="84" t="s">
        <v>693</v>
      </c>
      <c r="CS71" s="84" t="s">
        <v>694</v>
      </c>
      <c r="CT71" s="84" t="s">
        <v>200</v>
      </c>
      <c r="CU71" s="84" t="s">
        <v>162</v>
      </c>
      <c r="CV71" s="85">
        <v>1</v>
      </c>
      <c r="CW71" s="84" t="s">
        <v>163</v>
      </c>
      <c r="CX71" s="90">
        <v>46023</v>
      </c>
      <c r="CY71" s="90">
        <v>46387</v>
      </c>
      <c r="CZ71" s="146">
        <v>1</v>
      </c>
      <c r="DA71" s="146">
        <v>1</v>
      </c>
      <c r="DB71" s="146">
        <v>1</v>
      </c>
      <c r="DC71" s="146">
        <v>1</v>
      </c>
      <c r="DD71" s="146">
        <v>1</v>
      </c>
      <c r="DE71" s="84" t="s">
        <v>201</v>
      </c>
      <c r="DF71" s="84" t="s">
        <v>201</v>
      </c>
      <c r="DG71" s="84" t="s">
        <v>201</v>
      </c>
      <c r="DH71" s="84" t="s">
        <v>201</v>
      </c>
      <c r="DI71" s="84" t="s">
        <v>627</v>
      </c>
      <c r="DJ71" s="84" t="s">
        <v>628</v>
      </c>
      <c r="DK71" s="84" t="s">
        <v>629</v>
      </c>
      <c r="DL71" s="84" t="s">
        <v>182</v>
      </c>
      <c r="DM71" s="84" t="s">
        <v>201</v>
      </c>
      <c r="DN71" s="85"/>
      <c r="DO71" s="86"/>
      <c r="DP71" s="84"/>
      <c r="DQ71" s="86"/>
      <c r="DR71" s="86"/>
      <c r="DS71" s="85"/>
      <c r="DT71" s="86"/>
      <c r="DU71" s="84"/>
      <c r="DV71" s="86"/>
      <c r="DW71" s="86"/>
      <c r="DX71" s="85"/>
      <c r="DY71" s="86"/>
      <c r="DZ71" s="84"/>
      <c r="EA71" s="86"/>
      <c r="EB71" s="86"/>
      <c r="EC71" s="85"/>
      <c r="ED71" s="84"/>
      <c r="EE71" s="84"/>
      <c r="EF71" s="84"/>
      <c r="EG71" s="84"/>
      <c r="EH71" s="83"/>
      <c r="EI71" s="84"/>
      <c r="EJ71" s="84"/>
      <c r="EK71" s="131"/>
      <c r="EL71" s="91" t="str">
        <f t="shared" si="7"/>
        <v>No se reportó avance</v>
      </c>
      <c r="EM71" s="83" t="str">
        <f t="shared" si="8"/>
        <v>No se reportó avance</v>
      </c>
      <c r="EN71" s="153"/>
      <c r="EO71" s="93" t="str">
        <f t="shared" si="12"/>
        <v>Gestión</v>
      </c>
      <c r="EP71" s="93" t="str">
        <f t="shared" si="13"/>
        <v>7</v>
      </c>
    </row>
    <row r="72" spans="1:146" s="93" customFormat="1" ht="150" customHeight="1">
      <c r="A72" s="84" t="s">
        <v>605</v>
      </c>
      <c r="B72" s="85" t="s">
        <v>606</v>
      </c>
      <c r="C72" s="85" t="s">
        <v>201</v>
      </c>
      <c r="D72" s="85" t="s">
        <v>201</v>
      </c>
      <c r="E72" s="85" t="s">
        <v>607</v>
      </c>
      <c r="F72" s="85" t="s">
        <v>201</v>
      </c>
      <c r="G72" s="85" t="s">
        <v>201</v>
      </c>
      <c r="H72" s="85" t="s">
        <v>201</v>
      </c>
      <c r="I72" s="84" t="s">
        <v>454</v>
      </c>
      <c r="J72" s="84" t="s">
        <v>455</v>
      </c>
      <c r="K72" s="84"/>
      <c r="L72" s="84">
        <v>4</v>
      </c>
      <c r="M72" s="84" t="s">
        <v>670</v>
      </c>
      <c r="N72" s="84" t="s">
        <v>671</v>
      </c>
      <c r="O72" s="84" t="s">
        <v>672</v>
      </c>
      <c r="P72" s="84" t="s">
        <v>200</v>
      </c>
      <c r="Q72" s="84" t="s">
        <v>162</v>
      </c>
      <c r="R72" s="83" t="s">
        <v>182</v>
      </c>
      <c r="S72" s="84" t="s">
        <v>163</v>
      </c>
      <c r="T72" s="90">
        <v>44927</v>
      </c>
      <c r="U72" s="90">
        <v>46387</v>
      </c>
      <c r="V72" s="83">
        <v>1</v>
      </c>
      <c r="W72" s="83">
        <v>1</v>
      </c>
      <c r="X72" s="83">
        <v>1</v>
      </c>
      <c r="Y72" s="83">
        <v>1</v>
      </c>
      <c r="Z72" s="83">
        <v>1</v>
      </c>
      <c r="AA72" s="83">
        <v>1</v>
      </c>
      <c r="AB72" s="83">
        <v>1</v>
      </c>
      <c r="AC72" s="83">
        <v>1</v>
      </c>
      <c r="AD72" s="83">
        <v>1</v>
      </c>
      <c r="AE72" s="83">
        <v>1</v>
      </c>
      <c r="AF72" s="83">
        <v>1</v>
      </c>
      <c r="AG72" s="83">
        <v>1</v>
      </c>
      <c r="AH72" s="83">
        <v>1</v>
      </c>
      <c r="AI72" s="83">
        <v>1</v>
      </c>
      <c r="AJ72" s="83">
        <v>1</v>
      </c>
      <c r="AK72" s="83">
        <v>1</v>
      </c>
      <c r="AL72" s="83">
        <v>1</v>
      </c>
      <c r="AM72" s="83">
        <v>1</v>
      </c>
      <c r="AN72" s="83">
        <v>1</v>
      </c>
      <c r="AO72" s="83">
        <v>1</v>
      </c>
      <c r="AP72" s="83">
        <v>1</v>
      </c>
      <c r="AQ72" s="84"/>
      <c r="AR72" s="84"/>
      <c r="AS72" s="84"/>
      <c r="AT72" s="84"/>
      <c r="AU72" s="84"/>
      <c r="AV72" s="84"/>
      <c r="AW72" s="84"/>
      <c r="AX72" s="84"/>
      <c r="AY72" s="84"/>
      <c r="AZ72" s="86"/>
      <c r="BA72" s="84"/>
      <c r="BB72" s="84"/>
      <c r="BC72" s="84"/>
      <c r="BD72" s="84"/>
      <c r="BE72" s="84"/>
      <c r="BF72" s="84"/>
      <c r="BG72" s="84"/>
      <c r="BH72" s="84"/>
      <c r="BI72" s="84"/>
      <c r="BJ72" s="647"/>
      <c r="BK72" s="84"/>
      <c r="BL72" s="86"/>
      <c r="BM72" s="84"/>
      <c r="BN72" s="86"/>
      <c r="BO72" s="84"/>
      <c r="BP72" s="86"/>
      <c r="BQ72" s="84"/>
      <c r="BR72" s="84"/>
      <c r="BS72" s="84"/>
      <c r="BT72" s="84"/>
      <c r="BU72" s="84"/>
      <c r="BV72" s="84"/>
      <c r="BW72" s="84"/>
      <c r="BX72" s="84"/>
      <c r="BY72" s="84"/>
      <c r="BZ72" s="84"/>
      <c r="CA72" s="84"/>
      <c r="CB72" s="84"/>
      <c r="CC72" s="84"/>
      <c r="CD72" s="84"/>
      <c r="CE72" s="84"/>
      <c r="CF72" s="84"/>
      <c r="CG72" s="155"/>
      <c r="CH72" s="155"/>
      <c r="CI72" s="84"/>
      <c r="CJ72" s="83" t="str">
        <f t="shared" si="0"/>
        <v>No aplica</v>
      </c>
      <c r="CK72" s="83" t="str">
        <f t="shared" si="1"/>
        <v>No aplica</v>
      </c>
      <c r="CL72" s="83" t="str">
        <f t="shared" si="4"/>
        <v>No requiere reporte</v>
      </c>
      <c r="CM72" s="89" t="str">
        <f t="shared" si="5"/>
        <v>No requiere reporte</v>
      </c>
      <c r="CN72" s="89" t="str">
        <f t="shared" si="6"/>
        <v>No requiere reporte</v>
      </c>
      <c r="CO72" s="84" t="s">
        <v>413</v>
      </c>
      <c r="CP72" s="94" t="s">
        <v>695</v>
      </c>
      <c r="CQ72" s="84" t="s">
        <v>474</v>
      </c>
      <c r="CR72" s="94" t="s">
        <v>696</v>
      </c>
      <c r="CS72" s="94" t="s">
        <v>697</v>
      </c>
      <c r="CT72" s="84" t="s">
        <v>200</v>
      </c>
      <c r="CU72" s="84" t="s">
        <v>233</v>
      </c>
      <c r="CV72" s="83" t="s">
        <v>182</v>
      </c>
      <c r="CW72" s="84" t="s">
        <v>234</v>
      </c>
      <c r="CX72" s="90">
        <v>46023</v>
      </c>
      <c r="CY72" s="90">
        <v>46387</v>
      </c>
      <c r="CZ72" s="122">
        <v>0</v>
      </c>
      <c r="DA72" s="122">
        <v>1</v>
      </c>
      <c r="DB72" s="122">
        <v>0</v>
      </c>
      <c r="DC72" s="122">
        <v>1</v>
      </c>
      <c r="DD72" s="122">
        <f>+CZ72+DA72+DB72+DC72</f>
        <v>2</v>
      </c>
      <c r="DE72" s="84" t="s">
        <v>201</v>
      </c>
      <c r="DF72" s="84" t="s">
        <v>201</v>
      </c>
      <c r="DG72" s="84" t="s">
        <v>201</v>
      </c>
      <c r="DH72" s="84" t="s">
        <v>201</v>
      </c>
      <c r="DI72" s="84" t="s">
        <v>627</v>
      </c>
      <c r="DJ72" s="84" t="s">
        <v>628</v>
      </c>
      <c r="DK72" s="84" t="s">
        <v>629</v>
      </c>
      <c r="DL72" s="84" t="s">
        <v>182</v>
      </c>
      <c r="DM72" s="84" t="s">
        <v>201</v>
      </c>
      <c r="DN72" s="84"/>
      <c r="DO72" s="86"/>
      <c r="DP72" s="84"/>
      <c r="DQ72" s="86"/>
      <c r="DR72" s="86"/>
      <c r="DS72" s="122"/>
      <c r="DT72" s="86"/>
      <c r="DU72" s="84"/>
      <c r="DV72" s="86"/>
      <c r="DW72" s="86"/>
      <c r="DX72" s="122"/>
      <c r="DY72" s="86"/>
      <c r="DZ72" s="84"/>
      <c r="EA72" s="86"/>
      <c r="EB72" s="86"/>
      <c r="EC72" s="122"/>
      <c r="ED72" s="84"/>
      <c r="EE72" s="84"/>
      <c r="EF72" s="84"/>
      <c r="EG72" s="84"/>
      <c r="EH72" s="122"/>
      <c r="EI72" s="84"/>
      <c r="EJ72" s="84"/>
      <c r="EK72" s="131"/>
      <c r="EL72" s="91" t="str">
        <f t="shared" si="7"/>
        <v>No aplica, no hay meta</v>
      </c>
      <c r="EM72" s="83" t="str">
        <f t="shared" si="8"/>
        <v>No se reportó avance</v>
      </c>
      <c r="EN72" s="153"/>
      <c r="EO72" s="93" t="str">
        <f t="shared" si="12"/>
        <v>Gestión</v>
      </c>
      <c r="EP72" s="93" t="str">
        <f t="shared" si="13"/>
        <v>7</v>
      </c>
    </row>
    <row r="73" spans="1:146" s="93" customFormat="1" ht="150" customHeight="1">
      <c r="A73" s="74" t="s">
        <v>605</v>
      </c>
      <c r="B73" s="75" t="s">
        <v>606</v>
      </c>
      <c r="C73" s="75" t="s">
        <v>201</v>
      </c>
      <c r="D73" s="75" t="s">
        <v>201</v>
      </c>
      <c r="E73" s="75" t="s">
        <v>607</v>
      </c>
      <c r="F73" s="75" t="s">
        <v>201</v>
      </c>
      <c r="G73" s="75" t="s">
        <v>201</v>
      </c>
      <c r="H73" s="75" t="s">
        <v>201</v>
      </c>
      <c r="I73" s="74" t="s">
        <v>454</v>
      </c>
      <c r="J73" s="74" t="s">
        <v>455</v>
      </c>
      <c r="K73" s="74"/>
      <c r="L73" s="78">
        <v>5</v>
      </c>
      <c r="M73" s="78" t="s">
        <v>698</v>
      </c>
      <c r="N73" s="78" t="s">
        <v>699</v>
      </c>
      <c r="O73" s="78" t="s">
        <v>700</v>
      </c>
      <c r="P73" s="78" t="s">
        <v>200</v>
      </c>
      <c r="Q73" s="78" t="s">
        <v>162</v>
      </c>
      <c r="R73" s="78" t="s">
        <v>182</v>
      </c>
      <c r="S73" s="78" t="s">
        <v>163</v>
      </c>
      <c r="T73" s="80">
        <v>44927</v>
      </c>
      <c r="U73" s="80">
        <v>46387</v>
      </c>
      <c r="V73" s="121">
        <v>1</v>
      </c>
      <c r="W73" s="121">
        <v>1</v>
      </c>
      <c r="X73" s="121">
        <v>1</v>
      </c>
      <c r="Y73" s="121">
        <v>1</v>
      </c>
      <c r="Z73" s="82">
        <v>1</v>
      </c>
      <c r="AA73" s="121">
        <v>1</v>
      </c>
      <c r="AB73" s="121">
        <v>1</v>
      </c>
      <c r="AC73" s="121">
        <v>1</v>
      </c>
      <c r="AD73" s="121">
        <v>1</v>
      </c>
      <c r="AE73" s="82">
        <v>1</v>
      </c>
      <c r="AF73" s="82">
        <v>1</v>
      </c>
      <c r="AG73" s="82">
        <v>1</v>
      </c>
      <c r="AH73" s="82">
        <v>1</v>
      </c>
      <c r="AI73" s="82">
        <v>1</v>
      </c>
      <c r="AJ73" s="82">
        <v>1</v>
      </c>
      <c r="AK73" s="121">
        <v>1</v>
      </c>
      <c r="AL73" s="121">
        <v>1</v>
      </c>
      <c r="AM73" s="121">
        <v>1</v>
      </c>
      <c r="AN73" s="121">
        <v>1</v>
      </c>
      <c r="AO73" s="82">
        <v>1</v>
      </c>
      <c r="AP73" s="82">
        <v>1</v>
      </c>
      <c r="AQ73" s="83">
        <f>140/140</f>
        <v>1</v>
      </c>
      <c r="AR73" s="84" t="s">
        <v>701</v>
      </c>
      <c r="AS73" s="83">
        <f>190/190</f>
        <v>1</v>
      </c>
      <c r="AT73" s="84" t="s">
        <v>702</v>
      </c>
      <c r="AU73" s="83">
        <f>221/221</f>
        <v>1</v>
      </c>
      <c r="AV73" s="83" t="s">
        <v>703</v>
      </c>
      <c r="AW73" s="83">
        <f>140/140</f>
        <v>1</v>
      </c>
      <c r="AX73" s="83" t="s">
        <v>704</v>
      </c>
      <c r="AY73" s="83">
        <f>691/691</f>
        <v>1</v>
      </c>
      <c r="AZ73" s="87" t="s">
        <v>705</v>
      </c>
      <c r="BA73" s="83">
        <f>130/130</f>
        <v>1</v>
      </c>
      <c r="BB73" s="84" t="s">
        <v>706</v>
      </c>
      <c r="BC73" s="83">
        <f>130/130</f>
        <v>1</v>
      </c>
      <c r="BD73" s="84" t="s">
        <v>707</v>
      </c>
      <c r="BE73" s="83">
        <v>1</v>
      </c>
      <c r="BF73" s="84" t="s">
        <v>708</v>
      </c>
      <c r="BG73" s="83">
        <f>206/206</f>
        <v>1</v>
      </c>
      <c r="BH73" s="84" t="s">
        <v>709</v>
      </c>
      <c r="BI73" s="83">
        <f>829/829</f>
        <v>1</v>
      </c>
      <c r="BJ73" s="646" t="s">
        <v>710</v>
      </c>
      <c r="BK73" s="83">
        <f>(118/118)*100%</f>
        <v>1</v>
      </c>
      <c r="BL73" s="86" t="s">
        <v>711</v>
      </c>
      <c r="BM73" s="175">
        <f>(176/176)*100%</f>
        <v>1</v>
      </c>
      <c r="BN73" s="86" t="s">
        <v>712</v>
      </c>
      <c r="BO73" s="175">
        <f>(307/307)*100%</f>
        <v>1</v>
      </c>
      <c r="BP73" s="86" t="s">
        <v>713</v>
      </c>
      <c r="BQ73" s="84"/>
      <c r="BR73" s="84"/>
      <c r="BS73" s="83">
        <f>(601/601)*100%</f>
        <v>1</v>
      </c>
      <c r="BT73" s="84"/>
      <c r="BU73" s="84"/>
      <c r="BV73" s="84"/>
      <c r="BW73" s="84"/>
      <c r="BX73" s="84"/>
      <c r="BY73" s="84"/>
      <c r="BZ73" s="84"/>
      <c r="CA73" s="84"/>
      <c r="CB73" s="84"/>
      <c r="CC73" s="84"/>
      <c r="CD73" s="84"/>
      <c r="CE73" s="83"/>
      <c r="CF73" s="84"/>
      <c r="CG73" s="372">
        <f>+SUM(DH73:DH74)</f>
        <v>0</v>
      </c>
      <c r="CH73" s="372"/>
      <c r="CI73" s="372"/>
      <c r="CJ73" s="83" t="str">
        <f t="shared" si="0"/>
        <v>No aplica</v>
      </c>
      <c r="CK73" s="83" t="str">
        <f t="shared" si="1"/>
        <v>No aplica</v>
      </c>
      <c r="CL73" s="83" t="str">
        <f t="shared" si="4"/>
        <v>No se reportó avance</v>
      </c>
      <c r="CM73" s="89" t="str">
        <f t="shared" si="5"/>
        <v>No se reportó avance</v>
      </c>
      <c r="CN73" s="89" t="str">
        <f t="shared" si="6"/>
        <v>No se reportó avance</v>
      </c>
      <c r="CO73" s="84" t="s">
        <v>583</v>
      </c>
      <c r="CP73" s="84" t="s">
        <v>714</v>
      </c>
      <c r="CQ73" s="84" t="s">
        <v>715</v>
      </c>
      <c r="CR73" s="84" t="s">
        <v>716</v>
      </c>
      <c r="CS73" s="84" t="s">
        <v>717</v>
      </c>
      <c r="CT73" s="84" t="s">
        <v>200</v>
      </c>
      <c r="CU73" s="84" t="s">
        <v>162</v>
      </c>
      <c r="CV73" s="85">
        <v>1</v>
      </c>
      <c r="CW73" s="84" t="s">
        <v>163</v>
      </c>
      <c r="CX73" s="90">
        <v>46023</v>
      </c>
      <c r="CY73" s="90">
        <v>46387</v>
      </c>
      <c r="CZ73" s="146">
        <v>1</v>
      </c>
      <c r="DA73" s="146">
        <v>1</v>
      </c>
      <c r="DB73" s="146">
        <v>1</v>
      </c>
      <c r="DC73" s="146">
        <v>1</v>
      </c>
      <c r="DD73" s="146">
        <v>1</v>
      </c>
      <c r="DE73" s="84" t="s">
        <v>201</v>
      </c>
      <c r="DF73" s="84" t="s">
        <v>201</v>
      </c>
      <c r="DG73" s="84" t="s">
        <v>201</v>
      </c>
      <c r="DH73" s="84" t="s">
        <v>201</v>
      </c>
      <c r="DI73" s="84" t="s">
        <v>627</v>
      </c>
      <c r="DJ73" s="84" t="s">
        <v>628</v>
      </c>
      <c r="DK73" s="84" t="s">
        <v>629</v>
      </c>
      <c r="DL73" s="84" t="s">
        <v>182</v>
      </c>
      <c r="DM73" s="84" t="s">
        <v>201</v>
      </c>
      <c r="DN73" s="83"/>
      <c r="DO73" s="86"/>
      <c r="DP73" s="150"/>
      <c r="DQ73" s="86"/>
      <c r="DR73" s="86"/>
      <c r="DS73" s="85"/>
      <c r="DT73" s="86"/>
      <c r="DU73" s="84"/>
      <c r="DV73" s="86"/>
      <c r="DW73" s="86"/>
      <c r="DX73" s="85"/>
      <c r="DY73" s="86"/>
      <c r="DZ73" s="351"/>
      <c r="EA73" s="86"/>
      <c r="EB73" s="86"/>
      <c r="EC73" s="84"/>
      <c r="ED73" s="84"/>
      <c r="EE73" s="84"/>
      <c r="EF73" s="84"/>
      <c r="EG73" s="84"/>
      <c r="EH73" s="83"/>
      <c r="EI73" s="84"/>
      <c r="EJ73" s="84"/>
      <c r="EK73" s="131"/>
      <c r="EL73" s="91" t="str">
        <f t="shared" si="7"/>
        <v>No se reportó avance</v>
      </c>
      <c r="EM73" s="83" t="str">
        <f t="shared" si="8"/>
        <v>No se reportó avance</v>
      </c>
      <c r="EN73" s="153"/>
      <c r="EO73" s="93" t="str">
        <f t="shared" si="12"/>
        <v>Gestión</v>
      </c>
      <c r="EP73" s="93" t="str">
        <f t="shared" si="13"/>
        <v>7</v>
      </c>
    </row>
    <row r="74" spans="1:146" s="93" customFormat="1" ht="141" customHeight="1">
      <c r="A74" s="84" t="s">
        <v>605</v>
      </c>
      <c r="B74" s="85" t="s">
        <v>606</v>
      </c>
      <c r="C74" s="85" t="s">
        <v>201</v>
      </c>
      <c r="D74" s="85" t="s">
        <v>201</v>
      </c>
      <c r="E74" s="85" t="s">
        <v>607</v>
      </c>
      <c r="F74" s="85" t="s">
        <v>201</v>
      </c>
      <c r="G74" s="85" t="s">
        <v>201</v>
      </c>
      <c r="H74" s="85" t="s">
        <v>201</v>
      </c>
      <c r="I74" s="84" t="s">
        <v>454</v>
      </c>
      <c r="J74" s="84" t="s">
        <v>455</v>
      </c>
      <c r="K74" s="84"/>
      <c r="L74" s="84">
        <v>5</v>
      </c>
      <c r="M74" s="84" t="s">
        <v>698</v>
      </c>
      <c r="N74" s="84" t="s">
        <v>699</v>
      </c>
      <c r="O74" s="84" t="s">
        <v>700</v>
      </c>
      <c r="P74" s="83" t="s">
        <v>200</v>
      </c>
      <c r="Q74" s="83" t="s">
        <v>162</v>
      </c>
      <c r="R74" s="83" t="s">
        <v>182</v>
      </c>
      <c r="S74" s="83" t="s">
        <v>163</v>
      </c>
      <c r="T74" s="90">
        <v>44927</v>
      </c>
      <c r="U74" s="90">
        <v>46387</v>
      </c>
      <c r="V74" s="83">
        <v>1</v>
      </c>
      <c r="W74" s="83">
        <v>1</v>
      </c>
      <c r="X74" s="83">
        <v>1</v>
      </c>
      <c r="Y74" s="83">
        <v>1</v>
      </c>
      <c r="Z74" s="83">
        <v>1</v>
      </c>
      <c r="AA74" s="83">
        <v>1</v>
      </c>
      <c r="AB74" s="83">
        <v>1</v>
      </c>
      <c r="AC74" s="83">
        <v>1</v>
      </c>
      <c r="AD74" s="83">
        <v>1</v>
      </c>
      <c r="AE74" s="83">
        <v>1</v>
      </c>
      <c r="AF74" s="83">
        <v>1</v>
      </c>
      <c r="AG74" s="83">
        <v>1</v>
      </c>
      <c r="AH74" s="83">
        <v>1</v>
      </c>
      <c r="AI74" s="83">
        <v>1</v>
      </c>
      <c r="AJ74" s="83">
        <v>1</v>
      </c>
      <c r="AK74" s="83">
        <v>1</v>
      </c>
      <c r="AL74" s="83">
        <v>1</v>
      </c>
      <c r="AM74" s="83">
        <v>1</v>
      </c>
      <c r="AN74" s="83">
        <v>1</v>
      </c>
      <c r="AO74" s="83">
        <v>1</v>
      </c>
      <c r="AP74" s="83">
        <v>1</v>
      </c>
      <c r="AQ74" s="84"/>
      <c r="AR74" s="84"/>
      <c r="AS74" s="84"/>
      <c r="AT74" s="84"/>
      <c r="AU74" s="84"/>
      <c r="AV74" s="84"/>
      <c r="AW74" s="84"/>
      <c r="AX74" s="84"/>
      <c r="AY74" s="84"/>
      <c r="AZ74" s="86"/>
      <c r="BA74" s="84"/>
      <c r="BB74" s="84"/>
      <c r="BC74" s="84"/>
      <c r="BD74" s="84"/>
      <c r="BE74" s="84"/>
      <c r="BF74" s="84"/>
      <c r="BG74" s="84"/>
      <c r="BH74" s="84"/>
      <c r="BI74" s="84"/>
      <c r="BJ74" s="647"/>
      <c r="BK74" s="84"/>
      <c r="BL74" s="86"/>
      <c r="BM74" s="84"/>
      <c r="BN74" s="86"/>
      <c r="BO74" s="84"/>
      <c r="BP74" s="86"/>
      <c r="BQ74" s="84"/>
      <c r="BR74" s="84"/>
      <c r="BS74" s="84"/>
      <c r="BT74" s="84"/>
      <c r="BU74" s="84"/>
      <c r="BV74" s="84"/>
      <c r="BW74" s="84"/>
      <c r="BX74" s="84"/>
      <c r="BY74" s="84"/>
      <c r="BZ74" s="84"/>
      <c r="CA74" s="84"/>
      <c r="CB74" s="84"/>
      <c r="CC74" s="84"/>
      <c r="CD74" s="84"/>
      <c r="CE74" s="84"/>
      <c r="CF74" s="84"/>
      <c r="CG74" s="155"/>
      <c r="CH74" s="155"/>
      <c r="CI74" s="84"/>
      <c r="CJ74" s="83" t="str">
        <f t="shared" si="0"/>
        <v>No aplica</v>
      </c>
      <c r="CK74" s="83" t="str">
        <f t="shared" si="1"/>
        <v>No aplica</v>
      </c>
      <c r="CL74" s="83" t="str">
        <f t="shared" si="4"/>
        <v>No requiere reporte</v>
      </c>
      <c r="CM74" s="89" t="str">
        <f t="shared" si="5"/>
        <v>No requiere reporte</v>
      </c>
      <c r="CN74" s="89" t="str">
        <f t="shared" si="6"/>
        <v>No requiere reporte</v>
      </c>
      <c r="CO74" s="84" t="s">
        <v>589</v>
      </c>
      <c r="CP74" s="84" t="s">
        <v>718</v>
      </c>
      <c r="CQ74" s="84" t="s">
        <v>719</v>
      </c>
      <c r="CR74" s="84" t="s">
        <v>720</v>
      </c>
      <c r="CS74" s="84" t="s">
        <v>721</v>
      </c>
      <c r="CT74" s="84" t="s">
        <v>200</v>
      </c>
      <c r="CU74" s="84" t="s">
        <v>162</v>
      </c>
      <c r="CV74" s="85">
        <v>1</v>
      </c>
      <c r="CW74" s="84" t="s">
        <v>163</v>
      </c>
      <c r="CX74" s="90">
        <v>46023</v>
      </c>
      <c r="CY74" s="90">
        <v>46387</v>
      </c>
      <c r="CZ74" s="146">
        <v>1</v>
      </c>
      <c r="DA74" s="146">
        <v>1</v>
      </c>
      <c r="DB74" s="146">
        <v>1</v>
      </c>
      <c r="DC74" s="146">
        <v>1</v>
      </c>
      <c r="DD74" s="146">
        <v>1</v>
      </c>
      <c r="DE74" s="84" t="s">
        <v>201</v>
      </c>
      <c r="DF74" s="84" t="s">
        <v>201</v>
      </c>
      <c r="DG74" s="84" t="s">
        <v>201</v>
      </c>
      <c r="DH74" s="84" t="s">
        <v>201</v>
      </c>
      <c r="DI74" s="84" t="s">
        <v>627</v>
      </c>
      <c r="DJ74" s="84" t="s">
        <v>628</v>
      </c>
      <c r="DK74" s="84" t="s">
        <v>629</v>
      </c>
      <c r="DL74" s="84" t="s">
        <v>182</v>
      </c>
      <c r="DM74" s="84" t="s">
        <v>201</v>
      </c>
      <c r="DN74" s="83"/>
      <c r="DO74" s="86"/>
      <c r="DP74" s="150"/>
      <c r="DQ74" s="86"/>
      <c r="DR74" s="86"/>
      <c r="DS74" s="85"/>
      <c r="DT74" s="86"/>
      <c r="DU74" s="84"/>
      <c r="DV74" s="86"/>
      <c r="DW74" s="86"/>
      <c r="DX74" s="85"/>
      <c r="DY74" s="86"/>
      <c r="DZ74" s="351"/>
      <c r="EA74" s="86"/>
      <c r="EB74" s="86"/>
      <c r="EC74" s="84"/>
      <c r="ED74" s="84"/>
      <c r="EE74" s="84"/>
      <c r="EF74" s="84"/>
      <c r="EG74" s="84"/>
      <c r="EH74" s="83"/>
      <c r="EI74" s="84"/>
      <c r="EJ74" s="84"/>
      <c r="EK74" s="131"/>
      <c r="EL74" s="91" t="str">
        <f t="shared" si="7"/>
        <v>No se reportó avance</v>
      </c>
      <c r="EM74" s="83" t="str">
        <f t="shared" si="8"/>
        <v>No se reportó avance</v>
      </c>
      <c r="EN74" s="153"/>
      <c r="EO74" s="93" t="str">
        <f t="shared" si="12"/>
        <v>Gestión</v>
      </c>
      <c r="EP74" s="93" t="str">
        <f t="shared" si="13"/>
        <v>7</v>
      </c>
    </row>
    <row r="75" spans="1:146" s="93" customFormat="1" ht="192.75" customHeight="1">
      <c r="A75" s="74" t="s">
        <v>722</v>
      </c>
      <c r="B75" s="75" t="s">
        <v>723</v>
      </c>
      <c r="C75" s="75" t="s">
        <v>724</v>
      </c>
      <c r="D75" s="75" t="s">
        <v>725</v>
      </c>
      <c r="E75" s="75" t="s">
        <v>726</v>
      </c>
      <c r="F75" s="74" t="s">
        <v>182</v>
      </c>
      <c r="G75" s="74" t="s">
        <v>182</v>
      </c>
      <c r="H75" s="74" t="s">
        <v>727</v>
      </c>
      <c r="I75" s="74" t="s">
        <v>728</v>
      </c>
      <c r="J75" s="74" t="s">
        <v>729</v>
      </c>
      <c r="K75" s="74" t="s">
        <v>730</v>
      </c>
      <c r="L75" s="176">
        <v>1</v>
      </c>
      <c r="M75" s="78" t="s">
        <v>731</v>
      </c>
      <c r="N75" s="77" t="s">
        <v>732</v>
      </c>
      <c r="O75" s="77" t="s">
        <v>733</v>
      </c>
      <c r="P75" s="77" t="s">
        <v>161</v>
      </c>
      <c r="Q75" s="78" t="s">
        <v>162</v>
      </c>
      <c r="R75" s="79">
        <v>1</v>
      </c>
      <c r="S75" s="78" t="s">
        <v>252</v>
      </c>
      <c r="T75" s="80">
        <v>44941</v>
      </c>
      <c r="U75" s="80">
        <v>46387</v>
      </c>
      <c r="V75" s="75">
        <v>1</v>
      </c>
      <c r="W75" s="75">
        <v>1</v>
      </c>
      <c r="X75" s="75">
        <v>1</v>
      </c>
      <c r="Y75" s="75">
        <v>1</v>
      </c>
      <c r="Z75" s="79">
        <v>1</v>
      </c>
      <c r="AA75" s="75">
        <v>0</v>
      </c>
      <c r="AB75" s="75">
        <v>0.5</v>
      </c>
      <c r="AC75" s="75">
        <v>0.25</v>
      </c>
      <c r="AD75" s="75">
        <v>0.25</v>
      </c>
      <c r="AE75" s="79">
        <f>+AA75+AB75+AC75+AD75</f>
        <v>1</v>
      </c>
      <c r="AF75" s="79">
        <v>0</v>
      </c>
      <c r="AG75" s="79">
        <v>1</v>
      </c>
      <c r="AH75" s="79">
        <v>1</v>
      </c>
      <c r="AI75" s="79">
        <v>1</v>
      </c>
      <c r="AJ75" s="79">
        <v>1</v>
      </c>
      <c r="AK75" s="142">
        <v>1</v>
      </c>
      <c r="AL75" s="142">
        <v>1</v>
      </c>
      <c r="AM75" s="142">
        <v>1</v>
      </c>
      <c r="AN75" s="142">
        <v>1</v>
      </c>
      <c r="AO75" s="177">
        <v>1</v>
      </c>
      <c r="AP75" s="79">
        <f>+(Z75+AE75+AJ75+AO75)/4</f>
        <v>1</v>
      </c>
      <c r="AQ75" s="85">
        <v>1</v>
      </c>
      <c r="AR75" s="85" t="s">
        <v>734</v>
      </c>
      <c r="AS75" s="85">
        <v>1</v>
      </c>
      <c r="AT75" s="84" t="s">
        <v>735</v>
      </c>
      <c r="AU75" s="85">
        <v>1</v>
      </c>
      <c r="AV75" s="84" t="s">
        <v>736</v>
      </c>
      <c r="AW75" s="85">
        <v>1</v>
      </c>
      <c r="AX75" s="84" t="s">
        <v>737</v>
      </c>
      <c r="AY75" s="85">
        <v>1</v>
      </c>
      <c r="AZ75" s="86" t="s">
        <v>738</v>
      </c>
      <c r="BA75" s="84" t="s">
        <v>182</v>
      </c>
      <c r="BB75" s="94" t="s">
        <v>739</v>
      </c>
      <c r="BC75" s="83">
        <v>0.5</v>
      </c>
      <c r="BD75" s="94" t="s">
        <v>740</v>
      </c>
      <c r="BE75" s="83">
        <v>0.25</v>
      </c>
      <c r="BF75" s="94" t="s">
        <v>741</v>
      </c>
      <c r="BG75" s="83">
        <v>0.25</v>
      </c>
      <c r="BH75" s="94" t="s">
        <v>742</v>
      </c>
      <c r="BI75" s="144">
        <v>1</v>
      </c>
      <c r="BJ75" s="87" t="s">
        <v>743</v>
      </c>
      <c r="BK75" s="144" t="s">
        <v>182</v>
      </c>
      <c r="BL75" s="86" t="s">
        <v>744</v>
      </c>
      <c r="BM75" s="144">
        <f>(8/8)*100%</f>
        <v>1</v>
      </c>
      <c r="BN75" s="86" t="s">
        <v>745</v>
      </c>
      <c r="BO75" s="144">
        <f>8/9*1</f>
        <v>0.88888888888888884</v>
      </c>
      <c r="BP75" s="86" t="s">
        <v>746</v>
      </c>
      <c r="BQ75" s="144"/>
      <c r="BR75" s="84"/>
      <c r="BS75" s="144"/>
      <c r="BT75" s="84"/>
      <c r="BU75" s="84"/>
      <c r="BV75" s="84"/>
      <c r="BW75" s="84"/>
      <c r="BX75" s="84"/>
      <c r="BY75" s="84"/>
      <c r="BZ75" s="84"/>
      <c r="CA75" s="84"/>
      <c r="CB75" s="84"/>
      <c r="CC75" s="85"/>
      <c r="CD75" s="84"/>
      <c r="CE75" s="85"/>
      <c r="CF75" s="84"/>
      <c r="CG75" s="772">
        <f>SUM(DH75:DH80)</f>
        <v>10538817231</v>
      </c>
      <c r="CH75" s="88"/>
      <c r="CI75" s="88"/>
      <c r="CJ75" s="83"/>
      <c r="CK75" s="83"/>
      <c r="CL75" s="83" t="str">
        <f t="shared" si="4"/>
        <v>No se reportó avance</v>
      </c>
      <c r="CM75" s="89" t="str">
        <f t="shared" si="5"/>
        <v>No se reportó avance</v>
      </c>
      <c r="CN75" s="89" t="str">
        <f t="shared" si="6"/>
        <v>No se reportó avance</v>
      </c>
      <c r="CO75" s="145" t="s">
        <v>177</v>
      </c>
      <c r="CP75" s="178" t="s">
        <v>747</v>
      </c>
      <c r="CQ75" s="178" t="s">
        <v>748</v>
      </c>
      <c r="CR75" s="178" t="s">
        <v>749</v>
      </c>
      <c r="CS75" s="178" t="s">
        <v>750</v>
      </c>
      <c r="CT75" s="145" t="s">
        <v>200</v>
      </c>
      <c r="CU75" s="145" t="s">
        <v>233</v>
      </c>
      <c r="CV75" s="145">
        <v>167</v>
      </c>
      <c r="CW75" s="145" t="s">
        <v>234</v>
      </c>
      <c r="CX75" s="663">
        <v>46037</v>
      </c>
      <c r="CY75" s="663">
        <v>46387</v>
      </c>
      <c r="CZ75" s="179">
        <v>0</v>
      </c>
      <c r="DA75" s="154">
        <v>10</v>
      </c>
      <c r="DB75" s="145">
        <v>60</v>
      </c>
      <c r="DC75" s="154">
        <v>130</v>
      </c>
      <c r="DD75" s="154">
        <v>200</v>
      </c>
      <c r="DE75" s="145" t="s">
        <v>396</v>
      </c>
      <c r="DF75" s="178" t="s">
        <v>751</v>
      </c>
      <c r="DG75" s="145" t="s">
        <v>752</v>
      </c>
      <c r="DH75" s="180">
        <v>312999954</v>
      </c>
      <c r="DI75" s="664" t="s">
        <v>753</v>
      </c>
      <c r="DJ75" s="664" t="s">
        <v>754</v>
      </c>
      <c r="DK75" s="145" t="s">
        <v>755</v>
      </c>
      <c r="DL75" s="145" t="s">
        <v>279</v>
      </c>
      <c r="DM75" s="145"/>
      <c r="DN75" s="84"/>
      <c r="DO75" s="86"/>
      <c r="DP75" s="84"/>
      <c r="DQ75" s="86"/>
      <c r="DR75" s="86"/>
      <c r="DS75" s="84"/>
      <c r="DT75" s="86"/>
      <c r="DU75" s="148"/>
      <c r="DV75" s="86"/>
      <c r="DW75" s="86"/>
      <c r="DX75" s="84"/>
      <c r="DY75" s="86"/>
      <c r="DZ75" s="181"/>
      <c r="EA75" s="86"/>
      <c r="EB75" s="86"/>
      <c r="EC75" s="84"/>
      <c r="ED75" s="84"/>
      <c r="EE75" s="84"/>
      <c r="EF75" s="84"/>
      <c r="EG75" s="84"/>
      <c r="EH75" s="94"/>
      <c r="EI75" s="84"/>
      <c r="EJ75" s="84"/>
      <c r="EK75" s="131"/>
      <c r="EL75" s="91" t="str">
        <f t="shared" si="7"/>
        <v>No aplica, no hay meta</v>
      </c>
      <c r="EM75" s="83" t="str">
        <f t="shared" si="8"/>
        <v>No se reportó avance</v>
      </c>
      <c r="EN75" s="86" t="s">
        <v>756</v>
      </c>
    </row>
    <row r="76" spans="1:146" s="93" customFormat="1" ht="150" customHeight="1">
      <c r="A76" s="84" t="s">
        <v>722</v>
      </c>
      <c r="B76" s="85" t="s">
        <v>723</v>
      </c>
      <c r="C76" s="85" t="s">
        <v>724</v>
      </c>
      <c r="D76" s="85" t="s">
        <v>725</v>
      </c>
      <c r="E76" s="85" t="s">
        <v>726</v>
      </c>
      <c r="F76" s="84" t="s">
        <v>182</v>
      </c>
      <c r="G76" s="84" t="s">
        <v>182</v>
      </c>
      <c r="H76" s="84" t="s">
        <v>727</v>
      </c>
      <c r="I76" s="84" t="s">
        <v>728</v>
      </c>
      <c r="J76" s="84" t="s">
        <v>729</v>
      </c>
      <c r="K76" s="84" t="s">
        <v>730</v>
      </c>
      <c r="L76" s="122">
        <v>1</v>
      </c>
      <c r="M76" s="84" t="s">
        <v>731</v>
      </c>
      <c r="N76" s="84" t="s">
        <v>732</v>
      </c>
      <c r="O76" s="84" t="s">
        <v>733</v>
      </c>
      <c r="P76" s="84" t="s">
        <v>161</v>
      </c>
      <c r="Q76" s="84" t="s">
        <v>162</v>
      </c>
      <c r="R76" s="85">
        <v>1</v>
      </c>
      <c r="S76" s="84" t="s">
        <v>252</v>
      </c>
      <c r="T76" s="90">
        <v>44941</v>
      </c>
      <c r="U76" s="90">
        <v>46387</v>
      </c>
      <c r="V76" s="85">
        <v>1</v>
      </c>
      <c r="W76" s="85">
        <v>1</v>
      </c>
      <c r="X76" s="85">
        <v>1</v>
      </c>
      <c r="Y76" s="85">
        <v>1</v>
      </c>
      <c r="Z76" s="85">
        <v>1</v>
      </c>
      <c r="AA76" s="85">
        <v>0.25</v>
      </c>
      <c r="AB76" s="85">
        <v>0.25</v>
      </c>
      <c r="AC76" s="85">
        <v>0.25</v>
      </c>
      <c r="AD76" s="85">
        <v>0.25</v>
      </c>
      <c r="AE76" s="85">
        <v>1</v>
      </c>
      <c r="AF76" s="85">
        <v>0</v>
      </c>
      <c r="AG76" s="85">
        <v>0.5</v>
      </c>
      <c r="AH76" s="85">
        <v>0.25</v>
      </c>
      <c r="AI76" s="85">
        <v>0.25</v>
      </c>
      <c r="AJ76" s="85">
        <v>1</v>
      </c>
      <c r="AK76" s="85"/>
      <c r="AL76" s="85"/>
      <c r="AM76" s="85"/>
      <c r="AN76" s="85"/>
      <c r="AO76" s="85">
        <v>1</v>
      </c>
      <c r="AP76" s="85"/>
      <c r="AQ76" s="85"/>
      <c r="AR76" s="84"/>
      <c r="AS76" s="84"/>
      <c r="AT76" s="84"/>
      <c r="AU76" s="84"/>
      <c r="AV76" s="84"/>
      <c r="AW76" s="84"/>
      <c r="AX76" s="84"/>
      <c r="AY76" s="84"/>
      <c r="AZ76" s="86"/>
      <c r="BA76" s="84"/>
      <c r="BB76" s="84"/>
      <c r="BC76" s="84"/>
      <c r="BD76" s="84"/>
      <c r="BE76" s="84"/>
      <c r="BF76" s="84"/>
      <c r="BG76" s="84"/>
      <c r="BH76" s="84"/>
      <c r="BI76" s="84"/>
      <c r="BJ76" s="86"/>
      <c r="BK76" s="144"/>
      <c r="BL76" s="86"/>
      <c r="BM76" s="144"/>
      <c r="BN76" s="86"/>
      <c r="BO76" s="144"/>
      <c r="BP76" s="86"/>
      <c r="BQ76" s="144"/>
      <c r="BR76" s="84"/>
      <c r="BS76" s="144"/>
      <c r="BT76" s="84"/>
      <c r="BU76" s="84"/>
      <c r="BV76" s="84"/>
      <c r="BW76" s="84"/>
      <c r="BX76" s="84"/>
      <c r="BY76" s="84"/>
      <c r="BZ76" s="84"/>
      <c r="CA76" s="84"/>
      <c r="CB76" s="84"/>
      <c r="CC76" s="84"/>
      <c r="CD76" s="84"/>
      <c r="CE76" s="84"/>
      <c r="CF76" s="84"/>
      <c r="CG76" s="155"/>
      <c r="CH76" s="155"/>
      <c r="CI76" s="84"/>
      <c r="CJ76" s="83"/>
      <c r="CK76" s="83"/>
      <c r="CL76" s="83" t="str">
        <f t="shared" si="4"/>
        <v>No requiere reporte</v>
      </c>
      <c r="CM76" s="89" t="str">
        <f t="shared" si="5"/>
        <v>No requiere reporte</v>
      </c>
      <c r="CN76" s="89" t="str">
        <f t="shared" si="6"/>
        <v>No requiere reporte</v>
      </c>
      <c r="CO76" s="145" t="s">
        <v>757</v>
      </c>
      <c r="CP76" s="145" t="s">
        <v>758</v>
      </c>
      <c r="CQ76" s="145" t="s">
        <v>484</v>
      </c>
      <c r="CR76" s="145" t="s">
        <v>759</v>
      </c>
      <c r="CS76" s="178" t="s">
        <v>760</v>
      </c>
      <c r="CT76" s="145" t="s">
        <v>200</v>
      </c>
      <c r="CU76" s="145" t="s">
        <v>162</v>
      </c>
      <c r="CV76" s="157">
        <v>1</v>
      </c>
      <c r="CW76" s="145" t="s">
        <v>163</v>
      </c>
      <c r="CX76" s="663">
        <v>46037</v>
      </c>
      <c r="CY76" s="663">
        <v>46387</v>
      </c>
      <c r="CZ76" s="146">
        <v>1</v>
      </c>
      <c r="DA76" s="146">
        <v>1</v>
      </c>
      <c r="DB76" s="146">
        <v>1</v>
      </c>
      <c r="DC76" s="146">
        <v>1</v>
      </c>
      <c r="DD76" s="146">
        <v>1</v>
      </c>
      <c r="DE76" s="145" t="s">
        <v>761</v>
      </c>
      <c r="DF76" s="178" t="s">
        <v>762</v>
      </c>
      <c r="DG76" s="145" t="s">
        <v>763</v>
      </c>
      <c r="DH76" s="180">
        <v>4600000000</v>
      </c>
      <c r="DI76" s="664" t="s">
        <v>753</v>
      </c>
      <c r="DJ76" s="664" t="s">
        <v>754</v>
      </c>
      <c r="DK76" s="145" t="s">
        <v>755</v>
      </c>
      <c r="DL76" s="145" t="s">
        <v>279</v>
      </c>
      <c r="DM76" s="145"/>
      <c r="DN76" s="83"/>
      <c r="DO76" s="86"/>
      <c r="DP76" s="150"/>
      <c r="DQ76" s="86"/>
      <c r="DR76" s="86"/>
      <c r="DS76" s="83"/>
      <c r="DT76" s="86"/>
      <c r="DU76" s="148"/>
      <c r="DV76" s="86"/>
      <c r="DW76" s="86"/>
      <c r="DX76" s="83"/>
      <c r="DY76" s="86"/>
      <c r="DZ76" s="148"/>
      <c r="EA76" s="86"/>
      <c r="EB76" s="761"/>
      <c r="EC76" s="83"/>
      <c r="ED76" s="84"/>
      <c r="EE76" s="84"/>
      <c r="EF76" s="84"/>
      <c r="EG76" s="84"/>
      <c r="EH76" s="83"/>
      <c r="EI76" s="84"/>
      <c r="EJ76" s="84"/>
      <c r="EK76" s="131"/>
      <c r="EL76" s="91" t="str">
        <f t="shared" si="7"/>
        <v>No se reportó avance</v>
      </c>
      <c r="EM76" s="83" t="str">
        <f t="shared" si="8"/>
        <v>No se reportó avance</v>
      </c>
      <c r="EN76" s="86"/>
    </row>
    <row r="77" spans="1:146" s="93" customFormat="1" ht="150" customHeight="1">
      <c r="A77" s="84" t="s">
        <v>722</v>
      </c>
      <c r="B77" s="85" t="s">
        <v>723</v>
      </c>
      <c r="C77" s="85" t="s">
        <v>724</v>
      </c>
      <c r="D77" s="85" t="s">
        <v>725</v>
      </c>
      <c r="E77" s="85" t="s">
        <v>726</v>
      </c>
      <c r="F77" s="84" t="s">
        <v>182</v>
      </c>
      <c r="G77" s="84" t="s">
        <v>182</v>
      </c>
      <c r="H77" s="84" t="s">
        <v>727</v>
      </c>
      <c r="I77" s="84" t="s">
        <v>728</v>
      </c>
      <c r="J77" s="84" t="s">
        <v>729</v>
      </c>
      <c r="K77" s="84" t="s">
        <v>730</v>
      </c>
      <c r="L77" s="122">
        <v>1</v>
      </c>
      <c r="M77" s="84" t="s">
        <v>731</v>
      </c>
      <c r="N77" s="84" t="s">
        <v>732</v>
      </c>
      <c r="O77" s="84" t="s">
        <v>733</v>
      </c>
      <c r="P77" s="84" t="s">
        <v>161</v>
      </c>
      <c r="Q77" s="84" t="s">
        <v>162</v>
      </c>
      <c r="R77" s="85">
        <v>1</v>
      </c>
      <c r="S77" s="84" t="s">
        <v>252</v>
      </c>
      <c r="T77" s="90">
        <v>44941</v>
      </c>
      <c r="U77" s="90">
        <v>46387</v>
      </c>
      <c r="V77" s="85">
        <v>1</v>
      </c>
      <c r="W77" s="85">
        <v>1</v>
      </c>
      <c r="X77" s="85">
        <v>1</v>
      </c>
      <c r="Y77" s="85">
        <v>1</v>
      </c>
      <c r="Z77" s="85">
        <v>1</v>
      </c>
      <c r="AA77" s="85">
        <v>0.25</v>
      </c>
      <c r="AB77" s="85">
        <v>1</v>
      </c>
      <c r="AC77" s="85">
        <v>1</v>
      </c>
      <c r="AD77" s="85">
        <v>1</v>
      </c>
      <c r="AE77" s="85">
        <v>1</v>
      </c>
      <c r="AF77" s="85">
        <v>0</v>
      </c>
      <c r="AG77" s="85">
        <v>0.5</v>
      </c>
      <c r="AH77" s="85">
        <v>0.25</v>
      </c>
      <c r="AI77" s="85">
        <v>0.25</v>
      </c>
      <c r="AJ77" s="85">
        <v>1</v>
      </c>
      <c r="AK77" s="85"/>
      <c r="AL77" s="85"/>
      <c r="AM77" s="85"/>
      <c r="AN77" s="85"/>
      <c r="AO77" s="85">
        <v>1</v>
      </c>
      <c r="AP77" s="85"/>
      <c r="AQ77" s="85"/>
      <c r="AR77" s="84"/>
      <c r="AS77" s="84"/>
      <c r="AT77" s="84"/>
      <c r="AU77" s="84"/>
      <c r="AV77" s="84"/>
      <c r="AW77" s="84"/>
      <c r="AX77" s="84"/>
      <c r="AY77" s="84"/>
      <c r="AZ77" s="86"/>
      <c r="BA77" s="84"/>
      <c r="BB77" s="84"/>
      <c r="BC77" s="84"/>
      <c r="BD77" s="84"/>
      <c r="BE77" s="84"/>
      <c r="BF77" s="84"/>
      <c r="BG77" s="84"/>
      <c r="BH77" s="84"/>
      <c r="BI77" s="84"/>
      <c r="BJ77" s="86"/>
      <c r="BK77" s="144"/>
      <c r="BL77" s="86"/>
      <c r="BM77" s="144"/>
      <c r="BN77" s="86"/>
      <c r="BO77" s="144"/>
      <c r="BP77" s="86"/>
      <c r="BQ77" s="144"/>
      <c r="BR77" s="84"/>
      <c r="BS77" s="144"/>
      <c r="BT77" s="84"/>
      <c r="BU77" s="84"/>
      <c r="BV77" s="84"/>
      <c r="BW77" s="84"/>
      <c r="BX77" s="84"/>
      <c r="BY77" s="84"/>
      <c r="BZ77" s="84"/>
      <c r="CA77" s="84"/>
      <c r="CB77" s="84"/>
      <c r="CC77" s="84"/>
      <c r="CD77" s="84"/>
      <c r="CE77" s="84"/>
      <c r="CF77" s="84"/>
      <c r="CG77" s="155"/>
      <c r="CH77" s="155"/>
      <c r="CI77" s="84"/>
      <c r="CJ77" s="83"/>
      <c r="CK77" s="83"/>
      <c r="CL77" s="83" t="str">
        <f t="shared" si="4"/>
        <v>No requiere reporte</v>
      </c>
      <c r="CM77" s="89" t="str">
        <f t="shared" si="5"/>
        <v>No requiere reporte</v>
      </c>
      <c r="CN77" s="89" t="str">
        <f t="shared" si="6"/>
        <v>No requiere reporte</v>
      </c>
      <c r="CO77" s="145" t="s">
        <v>764</v>
      </c>
      <c r="CP77" s="178" t="s">
        <v>765</v>
      </c>
      <c r="CQ77" s="178" t="s">
        <v>766</v>
      </c>
      <c r="CR77" s="178" t="s">
        <v>767</v>
      </c>
      <c r="CS77" s="145" t="s">
        <v>768</v>
      </c>
      <c r="CT77" s="145" t="s">
        <v>200</v>
      </c>
      <c r="CU77" s="145" t="s">
        <v>162</v>
      </c>
      <c r="CV77" s="157">
        <v>1</v>
      </c>
      <c r="CW77" s="145" t="s">
        <v>163</v>
      </c>
      <c r="CX77" s="663">
        <v>46037</v>
      </c>
      <c r="CY77" s="663">
        <v>46387</v>
      </c>
      <c r="CZ77" s="146">
        <v>1</v>
      </c>
      <c r="DA77" s="146">
        <v>1</v>
      </c>
      <c r="DB77" s="146">
        <v>1</v>
      </c>
      <c r="DC77" s="146">
        <v>1</v>
      </c>
      <c r="DD77" s="146">
        <v>1</v>
      </c>
      <c r="DE77" s="145" t="s">
        <v>761</v>
      </c>
      <c r="DF77" s="178" t="s">
        <v>762</v>
      </c>
      <c r="DG77" s="145" t="s">
        <v>763</v>
      </c>
      <c r="DH77" s="180">
        <v>3850000000</v>
      </c>
      <c r="DI77" s="664" t="s">
        <v>753</v>
      </c>
      <c r="DJ77" s="664" t="s">
        <v>754</v>
      </c>
      <c r="DK77" s="145" t="s">
        <v>755</v>
      </c>
      <c r="DL77" s="145" t="s">
        <v>279</v>
      </c>
      <c r="DM77" s="145"/>
      <c r="DN77" s="83"/>
      <c r="DO77" s="86"/>
      <c r="DP77" s="83"/>
      <c r="DQ77" s="86"/>
      <c r="DR77" s="86"/>
      <c r="DS77" s="83"/>
      <c r="DT77" s="106"/>
      <c r="DU77" s="148"/>
      <c r="DV77" s="86"/>
      <c r="DW77" s="86"/>
      <c r="DX77" s="83"/>
      <c r="DY77" s="106"/>
      <c r="DZ77" s="148"/>
      <c r="EA77" s="86"/>
      <c r="EB77" s="86"/>
      <c r="EC77" s="83"/>
      <c r="ED77" s="84"/>
      <c r="EE77" s="84"/>
      <c r="EF77" s="84"/>
      <c r="EG77" s="84"/>
      <c r="EH77" s="97"/>
      <c r="EI77" s="84"/>
      <c r="EJ77" s="84"/>
      <c r="EK77" s="131"/>
      <c r="EL77" s="91" t="str">
        <f t="shared" si="7"/>
        <v>No se reportó avance</v>
      </c>
      <c r="EM77" s="83" t="str">
        <f t="shared" si="8"/>
        <v>No se reportó avance</v>
      </c>
      <c r="EN77" s="86"/>
    </row>
    <row r="78" spans="1:146" s="93" customFormat="1" ht="150" customHeight="1">
      <c r="A78" s="84" t="s">
        <v>722</v>
      </c>
      <c r="B78" s="85" t="s">
        <v>723</v>
      </c>
      <c r="C78" s="85" t="s">
        <v>724</v>
      </c>
      <c r="D78" s="85" t="s">
        <v>725</v>
      </c>
      <c r="E78" s="85" t="s">
        <v>726</v>
      </c>
      <c r="F78" s="84" t="s">
        <v>182</v>
      </c>
      <c r="G78" s="84" t="s">
        <v>182</v>
      </c>
      <c r="H78" s="84" t="s">
        <v>727</v>
      </c>
      <c r="I78" s="84" t="s">
        <v>728</v>
      </c>
      <c r="J78" s="84" t="s">
        <v>729</v>
      </c>
      <c r="K78" s="84" t="s">
        <v>730</v>
      </c>
      <c r="L78" s="122">
        <v>1</v>
      </c>
      <c r="M78" s="84" t="s">
        <v>731</v>
      </c>
      <c r="N78" s="84" t="s">
        <v>732</v>
      </c>
      <c r="O78" s="84" t="s">
        <v>733</v>
      </c>
      <c r="P78" s="84" t="s">
        <v>161</v>
      </c>
      <c r="Q78" s="84" t="s">
        <v>162</v>
      </c>
      <c r="R78" s="85">
        <v>1</v>
      </c>
      <c r="S78" s="84" t="s">
        <v>252</v>
      </c>
      <c r="T78" s="90">
        <v>44941</v>
      </c>
      <c r="U78" s="90">
        <v>46387</v>
      </c>
      <c r="V78" s="85">
        <v>1</v>
      </c>
      <c r="W78" s="85">
        <v>1</v>
      </c>
      <c r="X78" s="85">
        <v>1</v>
      </c>
      <c r="Y78" s="85">
        <v>1</v>
      </c>
      <c r="Z78" s="85">
        <v>1</v>
      </c>
      <c r="AA78" s="85">
        <v>0.25</v>
      </c>
      <c r="AB78" s="85">
        <v>0.25</v>
      </c>
      <c r="AC78" s="85">
        <v>0.25</v>
      </c>
      <c r="AD78" s="85">
        <v>0.25</v>
      </c>
      <c r="AE78" s="85">
        <v>1</v>
      </c>
      <c r="AF78" s="85">
        <v>0</v>
      </c>
      <c r="AG78" s="85">
        <v>0.5</v>
      </c>
      <c r="AH78" s="85">
        <v>0.25</v>
      </c>
      <c r="AI78" s="85">
        <v>0.25</v>
      </c>
      <c r="AJ78" s="85">
        <v>1</v>
      </c>
      <c r="AK78" s="85"/>
      <c r="AL78" s="85"/>
      <c r="AM78" s="85"/>
      <c r="AN78" s="85"/>
      <c r="AO78" s="85">
        <v>1</v>
      </c>
      <c r="AP78" s="85"/>
      <c r="AQ78" s="85"/>
      <c r="AR78" s="84"/>
      <c r="AS78" s="84"/>
      <c r="AT78" s="84"/>
      <c r="AU78" s="84"/>
      <c r="AV78" s="84"/>
      <c r="AW78" s="84"/>
      <c r="AX78" s="84"/>
      <c r="AY78" s="84"/>
      <c r="AZ78" s="86"/>
      <c r="BA78" s="84"/>
      <c r="BB78" s="84"/>
      <c r="BC78" s="84"/>
      <c r="BD78" s="84"/>
      <c r="BE78" s="84"/>
      <c r="BF78" s="84"/>
      <c r="BG78" s="84"/>
      <c r="BH78" s="84"/>
      <c r="BI78" s="84"/>
      <c r="BJ78" s="86"/>
      <c r="BK78" s="144"/>
      <c r="BL78" s="86"/>
      <c r="BM78" s="144"/>
      <c r="BN78" s="86"/>
      <c r="BO78" s="144"/>
      <c r="BP78" s="86"/>
      <c r="BQ78" s="144"/>
      <c r="BR78" s="84"/>
      <c r="BS78" s="144"/>
      <c r="BT78" s="84"/>
      <c r="BU78" s="84"/>
      <c r="BV78" s="84"/>
      <c r="BW78" s="84"/>
      <c r="BX78" s="84"/>
      <c r="BY78" s="84"/>
      <c r="BZ78" s="84"/>
      <c r="CA78" s="84"/>
      <c r="CB78" s="84"/>
      <c r="CC78" s="84"/>
      <c r="CD78" s="84"/>
      <c r="CE78" s="84"/>
      <c r="CF78" s="84"/>
      <c r="CG78" s="155"/>
      <c r="CH78" s="155"/>
      <c r="CI78" s="84"/>
      <c r="CJ78" s="83"/>
      <c r="CK78" s="83"/>
      <c r="CL78" s="83" t="str">
        <f t="shared" si="4"/>
        <v>No requiere reporte</v>
      </c>
      <c r="CM78" s="89" t="str">
        <f t="shared" si="5"/>
        <v>No requiere reporte</v>
      </c>
      <c r="CN78" s="89" t="str">
        <f t="shared" si="6"/>
        <v>No requiere reporte</v>
      </c>
      <c r="CO78" s="145" t="s">
        <v>195</v>
      </c>
      <c r="CP78" s="178" t="s">
        <v>769</v>
      </c>
      <c r="CQ78" s="178" t="s">
        <v>766</v>
      </c>
      <c r="CR78" s="178" t="s">
        <v>770</v>
      </c>
      <c r="CS78" s="178" t="s">
        <v>771</v>
      </c>
      <c r="CT78" s="145" t="s">
        <v>200</v>
      </c>
      <c r="CU78" s="145" t="s">
        <v>162</v>
      </c>
      <c r="CV78" s="157">
        <v>1</v>
      </c>
      <c r="CW78" s="145" t="s">
        <v>163</v>
      </c>
      <c r="CX78" s="663">
        <v>46037</v>
      </c>
      <c r="CY78" s="663">
        <v>46387</v>
      </c>
      <c r="CZ78" s="146">
        <v>1</v>
      </c>
      <c r="DA78" s="146">
        <v>1</v>
      </c>
      <c r="DB78" s="146">
        <v>1</v>
      </c>
      <c r="DC78" s="146">
        <v>1</v>
      </c>
      <c r="DD78" s="146">
        <v>1</v>
      </c>
      <c r="DE78" s="145" t="s">
        <v>761</v>
      </c>
      <c r="DF78" s="178" t="s">
        <v>762</v>
      </c>
      <c r="DG78" s="145" t="s">
        <v>763</v>
      </c>
      <c r="DH78" s="180">
        <v>336500000</v>
      </c>
      <c r="DI78" s="664" t="s">
        <v>753</v>
      </c>
      <c r="DJ78" s="664" t="s">
        <v>754</v>
      </c>
      <c r="DK78" s="145" t="s">
        <v>755</v>
      </c>
      <c r="DL78" s="145" t="s">
        <v>279</v>
      </c>
      <c r="DM78" s="145"/>
      <c r="DN78" s="115"/>
      <c r="DO78" s="86"/>
      <c r="DP78" s="150"/>
      <c r="DQ78" s="86"/>
      <c r="DR78" s="86"/>
      <c r="DS78" s="115"/>
      <c r="DT78" s="86"/>
      <c r="DU78" s="148"/>
      <c r="DV78" s="86"/>
      <c r="DW78" s="86"/>
      <c r="DX78" s="115"/>
      <c r="DY78" s="761"/>
      <c r="DZ78" s="181"/>
      <c r="EA78" s="86"/>
      <c r="EB78" s="86"/>
      <c r="EC78" s="115"/>
      <c r="ED78" s="84"/>
      <c r="EE78" s="84"/>
      <c r="EF78" s="84"/>
      <c r="EG78" s="84"/>
      <c r="EH78" s="94"/>
      <c r="EI78" s="84"/>
      <c r="EJ78" s="84"/>
      <c r="EK78" s="131"/>
      <c r="EL78" s="91" t="str">
        <f t="shared" si="7"/>
        <v>No se reportó avance</v>
      </c>
      <c r="EM78" s="83" t="str">
        <f t="shared" si="8"/>
        <v>No se reportó avance</v>
      </c>
      <c r="EN78" s="86"/>
    </row>
    <row r="79" spans="1:146" s="93" customFormat="1" ht="150" customHeight="1">
      <c r="A79" s="84" t="s">
        <v>722</v>
      </c>
      <c r="B79" s="85" t="s">
        <v>723</v>
      </c>
      <c r="C79" s="85" t="s">
        <v>724</v>
      </c>
      <c r="D79" s="85" t="s">
        <v>725</v>
      </c>
      <c r="E79" s="85" t="s">
        <v>726</v>
      </c>
      <c r="F79" s="84" t="s">
        <v>182</v>
      </c>
      <c r="G79" s="84" t="s">
        <v>182</v>
      </c>
      <c r="H79" s="84" t="s">
        <v>727</v>
      </c>
      <c r="I79" s="84" t="s">
        <v>728</v>
      </c>
      <c r="J79" s="84" t="s">
        <v>729</v>
      </c>
      <c r="K79" s="84" t="s">
        <v>730</v>
      </c>
      <c r="L79" s="122">
        <v>1</v>
      </c>
      <c r="M79" s="84" t="s">
        <v>731</v>
      </c>
      <c r="N79" s="84" t="s">
        <v>732</v>
      </c>
      <c r="O79" s="84" t="s">
        <v>733</v>
      </c>
      <c r="P79" s="84" t="s">
        <v>161</v>
      </c>
      <c r="Q79" s="84" t="s">
        <v>162</v>
      </c>
      <c r="R79" s="85">
        <v>1</v>
      </c>
      <c r="S79" s="84" t="s">
        <v>252</v>
      </c>
      <c r="T79" s="90">
        <v>44941</v>
      </c>
      <c r="U79" s="90">
        <v>46387</v>
      </c>
      <c r="V79" s="85">
        <v>1</v>
      </c>
      <c r="W79" s="85">
        <v>1</v>
      </c>
      <c r="X79" s="85">
        <v>1</v>
      </c>
      <c r="Y79" s="85">
        <v>1</v>
      </c>
      <c r="Z79" s="85">
        <v>1</v>
      </c>
      <c r="AA79" s="85">
        <v>0.25</v>
      </c>
      <c r="AB79" s="85">
        <v>0.25</v>
      </c>
      <c r="AC79" s="85">
        <v>0.25</v>
      </c>
      <c r="AD79" s="85">
        <v>0.25</v>
      </c>
      <c r="AE79" s="85">
        <v>1</v>
      </c>
      <c r="AF79" s="85">
        <v>0</v>
      </c>
      <c r="AG79" s="85">
        <v>0.5</v>
      </c>
      <c r="AH79" s="85">
        <v>0.25</v>
      </c>
      <c r="AI79" s="85">
        <v>0.25</v>
      </c>
      <c r="AJ79" s="85">
        <v>1</v>
      </c>
      <c r="AK79" s="85"/>
      <c r="AL79" s="85"/>
      <c r="AM79" s="85"/>
      <c r="AN79" s="85"/>
      <c r="AO79" s="85">
        <v>1</v>
      </c>
      <c r="AP79" s="85"/>
      <c r="AQ79" s="85"/>
      <c r="AR79" s="84"/>
      <c r="AS79" s="84"/>
      <c r="AT79" s="84"/>
      <c r="AU79" s="84"/>
      <c r="AV79" s="84"/>
      <c r="AW79" s="84"/>
      <c r="AX79" s="84"/>
      <c r="AY79" s="84"/>
      <c r="AZ79" s="86"/>
      <c r="BA79" s="84"/>
      <c r="BB79" s="84"/>
      <c r="BC79" s="84"/>
      <c r="BD79" s="84"/>
      <c r="BE79" s="84"/>
      <c r="BF79" s="84"/>
      <c r="BG79" s="84"/>
      <c r="BH79" s="84"/>
      <c r="BI79" s="84"/>
      <c r="BJ79" s="86"/>
      <c r="BK79" s="144"/>
      <c r="BL79" s="86"/>
      <c r="BM79" s="144"/>
      <c r="BN79" s="86"/>
      <c r="BO79" s="144"/>
      <c r="BP79" s="86"/>
      <c r="BQ79" s="144"/>
      <c r="BR79" s="84"/>
      <c r="BS79" s="144"/>
      <c r="BT79" s="84"/>
      <c r="BU79" s="84"/>
      <c r="BV79" s="84"/>
      <c r="BW79" s="84"/>
      <c r="BX79" s="84"/>
      <c r="BY79" s="84"/>
      <c r="BZ79" s="84"/>
      <c r="CA79" s="84"/>
      <c r="CB79" s="84"/>
      <c r="CC79" s="84"/>
      <c r="CD79" s="84"/>
      <c r="CE79" s="84"/>
      <c r="CF79" s="84"/>
      <c r="CG79" s="155"/>
      <c r="CH79" s="155"/>
      <c r="CI79" s="84"/>
      <c r="CJ79" s="83"/>
      <c r="CK79" s="83"/>
      <c r="CL79" s="83" t="str">
        <f t="shared" si="4"/>
        <v>No requiere reporte</v>
      </c>
      <c r="CM79" s="89" t="str">
        <f t="shared" si="5"/>
        <v>No requiere reporte</v>
      </c>
      <c r="CN79" s="89" t="str">
        <f t="shared" si="6"/>
        <v>No requiere reporte</v>
      </c>
      <c r="CO79" s="145" t="s">
        <v>202</v>
      </c>
      <c r="CP79" s="178" t="s">
        <v>772</v>
      </c>
      <c r="CQ79" s="178" t="s">
        <v>766</v>
      </c>
      <c r="CR79" s="145" t="s">
        <v>773</v>
      </c>
      <c r="CS79" s="145" t="s">
        <v>774</v>
      </c>
      <c r="CT79" s="145" t="s">
        <v>200</v>
      </c>
      <c r="CU79" s="145" t="s">
        <v>162</v>
      </c>
      <c r="CV79" s="157">
        <v>1</v>
      </c>
      <c r="CW79" s="145" t="s">
        <v>163</v>
      </c>
      <c r="CX79" s="663">
        <v>46037</v>
      </c>
      <c r="CY79" s="663">
        <v>46387</v>
      </c>
      <c r="CZ79" s="146">
        <v>1</v>
      </c>
      <c r="DA79" s="146">
        <v>1</v>
      </c>
      <c r="DB79" s="146">
        <v>1</v>
      </c>
      <c r="DC79" s="146">
        <v>1</v>
      </c>
      <c r="DD79" s="146">
        <v>1</v>
      </c>
      <c r="DE79" s="145" t="s">
        <v>761</v>
      </c>
      <c r="DF79" s="178" t="s">
        <v>762</v>
      </c>
      <c r="DG79" s="145" t="s">
        <v>763</v>
      </c>
      <c r="DH79" s="180">
        <v>313500000</v>
      </c>
      <c r="DI79" s="664" t="s">
        <v>753</v>
      </c>
      <c r="DJ79" s="664" t="s">
        <v>754</v>
      </c>
      <c r="DK79" s="145" t="s">
        <v>755</v>
      </c>
      <c r="DL79" s="145" t="s">
        <v>279</v>
      </c>
      <c r="DM79" s="145"/>
      <c r="DN79" s="83"/>
      <c r="DO79" s="86"/>
      <c r="DP79" s="83"/>
      <c r="DQ79" s="86"/>
      <c r="DR79" s="86"/>
      <c r="DS79" s="115"/>
      <c r="DT79" s="86"/>
      <c r="DU79" s="148"/>
      <c r="DV79" s="106"/>
      <c r="DW79" s="86"/>
      <c r="DX79" s="115"/>
      <c r="DY79" s="761"/>
      <c r="DZ79" s="181"/>
      <c r="EA79" s="106"/>
      <c r="EB79" s="86"/>
      <c r="EC79" s="115"/>
      <c r="ED79" s="84"/>
      <c r="EE79" s="84"/>
      <c r="EF79" s="84"/>
      <c r="EG79" s="84"/>
      <c r="EH79" s="94"/>
      <c r="EI79" s="84"/>
      <c r="EJ79" s="84"/>
      <c r="EK79" s="131"/>
      <c r="EL79" s="91" t="str">
        <f t="shared" si="7"/>
        <v>No se reportó avance</v>
      </c>
      <c r="EM79" s="83" t="str">
        <f t="shared" si="8"/>
        <v>No se reportó avance</v>
      </c>
      <c r="EN79" s="86"/>
    </row>
    <row r="80" spans="1:146" s="93" customFormat="1" ht="150" customHeight="1">
      <c r="A80" s="84" t="s">
        <v>722</v>
      </c>
      <c r="B80" s="85" t="s">
        <v>723</v>
      </c>
      <c r="C80" s="85" t="s">
        <v>724</v>
      </c>
      <c r="D80" s="85" t="s">
        <v>725</v>
      </c>
      <c r="E80" s="85" t="s">
        <v>726</v>
      </c>
      <c r="F80" s="84" t="s">
        <v>182</v>
      </c>
      <c r="G80" s="84" t="s">
        <v>182</v>
      </c>
      <c r="H80" s="84" t="s">
        <v>727</v>
      </c>
      <c r="I80" s="84" t="s">
        <v>728</v>
      </c>
      <c r="J80" s="84" t="s">
        <v>729</v>
      </c>
      <c r="K80" s="84" t="s">
        <v>730</v>
      </c>
      <c r="L80" s="122">
        <v>1</v>
      </c>
      <c r="M80" s="84" t="s">
        <v>731</v>
      </c>
      <c r="N80" s="84" t="s">
        <v>732</v>
      </c>
      <c r="O80" s="84" t="s">
        <v>733</v>
      </c>
      <c r="P80" s="84" t="s">
        <v>161</v>
      </c>
      <c r="Q80" s="84" t="s">
        <v>162</v>
      </c>
      <c r="R80" s="85">
        <v>1</v>
      </c>
      <c r="S80" s="84" t="s">
        <v>252</v>
      </c>
      <c r="T80" s="90">
        <v>44941</v>
      </c>
      <c r="U80" s="90">
        <v>46387</v>
      </c>
      <c r="V80" s="85">
        <v>1</v>
      </c>
      <c r="W80" s="85">
        <v>1</v>
      </c>
      <c r="X80" s="85">
        <v>1</v>
      </c>
      <c r="Y80" s="85">
        <v>1</v>
      </c>
      <c r="Z80" s="85">
        <v>1</v>
      </c>
      <c r="AA80" s="85">
        <v>0.25</v>
      </c>
      <c r="AB80" s="85">
        <v>0.25</v>
      </c>
      <c r="AC80" s="85">
        <v>0.25</v>
      </c>
      <c r="AD80" s="85">
        <v>0.25</v>
      </c>
      <c r="AE80" s="85">
        <v>1</v>
      </c>
      <c r="AF80" s="85">
        <v>0</v>
      </c>
      <c r="AG80" s="85">
        <v>0.5</v>
      </c>
      <c r="AH80" s="85">
        <v>0.25</v>
      </c>
      <c r="AI80" s="85">
        <v>0.25</v>
      </c>
      <c r="AJ80" s="85">
        <v>1</v>
      </c>
      <c r="AK80" s="85"/>
      <c r="AL80" s="85"/>
      <c r="AM80" s="85"/>
      <c r="AN80" s="85"/>
      <c r="AO80" s="85">
        <v>1</v>
      </c>
      <c r="AP80" s="85"/>
      <c r="AQ80" s="85"/>
      <c r="AR80" s="84"/>
      <c r="AS80" s="84"/>
      <c r="AT80" s="84"/>
      <c r="AU80" s="84"/>
      <c r="AV80" s="84"/>
      <c r="AW80" s="84"/>
      <c r="AX80" s="84"/>
      <c r="AY80" s="84"/>
      <c r="AZ80" s="86"/>
      <c r="BA80" s="84"/>
      <c r="BB80" s="84"/>
      <c r="BC80" s="84"/>
      <c r="BD80" s="84"/>
      <c r="BE80" s="84"/>
      <c r="BF80" s="84"/>
      <c r="BG80" s="84"/>
      <c r="BH80" s="84"/>
      <c r="BI80" s="84"/>
      <c r="BJ80" s="86"/>
      <c r="BK80" s="144"/>
      <c r="BL80" s="86"/>
      <c r="BM80" s="144"/>
      <c r="BN80" s="86"/>
      <c r="BO80" s="144"/>
      <c r="BP80" s="86"/>
      <c r="BQ80" s="144"/>
      <c r="BR80" s="84"/>
      <c r="BS80" s="144"/>
      <c r="BT80" s="84"/>
      <c r="BU80" s="84"/>
      <c r="BV80" s="84"/>
      <c r="BW80" s="84"/>
      <c r="BX80" s="84"/>
      <c r="BY80" s="84"/>
      <c r="BZ80" s="84"/>
      <c r="CA80" s="84"/>
      <c r="CB80" s="84"/>
      <c r="CC80" s="84"/>
      <c r="CD80" s="84"/>
      <c r="CE80" s="84"/>
      <c r="CF80" s="84"/>
      <c r="CG80" s="155"/>
      <c r="CH80" s="155"/>
      <c r="CI80" s="84"/>
      <c r="CJ80" s="83"/>
      <c r="CK80" s="83"/>
      <c r="CL80" s="83" t="str">
        <f t="shared" si="4"/>
        <v>No requiere reporte</v>
      </c>
      <c r="CM80" s="89" t="str">
        <f t="shared" si="5"/>
        <v>No requiere reporte</v>
      </c>
      <c r="CN80" s="89" t="str">
        <f t="shared" si="6"/>
        <v>No requiere reporte</v>
      </c>
      <c r="CO80" s="145" t="s">
        <v>775</v>
      </c>
      <c r="CP80" s="145" t="s">
        <v>776</v>
      </c>
      <c r="CQ80" s="178" t="s">
        <v>748</v>
      </c>
      <c r="CR80" s="145" t="s">
        <v>777</v>
      </c>
      <c r="CS80" s="178" t="s">
        <v>778</v>
      </c>
      <c r="CT80" s="145" t="s">
        <v>200</v>
      </c>
      <c r="CU80" s="145" t="s">
        <v>162</v>
      </c>
      <c r="CV80" s="157">
        <v>1</v>
      </c>
      <c r="CW80" s="145" t="s">
        <v>163</v>
      </c>
      <c r="CX80" s="663">
        <v>46037</v>
      </c>
      <c r="CY80" s="663">
        <v>46387</v>
      </c>
      <c r="CZ80" s="146">
        <v>1</v>
      </c>
      <c r="DA80" s="146">
        <v>1</v>
      </c>
      <c r="DB80" s="146">
        <v>1</v>
      </c>
      <c r="DC80" s="146">
        <v>1</v>
      </c>
      <c r="DD80" s="146">
        <v>1</v>
      </c>
      <c r="DE80" s="145" t="s">
        <v>761</v>
      </c>
      <c r="DF80" s="178" t="s">
        <v>762</v>
      </c>
      <c r="DG80" s="145" t="s">
        <v>763</v>
      </c>
      <c r="DH80" s="180">
        <v>1125817277</v>
      </c>
      <c r="DI80" s="664" t="s">
        <v>753</v>
      </c>
      <c r="DJ80" s="664" t="s">
        <v>754</v>
      </c>
      <c r="DK80" s="145" t="s">
        <v>755</v>
      </c>
      <c r="DL80" s="145" t="s">
        <v>279</v>
      </c>
      <c r="DM80" s="145"/>
      <c r="DN80" s="83"/>
      <c r="DO80" s="86"/>
      <c r="DP80" s="83"/>
      <c r="DQ80" s="86"/>
      <c r="DR80" s="86"/>
      <c r="DS80" s="115"/>
      <c r="DT80" s="86"/>
      <c r="DU80" s="148"/>
      <c r="DV80" s="106"/>
      <c r="DW80" s="86"/>
      <c r="DX80" s="115"/>
      <c r="DY80" s="761"/>
      <c r="DZ80" s="181"/>
      <c r="EA80" s="106"/>
      <c r="EB80" s="86"/>
      <c r="EC80" s="115"/>
      <c r="ED80" s="84"/>
      <c r="EE80" s="84"/>
      <c r="EF80" s="84"/>
      <c r="EG80" s="84"/>
      <c r="EH80" s="94"/>
      <c r="EI80" s="84"/>
      <c r="EJ80" s="84"/>
      <c r="EK80" s="131"/>
      <c r="EL80" s="91" t="str">
        <f t="shared" si="7"/>
        <v>No se reportó avance</v>
      </c>
      <c r="EM80" s="83" t="str">
        <f t="shared" si="8"/>
        <v>No se reportó avance</v>
      </c>
      <c r="EN80" s="86"/>
    </row>
    <row r="81" spans="1:146" s="93" customFormat="1" ht="150" customHeight="1">
      <c r="A81" s="74" t="s">
        <v>722</v>
      </c>
      <c r="B81" s="75" t="s">
        <v>723</v>
      </c>
      <c r="C81" s="75" t="s">
        <v>724</v>
      </c>
      <c r="D81" s="75" t="s">
        <v>779</v>
      </c>
      <c r="E81" s="75" t="s">
        <v>780</v>
      </c>
      <c r="F81" s="74" t="s">
        <v>182</v>
      </c>
      <c r="G81" s="74" t="s">
        <v>182</v>
      </c>
      <c r="H81" s="74" t="s">
        <v>781</v>
      </c>
      <c r="I81" s="74" t="s">
        <v>728</v>
      </c>
      <c r="J81" s="74" t="s">
        <v>729</v>
      </c>
      <c r="K81" s="74" t="s">
        <v>730</v>
      </c>
      <c r="L81" s="78">
        <v>2</v>
      </c>
      <c r="M81" s="78" t="s">
        <v>782</v>
      </c>
      <c r="N81" s="78" t="s">
        <v>783</v>
      </c>
      <c r="O81" s="78" t="s">
        <v>784</v>
      </c>
      <c r="P81" s="78" t="s">
        <v>161</v>
      </c>
      <c r="Q81" s="78" t="s">
        <v>162</v>
      </c>
      <c r="R81" s="82">
        <v>1</v>
      </c>
      <c r="S81" s="78" t="s">
        <v>252</v>
      </c>
      <c r="T81" s="80">
        <v>45672</v>
      </c>
      <c r="U81" s="80">
        <v>46387</v>
      </c>
      <c r="V81" s="182" t="s">
        <v>201</v>
      </c>
      <c r="W81" s="183">
        <v>1</v>
      </c>
      <c r="X81" s="183">
        <v>1</v>
      </c>
      <c r="Y81" s="183">
        <v>1</v>
      </c>
      <c r="Z81" s="184">
        <v>1</v>
      </c>
      <c r="AA81" s="121">
        <v>1</v>
      </c>
      <c r="AB81" s="121">
        <v>1</v>
      </c>
      <c r="AC81" s="121">
        <v>1</v>
      </c>
      <c r="AD81" s="121">
        <v>1</v>
      </c>
      <c r="AE81" s="184">
        <v>1</v>
      </c>
      <c r="AF81" s="184">
        <v>0</v>
      </c>
      <c r="AG81" s="184">
        <v>1</v>
      </c>
      <c r="AH81" s="184">
        <v>1</v>
      </c>
      <c r="AI81" s="184">
        <v>1</v>
      </c>
      <c r="AJ81" s="184">
        <v>1</v>
      </c>
      <c r="AK81" s="185">
        <v>1</v>
      </c>
      <c r="AL81" s="185">
        <v>1</v>
      </c>
      <c r="AM81" s="185">
        <v>1</v>
      </c>
      <c r="AN81" s="185">
        <v>1</v>
      </c>
      <c r="AO81" s="185">
        <v>1</v>
      </c>
      <c r="AP81" s="79">
        <f>+(Z81+AE81+AJ81+AO81)/4</f>
        <v>1</v>
      </c>
      <c r="AQ81" s="84" t="s">
        <v>182</v>
      </c>
      <c r="AR81" s="84" t="s">
        <v>785</v>
      </c>
      <c r="AS81" s="85">
        <v>1</v>
      </c>
      <c r="AT81" s="84" t="s">
        <v>786</v>
      </c>
      <c r="AU81" s="85">
        <v>1</v>
      </c>
      <c r="AV81" s="84" t="s">
        <v>787</v>
      </c>
      <c r="AW81" s="85">
        <v>1</v>
      </c>
      <c r="AX81" s="84" t="s">
        <v>788</v>
      </c>
      <c r="AY81" s="85">
        <v>1</v>
      </c>
      <c r="AZ81" s="86" t="s">
        <v>788</v>
      </c>
      <c r="BA81" s="84"/>
      <c r="BB81" s="84"/>
      <c r="BC81" s="83">
        <v>1</v>
      </c>
      <c r="BD81" s="84" t="s">
        <v>789</v>
      </c>
      <c r="BE81" s="83">
        <v>1</v>
      </c>
      <c r="BF81" s="84" t="s">
        <v>790</v>
      </c>
      <c r="BG81" s="83">
        <f>1/1</f>
        <v>1</v>
      </c>
      <c r="BH81" s="84" t="s">
        <v>791</v>
      </c>
      <c r="BI81" s="83">
        <f>5/5</f>
        <v>1</v>
      </c>
      <c r="BJ81" s="86" t="s">
        <v>792</v>
      </c>
      <c r="BK81" s="186" t="s">
        <v>182</v>
      </c>
      <c r="BL81" s="86" t="s">
        <v>793</v>
      </c>
      <c r="BM81" s="144">
        <f>(4/4)*100%</f>
        <v>1</v>
      </c>
      <c r="BN81" s="86" t="s">
        <v>794</v>
      </c>
      <c r="BO81" s="144">
        <f>2/5*1</f>
        <v>0.4</v>
      </c>
      <c r="BP81" s="761" t="s">
        <v>795</v>
      </c>
      <c r="BQ81" s="144"/>
      <c r="BR81" s="84"/>
      <c r="BS81" s="144"/>
      <c r="BT81" s="84"/>
      <c r="BU81" s="84"/>
      <c r="BV81" s="84"/>
      <c r="BW81" s="84"/>
      <c r="BX81" s="84"/>
      <c r="BY81" s="84"/>
      <c r="BZ81" s="84"/>
      <c r="CA81" s="84"/>
      <c r="CB81" s="84"/>
      <c r="CC81" s="84"/>
      <c r="CD81" s="84"/>
      <c r="CE81" s="85"/>
      <c r="CF81" s="84"/>
      <c r="CG81" s="772">
        <f>SUM(DH81:DH85)</f>
        <v>765609622</v>
      </c>
      <c r="CH81" s="88"/>
      <c r="CI81" s="88"/>
      <c r="CJ81" s="83"/>
      <c r="CK81" s="83"/>
      <c r="CL81" s="83" t="str">
        <f t="shared" ref="CL81:CL144" si="16">+IFERROR(IF(M81=M80,"No requiere reporte",IF(OR(AK81=0,AK81=""),"No aplica, no hay meta",IF(AK81="NA","No aplica, no hay meta",IF(BU81="","No se reportó avance",IF(OR(AND(Q81="Capacidad",OR(R81="",R81=0,R81="NA")),AND(Q81="Reducción",OR(R81="",R81=0,R81="NA"))),"Se requiere valor de línea base para este tipo de acumulación",IF(OR(AND(Q81="Flujo",OR(R81&lt;&gt;"",R81&lt;&gt;0,R81&lt;&gt;"NA"),BU81="NA"),AND(Q81="Stock",OR(R81&lt;&gt;"",R81&lt;&gt;0,R81&lt;&gt;"NA"),BU81="NA")),"No aplica",IF(Q81="Flujo",IF(BU81/AK81&gt;1,1.00001,BU81/AK81),IF(Q81="Stock",IF(BU81/AK81&gt;1,1.00001,BU81/AK81),IF(Q81="Acumulado",IF((BU81)/AK81&gt;1,1.00001,(BU81)/AK81),IF(Q81="Capacidad",IF(((BU81-R81)/(AK81-R81))&gt;1,1.00001,((BU81-R81)/(AK81-R81))),IF(Q81="Reducción",IF(((R81-BU81)/(R81-BU81))&gt;1,1.00001,((R81-BU81)/(R81-BU81))),"Revisar acumulación"))))))))))),"Revisar fórmula")</f>
        <v>No se reportó avance</v>
      </c>
      <c r="CM81" s="89" t="str">
        <f t="shared" ref="CM81:CM144" si="17">+IFERROR(IF(M81=M80,"No requiere reporte",IF(OR(AO81=0,AO81=""),"No aplica, no hay meta",IF(AO81="NA","No aplica, no hay meta",IF(CC81="","No se reportó avance",IF(OR(AND(Q81="Capacidad",OR(R81="",R81=0,R81="NA")),AND(Q81="Reducción",OR(R81="",R81=0,R81="NA"))),"Se requiere valor de línea base para este tipo de acumulación",IF(OR(AND(Q81="Flujo",OR(R81&lt;&gt;"",R81&lt;&gt;0,R81&lt;&gt;"NA"),CC81="NA"),AND(Q81="Stock",OR(R81&lt;&gt;"",R81&lt;&gt;0,R81&lt;&gt;"NA"),CC81="NA")),"No aplica",IF(Q81="Flujo",IF(CC81/AO81&gt;1,1.00001,CC81/AO81),IF(Q81="Stock",IF(CC81/AO81&gt;1,1.00001,CC81/AO81),IF(Q81="Acumulado",IF((CC81)/AO81&gt;1,1.00001,(CC81)/AO81),IF(Q81="Capacidad",IF(((CC81-R81)/(AO81-R81))&gt;1,1.00001,((CC81-R81)/(AO81-R81))),IF(Q81="Reducción",IF(((R81-CC81)/(R81-CC81))&gt;1,1.00001,((R81-CC81)/(R81-CC81))),"Revisar acumulación"))))))))))),"Revisar fórmula")</f>
        <v>No se reportó avance</v>
      </c>
      <c r="CN81" s="89" t="str">
        <f t="shared" ref="CN81:CN144" si="18">+IFERROR(IF(M81=M80,"No requiere reporte",IF(OR(AP81=0,AP81=""),"No aplica, no hay meta",IF(AP81="NA","No aplica, no hay meta",IF(CE81="","No se reportó avance",IF(OR(AND(Q81="Capacidad",OR(R81="",R81=0,R81="NA")),AND(Q81="Reducción",OR(R81="",R81=0,R81="NA"))),"Se requiere valor de línea base para este tipo de acumulación",IF(OR(AND(Q81="Flujo",OR(R81&lt;&gt;"",R81&lt;&gt;0,R81&lt;&gt;"NA"),CE81="NA"),AND(Q81="Stock",OR(R81&lt;&gt;"",R81&lt;&gt;0,R81&lt;&gt;"NA"),CE81="NA")),"No aplica",IF(Q81="Flujo",IF(CE81/AP81&gt;1,1.00001,CE81/AP81),IF(Q81="Stock",IF(CE81/AP81&gt;1,1.00001,CE81/AP81),IF(Q81="Acumulado",IF((CE81)/AP81&gt;1,1.00001,(CE81)/AP81),IF(Q81="Capacidad",IF(((CE81-R81)/(AP81-R81))&gt;1,1.00001,((CE81-R81)/(AP81-R81))),IF(Q81="Reducción",IF(((R81-CE81)/(R81-CE81))&gt;1,1.00001,((R81-CE81)/(R81-CE81))),"Revisar acumulación"))))))))))),"Revisar fórmula")</f>
        <v>No se reportó avance</v>
      </c>
      <c r="CO81" s="145" t="s">
        <v>225</v>
      </c>
      <c r="CP81" s="779" t="s">
        <v>796</v>
      </c>
      <c r="CQ81" s="178" t="s">
        <v>484</v>
      </c>
      <c r="CR81" s="145" t="s">
        <v>797</v>
      </c>
      <c r="CS81" s="145" t="s">
        <v>798</v>
      </c>
      <c r="CT81" s="145" t="s">
        <v>161</v>
      </c>
      <c r="CU81" s="145" t="s">
        <v>233</v>
      </c>
      <c r="CV81" s="145">
        <v>1</v>
      </c>
      <c r="CW81" s="145" t="s">
        <v>234</v>
      </c>
      <c r="CX81" s="663">
        <v>46037</v>
      </c>
      <c r="CY81" s="663">
        <v>46387</v>
      </c>
      <c r="CZ81" s="187">
        <v>0</v>
      </c>
      <c r="DA81" s="187">
        <v>0</v>
      </c>
      <c r="DB81" s="187">
        <v>1</v>
      </c>
      <c r="DC81" s="187">
        <v>0</v>
      </c>
      <c r="DD81" s="187">
        <v>1</v>
      </c>
      <c r="DE81" s="145" t="s">
        <v>396</v>
      </c>
      <c r="DF81" s="178" t="s">
        <v>751</v>
      </c>
      <c r="DG81" s="145" t="s">
        <v>752</v>
      </c>
      <c r="DH81" s="180">
        <v>172562456</v>
      </c>
      <c r="DI81" s="664" t="s">
        <v>753</v>
      </c>
      <c r="DJ81" s="664" t="s">
        <v>754</v>
      </c>
      <c r="DK81" s="145" t="s">
        <v>755</v>
      </c>
      <c r="DL81" s="145" t="s">
        <v>279</v>
      </c>
      <c r="DM81" s="145"/>
      <c r="DN81" s="83"/>
      <c r="DO81" s="86"/>
      <c r="DP81" s="84"/>
      <c r="DQ81" s="86"/>
      <c r="DR81" s="86"/>
      <c r="DS81" s="83"/>
      <c r="DT81" s="86"/>
      <c r="DU81" s="84"/>
      <c r="DV81" s="86"/>
      <c r="DW81" s="86"/>
      <c r="DX81" s="83"/>
      <c r="DY81" s="86"/>
      <c r="DZ81" s="84"/>
      <c r="EA81" s="86"/>
      <c r="EB81" s="86"/>
      <c r="EC81" s="115"/>
      <c r="ED81" s="84"/>
      <c r="EE81" s="84"/>
      <c r="EF81" s="84"/>
      <c r="EG81" s="84"/>
      <c r="EH81" s="115"/>
      <c r="EI81" s="84"/>
      <c r="EJ81" s="84"/>
      <c r="EK81" s="131"/>
      <c r="EL81" s="91" t="str">
        <f t="shared" ref="EL81:EL144" si="19">+IFERROR(IF(CP81=CP80,"No requiere reporte",IF(OR(CZ81=0,CZ81=""),"No aplica, no hay meta",IF(CZ81="NA","No aplica, no hay meta",IF(DN81="","No se reportó avance",IF(OR(AND(CU81="Capacidad",OR(CV81="",CV81=0,CV81="NA")),AND(CU81="Reducción",OR(CV81="",CV81=0,CV81="NA"))),"Se requiere valor de línea base para este tipo de acumulación",IF(OR(AND(CU81="Flujo",OR(CV81&lt;&gt;"",CV81&lt;&gt;0,CV81&lt;&gt;"NA"),DN81="NA"),AND(CU81="Stock",OR(CV81&lt;&gt;"",CV81&lt;&gt;0,CV81&lt;&gt;"NA"),DN81="NA")),"No aplica",IF(CU81="Flujo",IF(DN81/CZ81&gt;1,1.00001,DN81/CZ81),IF(CU81="Stock",IF(DN81/CZ81&gt;1,1.00001,DN81/CZ81),IF(CU81="Acumulado",IF((DN81)/CZ81&gt;1,1.00001,(DN81)/CZ81),IF(CU81="Capacidad",IF(((DN81-CV81)/(CZ81-CV81))&gt;1,1.00001,((DN81-CV81)/(CZ81-CV81))),IF(CU81="Reducción",IF(((CV81-DN81)/(CV81-DN81))&gt;1,1.00001,((CV81-DN81)/(CV81-DN81))),"Revisar acumulación"))))))))))),"Revisar fórmula")</f>
        <v>No aplica, no hay meta</v>
      </c>
      <c r="EM81" s="83" t="str">
        <f t="shared" ref="EM81:EM144" si="20">+IFERROR(IF(CP81=CP80,"No requiere reporte",IF(OR(DD81=0,DD81=""),"No aplica, no hay meta",IF(DD81="NA","No aplica, no hay meta",IF(EH81="","No se reportó avance",IF(OR(AND(CU81="Capacidad",OR(CV81="",CV81=0,CV81="NA")),AND(CU81="Reducción",OR(CV81="",CV81=0,CV81="NA"))),"Se requiere valor de línea base para este tipo de acumulación",IF(OR(AND(CU81="Flujo",OR(CV81&lt;&gt;"",CV81&lt;&gt;0,CV81&lt;&gt;"NA"),EH81="NA"),AND(CU81="Stock",OR(CV81&lt;&gt;"",CV81&lt;&gt;0,CV81&lt;&gt;"NA"),CV81="NA")),"No aplica",IF(CU81="Flujo",IF(EH81/DD81&gt;1,1.00001,EH81/DD81),IF(CU81="Stock",IF(EH81/DD81&gt;1,1.00001,EH81/DD81),IF(CU81="Acumulado",IF((EH81)/DD81&gt;1,1.00001,(EH81)/DD81),IF(CU81="Capacidad",IF(((EH81-CV81)/(DD81-CV81))&gt;1,1.00001,((EH81-CV81)/(DD81-CV81))),IF(CU81="Reducción",IF(((CV81-EH81)/(CV81-DD81))&gt;1,1.00001,((CV81-EH81)/(CV81-DD81))),"Revisar acumulación"))))))))))),"Revisar fórmula")</f>
        <v>No se reportó avance</v>
      </c>
      <c r="EN81" s="86"/>
    </row>
    <row r="82" spans="1:146" s="93" customFormat="1" ht="150" customHeight="1">
      <c r="A82" s="84" t="s">
        <v>722</v>
      </c>
      <c r="B82" s="85" t="s">
        <v>723</v>
      </c>
      <c r="C82" s="85" t="s">
        <v>724</v>
      </c>
      <c r="D82" s="85" t="s">
        <v>779</v>
      </c>
      <c r="E82" s="85" t="s">
        <v>780</v>
      </c>
      <c r="F82" s="84" t="s">
        <v>182</v>
      </c>
      <c r="G82" s="84" t="s">
        <v>182</v>
      </c>
      <c r="H82" s="84" t="s">
        <v>781</v>
      </c>
      <c r="I82" s="84" t="s">
        <v>728</v>
      </c>
      <c r="J82" s="84" t="s">
        <v>729</v>
      </c>
      <c r="K82" s="84" t="s">
        <v>730</v>
      </c>
      <c r="L82" s="84">
        <v>2</v>
      </c>
      <c r="M82" s="84" t="s">
        <v>782</v>
      </c>
      <c r="N82" s="84" t="s">
        <v>783</v>
      </c>
      <c r="O82" s="84" t="s">
        <v>784</v>
      </c>
      <c r="P82" s="84" t="s">
        <v>161</v>
      </c>
      <c r="Q82" s="84" t="s">
        <v>162</v>
      </c>
      <c r="R82" s="188">
        <v>1</v>
      </c>
      <c r="S82" s="84" t="s">
        <v>252</v>
      </c>
      <c r="T82" s="90">
        <v>45672</v>
      </c>
      <c r="U82" s="90">
        <v>46022</v>
      </c>
      <c r="V82" s="131" t="s">
        <v>201</v>
      </c>
      <c r="W82" s="131" t="s">
        <v>182</v>
      </c>
      <c r="X82" s="144">
        <v>1</v>
      </c>
      <c r="Y82" s="144">
        <v>1</v>
      </c>
      <c r="Z82" s="144">
        <v>1</v>
      </c>
      <c r="AA82" s="83">
        <v>1</v>
      </c>
      <c r="AB82" s="83">
        <v>1</v>
      </c>
      <c r="AC82" s="83">
        <v>1</v>
      </c>
      <c r="AD82" s="83">
        <v>1</v>
      </c>
      <c r="AE82" s="144">
        <v>1</v>
      </c>
      <c r="AF82" s="144">
        <v>0</v>
      </c>
      <c r="AG82" s="144">
        <v>1</v>
      </c>
      <c r="AH82" s="144">
        <v>1</v>
      </c>
      <c r="AI82" s="144">
        <v>1</v>
      </c>
      <c r="AJ82" s="144">
        <v>1</v>
      </c>
      <c r="AK82" s="144">
        <v>1</v>
      </c>
      <c r="AL82" s="131"/>
      <c r="AM82" s="131"/>
      <c r="AN82" s="131"/>
      <c r="AO82" s="144">
        <v>1</v>
      </c>
      <c r="AP82" s="144">
        <v>1</v>
      </c>
      <c r="AQ82" s="84"/>
      <c r="AR82" s="84"/>
      <c r="AS82" s="84"/>
      <c r="AT82" s="84"/>
      <c r="AU82" s="84"/>
      <c r="AV82" s="84"/>
      <c r="AW82" s="84"/>
      <c r="AX82" s="84"/>
      <c r="AY82" s="84"/>
      <c r="AZ82" s="86"/>
      <c r="BA82" s="84"/>
      <c r="BB82" s="84"/>
      <c r="BC82" s="84"/>
      <c r="BD82" s="84"/>
      <c r="BE82" s="84"/>
      <c r="BF82" s="84"/>
      <c r="BG82" s="84"/>
      <c r="BH82" s="84"/>
      <c r="BI82" s="84"/>
      <c r="BJ82" s="86"/>
      <c r="BK82" s="84"/>
      <c r="BL82" s="86"/>
      <c r="BM82" s="144"/>
      <c r="BN82" s="86"/>
      <c r="BO82" s="144"/>
      <c r="BP82" s="86"/>
      <c r="BQ82" s="144"/>
      <c r="BR82" s="84"/>
      <c r="BS82" s="144"/>
      <c r="BT82" s="84"/>
      <c r="BU82" s="84"/>
      <c r="BV82" s="84"/>
      <c r="BW82" s="84"/>
      <c r="BX82" s="84"/>
      <c r="BY82" s="84"/>
      <c r="BZ82" s="84"/>
      <c r="CA82" s="84"/>
      <c r="CB82" s="84"/>
      <c r="CC82" s="84"/>
      <c r="CD82" s="84"/>
      <c r="CE82" s="84"/>
      <c r="CF82" s="84"/>
      <c r="CG82" s="155"/>
      <c r="CH82" s="155"/>
      <c r="CI82" s="84"/>
      <c r="CJ82" s="83"/>
      <c r="CK82" s="83"/>
      <c r="CL82" s="83" t="str">
        <f t="shared" si="16"/>
        <v>No requiere reporte</v>
      </c>
      <c r="CM82" s="89" t="str">
        <f t="shared" si="17"/>
        <v>No requiere reporte</v>
      </c>
      <c r="CN82" s="89" t="str">
        <f t="shared" si="18"/>
        <v>No requiere reporte</v>
      </c>
      <c r="CO82" s="145" t="s">
        <v>313</v>
      </c>
      <c r="CP82" s="145" t="s">
        <v>799</v>
      </c>
      <c r="CQ82" s="178" t="s">
        <v>766</v>
      </c>
      <c r="CR82" s="178" t="s">
        <v>800</v>
      </c>
      <c r="CS82" s="145" t="s">
        <v>801</v>
      </c>
      <c r="CT82" s="145" t="s">
        <v>200</v>
      </c>
      <c r="CU82" s="145" t="s">
        <v>162</v>
      </c>
      <c r="CV82" s="157">
        <v>1</v>
      </c>
      <c r="CW82" s="145" t="s">
        <v>163</v>
      </c>
      <c r="CX82" s="663">
        <v>46037</v>
      </c>
      <c r="CY82" s="663">
        <v>46387</v>
      </c>
      <c r="CZ82" s="146">
        <v>1</v>
      </c>
      <c r="DA82" s="146">
        <v>1</v>
      </c>
      <c r="DB82" s="146">
        <v>1</v>
      </c>
      <c r="DC82" s="146">
        <v>1</v>
      </c>
      <c r="DD82" s="146">
        <v>1</v>
      </c>
      <c r="DE82" s="145" t="s">
        <v>396</v>
      </c>
      <c r="DF82" s="178" t="s">
        <v>802</v>
      </c>
      <c r="DG82" s="145" t="s">
        <v>752</v>
      </c>
      <c r="DH82" s="180">
        <v>82360487</v>
      </c>
      <c r="DI82" s="664" t="s">
        <v>753</v>
      </c>
      <c r="DJ82" s="664" t="s">
        <v>754</v>
      </c>
      <c r="DK82" s="145" t="s">
        <v>755</v>
      </c>
      <c r="DL82" s="145" t="s">
        <v>279</v>
      </c>
      <c r="DM82" s="145"/>
      <c r="DN82" s="83"/>
      <c r="DO82" s="106"/>
      <c r="DP82" s="150"/>
      <c r="DQ82" s="86"/>
      <c r="DR82" s="86"/>
      <c r="DS82" s="89"/>
      <c r="DT82" s="106"/>
      <c r="DU82" s="148"/>
      <c r="DV82" s="86"/>
      <c r="DW82" s="86"/>
      <c r="DX82" s="189"/>
      <c r="DY82" s="106"/>
      <c r="DZ82" s="148"/>
      <c r="EA82" s="86"/>
      <c r="EB82" s="86"/>
      <c r="EC82" s="83"/>
      <c r="ED82" s="84"/>
      <c r="EE82" s="84"/>
      <c r="EF82" s="84"/>
      <c r="EG82" s="84"/>
      <c r="EH82" s="83"/>
      <c r="EI82" s="84"/>
      <c r="EJ82" s="84"/>
      <c r="EK82" s="131"/>
      <c r="EL82" s="91" t="str">
        <f t="shared" si="19"/>
        <v>No se reportó avance</v>
      </c>
      <c r="EM82" s="83" t="str">
        <f t="shared" si="20"/>
        <v>No se reportó avance</v>
      </c>
      <c r="EN82" s="86"/>
    </row>
    <row r="83" spans="1:146" s="93" customFormat="1" ht="150" customHeight="1">
      <c r="A83" s="84" t="s">
        <v>722</v>
      </c>
      <c r="B83" s="85" t="s">
        <v>723</v>
      </c>
      <c r="C83" s="85" t="s">
        <v>724</v>
      </c>
      <c r="D83" s="85" t="s">
        <v>779</v>
      </c>
      <c r="E83" s="85" t="s">
        <v>780</v>
      </c>
      <c r="F83" s="84" t="s">
        <v>182</v>
      </c>
      <c r="G83" s="84" t="s">
        <v>182</v>
      </c>
      <c r="H83" s="84" t="s">
        <v>781</v>
      </c>
      <c r="I83" s="84" t="s">
        <v>728</v>
      </c>
      <c r="J83" s="84" t="s">
        <v>729</v>
      </c>
      <c r="K83" s="84" t="s">
        <v>730</v>
      </c>
      <c r="L83" s="84">
        <v>2</v>
      </c>
      <c r="M83" s="84" t="s">
        <v>782</v>
      </c>
      <c r="N83" s="84" t="s">
        <v>783</v>
      </c>
      <c r="O83" s="84" t="s">
        <v>784</v>
      </c>
      <c r="P83" s="84" t="s">
        <v>161</v>
      </c>
      <c r="Q83" s="84" t="s">
        <v>162</v>
      </c>
      <c r="R83" s="188">
        <v>1</v>
      </c>
      <c r="S83" s="84" t="s">
        <v>252</v>
      </c>
      <c r="T83" s="90">
        <v>45672</v>
      </c>
      <c r="U83" s="90">
        <v>46022</v>
      </c>
      <c r="V83" s="131" t="s">
        <v>201</v>
      </c>
      <c r="W83" s="131" t="s">
        <v>182</v>
      </c>
      <c r="X83" s="144">
        <v>1</v>
      </c>
      <c r="Y83" s="144">
        <v>1</v>
      </c>
      <c r="Z83" s="144">
        <v>1</v>
      </c>
      <c r="AA83" s="83">
        <v>1</v>
      </c>
      <c r="AB83" s="83">
        <v>1</v>
      </c>
      <c r="AC83" s="83">
        <v>1</v>
      </c>
      <c r="AD83" s="83">
        <v>1</v>
      </c>
      <c r="AE83" s="144">
        <v>1</v>
      </c>
      <c r="AF83" s="144">
        <v>0</v>
      </c>
      <c r="AG83" s="144">
        <v>1</v>
      </c>
      <c r="AH83" s="144">
        <v>1</v>
      </c>
      <c r="AI83" s="144">
        <v>1</v>
      </c>
      <c r="AJ83" s="144">
        <v>1</v>
      </c>
      <c r="AK83" s="144">
        <v>1</v>
      </c>
      <c r="AL83" s="131"/>
      <c r="AM83" s="131"/>
      <c r="AN83" s="131"/>
      <c r="AO83" s="144">
        <v>1</v>
      </c>
      <c r="AP83" s="144">
        <v>1</v>
      </c>
      <c r="AQ83" s="84"/>
      <c r="AR83" s="84"/>
      <c r="AS83" s="84"/>
      <c r="AT83" s="84"/>
      <c r="AU83" s="84"/>
      <c r="AV83" s="84"/>
      <c r="AW83" s="84"/>
      <c r="AX83" s="84"/>
      <c r="AY83" s="84"/>
      <c r="AZ83" s="86"/>
      <c r="BA83" s="84"/>
      <c r="BB83" s="84"/>
      <c r="BC83" s="84"/>
      <c r="BD83" s="84"/>
      <c r="BE83" s="84"/>
      <c r="BF83" s="84"/>
      <c r="BG83" s="84"/>
      <c r="BH83" s="84"/>
      <c r="BI83" s="84"/>
      <c r="BJ83" s="86"/>
      <c r="BK83" s="84"/>
      <c r="BL83" s="86"/>
      <c r="BM83" s="84"/>
      <c r="BN83" s="86"/>
      <c r="BO83" s="84"/>
      <c r="BP83" s="86"/>
      <c r="BQ83" s="84"/>
      <c r="BR83" s="84"/>
      <c r="BS83" s="84"/>
      <c r="BT83" s="84"/>
      <c r="BU83" s="84"/>
      <c r="BV83" s="84"/>
      <c r="BW83" s="84"/>
      <c r="BX83" s="84"/>
      <c r="BY83" s="84"/>
      <c r="BZ83" s="84"/>
      <c r="CA83" s="84"/>
      <c r="CB83" s="84"/>
      <c r="CC83" s="84"/>
      <c r="CD83" s="84"/>
      <c r="CE83" s="84"/>
      <c r="CF83" s="84"/>
      <c r="CG83" s="155"/>
      <c r="CH83" s="155"/>
      <c r="CI83" s="84"/>
      <c r="CJ83" s="83"/>
      <c r="CK83" s="83"/>
      <c r="CL83" s="83" t="str">
        <f t="shared" si="16"/>
        <v>No requiere reporte</v>
      </c>
      <c r="CM83" s="89" t="str">
        <f t="shared" si="17"/>
        <v>No requiere reporte</v>
      </c>
      <c r="CN83" s="89" t="str">
        <f t="shared" si="18"/>
        <v>No requiere reporte</v>
      </c>
      <c r="CO83" s="145" t="s">
        <v>318</v>
      </c>
      <c r="CP83" s="145" t="s">
        <v>803</v>
      </c>
      <c r="CQ83" s="178" t="s">
        <v>484</v>
      </c>
      <c r="CR83" s="178" t="s">
        <v>804</v>
      </c>
      <c r="CS83" s="178" t="s">
        <v>805</v>
      </c>
      <c r="CT83" s="178" t="s">
        <v>161</v>
      </c>
      <c r="CU83" s="145" t="s">
        <v>233</v>
      </c>
      <c r="CV83" s="83" t="s">
        <v>182</v>
      </c>
      <c r="CW83" s="145" t="s">
        <v>234</v>
      </c>
      <c r="CX83" s="663">
        <v>46037</v>
      </c>
      <c r="CY83" s="663">
        <v>46387</v>
      </c>
      <c r="CZ83" s="190">
        <v>0</v>
      </c>
      <c r="DA83" s="190">
        <v>2</v>
      </c>
      <c r="DB83" s="191">
        <v>0</v>
      </c>
      <c r="DC83" s="190">
        <v>2</v>
      </c>
      <c r="DD83" s="190">
        <f>+DA83+DB83+CZ83+DC83</f>
        <v>4</v>
      </c>
      <c r="DE83" s="145" t="s">
        <v>396</v>
      </c>
      <c r="DF83" s="178" t="s">
        <v>802</v>
      </c>
      <c r="DG83" s="145" t="s">
        <v>752</v>
      </c>
      <c r="DH83" s="180">
        <v>120973756</v>
      </c>
      <c r="DI83" s="664" t="s">
        <v>753</v>
      </c>
      <c r="DJ83" s="664" t="s">
        <v>754</v>
      </c>
      <c r="DK83" s="145" t="s">
        <v>755</v>
      </c>
      <c r="DL83" s="145" t="s">
        <v>279</v>
      </c>
      <c r="DM83" s="145"/>
      <c r="DN83" s="83"/>
      <c r="DO83" s="86"/>
      <c r="DP83" s="84"/>
      <c r="DQ83" s="86"/>
      <c r="DR83" s="86"/>
      <c r="DS83" s="108"/>
      <c r="DT83" s="106"/>
      <c r="DU83" s="148"/>
      <c r="DV83" s="86"/>
      <c r="DW83" s="86"/>
      <c r="DX83" s="108"/>
      <c r="DY83" s="106"/>
      <c r="DZ83" s="148"/>
      <c r="EA83" s="86"/>
      <c r="EB83" s="86"/>
      <c r="EC83" s="115"/>
      <c r="ED83" s="84"/>
      <c r="EE83" s="84"/>
      <c r="EF83" s="84"/>
      <c r="EG83" s="84"/>
      <c r="EH83" s="115"/>
      <c r="EI83" s="84"/>
      <c r="EJ83" s="84"/>
      <c r="EK83" s="131"/>
      <c r="EL83" s="91" t="str">
        <f t="shared" si="19"/>
        <v>No aplica, no hay meta</v>
      </c>
      <c r="EM83" s="83" t="str">
        <f t="shared" si="20"/>
        <v>No se reportó avance</v>
      </c>
      <c r="EN83" s="86"/>
    </row>
    <row r="84" spans="1:146" s="93" customFormat="1" ht="150" customHeight="1">
      <c r="A84" s="84" t="s">
        <v>722</v>
      </c>
      <c r="B84" s="85" t="s">
        <v>723</v>
      </c>
      <c r="C84" s="85" t="s">
        <v>724</v>
      </c>
      <c r="D84" s="85" t="s">
        <v>779</v>
      </c>
      <c r="E84" s="85" t="s">
        <v>780</v>
      </c>
      <c r="F84" s="84" t="s">
        <v>182</v>
      </c>
      <c r="G84" s="84" t="s">
        <v>182</v>
      </c>
      <c r="H84" s="84" t="s">
        <v>781</v>
      </c>
      <c r="I84" s="84" t="s">
        <v>728</v>
      </c>
      <c r="J84" s="84" t="s">
        <v>729</v>
      </c>
      <c r="K84" s="84" t="s">
        <v>730</v>
      </c>
      <c r="L84" s="131">
        <v>2</v>
      </c>
      <c r="M84" s="84" t="s">
        <v>782</v>
      </c>
      <c r="N84" s="84" t="s">
        <v>783</v>
      </c>
      <c r="O84" s="84" t="s">
        <v>784</v>
      </c>
      <c r="P84" s="84" t="s">
        <v>161</v>
      </c>
      <c r="Q84" s="84" t="s">
        <v>162</v>
      </c>
      <c r="R84" s="188">
        <v>1</v>
      </c>
      <c r="S84" s="84" t="s">
        <v>252</v>
      </c>
      <c r="T84" s="90">
        <v>45672</v>
      </c>
      <c r="U84" s="90">
        <v>46022</v>
      </c>
      <c r="V84" s="131" t="s">
        <v>201</v>
      </c>
      <c r="W84" s="131" t="s">
        <v>182</v>
      </c>
      <c r="X84" s="144">
        <v>1</v>
      </c>
      <c r="Y84" s="144">
        <v>1</v>
      </c>
      <c r="Z84" s="144">
        <v>1</v>
      </c>
      <c r="AA84" s="83">
        <v>1</v>
      </c>
      <c r="AB84" s="83">
        <v>1</v>
      </c>
      <c r="AC84" s="83">
        <v>1</v>
      </c>
      <c r="AD84" s="83">
        <v>1</v>
      </c>
      <c r="AE84" s="144">
        <v>1</v>
      </c>
      <c r="AF84" s="144">
        <v>0</v>
      </c>
      <c r="AG84" s="144">
        <v>1</v>
      </c>
      <c r="AH84" s="144">
        <v>1</v>
      </c>
      <c r="AI84" s="144">
        <v>1</v>
      </c>
      <c r="AJ84" s="144">
        <v>1</v>
      </c>
      <c r="AK84" s="144">
        <v>1</v>
      </c>
      <c r="AL84" s="131"/>
      <c r="AM84" s="131"/>
      <c r="AN84" s="131"/>
      <c r="AO84" s="144">
        <v>1</v>
      </c>
      <c r="AP84" s="144">
        <v>1</v>
      </c>
      <c r="AQ84" s="84"/>
      <c r="AR84" s="84"/>
      <c r="AS84" s="84"/>
      <c r="AT84" s="84"/>
      <c r="AU84" s="84"/>
      <c r="AV84" s="84"/>
      <c r="AW84" s="84"/>
      <c r="AX84" s="84"/>
      <c r="AY84" s="84"/>
      <c r="AZ84" s="86"/>
      <c r="BA84" s="84"/>
      <c r="BB84" s="84"/>
      <c r="BC84" s="84"/>
      <c r="BD84" s="84"/>
      <c r="BE84" s="84"/>
      <c r="BF84" s="84"/>
      <c r="BG84" s="84"/>
      <c r="BH84" s="84"/>
      <c r="BI84" s="84"/>
      <c r="BJ84" s="86"/>
      <c r="BK84" s="84"/>
      <c r="BL84" s="86"/>
      <c r="BM84" s="84"/>
      <c r="BN84" s="86"/>
      <c r="BO84" s="84"/>
      <c r="BP84" s="86"/>
      <c r="BQ84" s="84"/>
      <c r="BR84" s="84"/>
      <c r="BS84" s="84"/>
      <c r="BT84" s="84"/>
      <c r="BU84" s="84"/>
      <c r="BV84" s="84"/>
      <c r="BW84" s="84"/>
      <c r="BX84" s="84"/>
      <c r="BY84" s="84"/>
      <c r="BZ84" s="84"/>
      <c r="CA84" s="84"/>
      <c r="CB84" s="84"/>
      <c r="CC84" s="84"/>
      <c r="CD84" s="84"/>
      <c r="CE84" s="84"/>
      <c r="CF84" s="84"/>
      <c r="CG84" s="155"/>
      <c r="CH84" s="155"/>
      <c r="CI84" s="84"/>
      <c r="CJ84" s="83"/>
      <c r="CK84" s="83"/>
      <c r="CL84" s="83" t="str">
        <f t="shared" si="16"/>
        <v>No requiere reporte</v>
      </c>
      <c r="CM84" s="89" t="str">
        <f t="shared" si="17"/>
        <v>No requiere reporte</v>
      </c>
      <c r="CN84" s="89" t="str">
        <f t="shared" si="18"/>
        <v>No requiere reporte</v>
      </c>
      <c r="CO84" s="145" t="s">
        <v>322</v>
      </c>
      <c r="CP84" s="145" t="s">
        <v>806</v>
      </c>
      <c r="CQ84" s="178" t="s">
        <v>766</v>
      </c>
      <c r="CR84" s="145" t="s">
        <v>807</v>
      </c>
      <c r="CS84" s="145" t="s">
        <v>808</v>
      </c>
      <c r="CT84" s="145" t="s">
        <v>200</v>
      </c>
      <c r="CU84" s="145" t="s">
        <v>162</v>
      </c>
      <c r="CV84" s="157">
        <v>1</v>
      </c>
      <c r="CW84" s="145" t="s">
        <v>163</v>
      </c>
      <c r="CX84" s="663">
        <v>46037</v>
      </c>
      <c r="CY84" s="663">
        <v>46387</v>
      </c>
      <c r="CZ84" s="146">
        <v>1</v>
      </c>
      <c r="DA84" s="146">
        <v>1</v>
      </c>
      <c r="DB84" s="146">
        <v>1</v>
      </c>
      <c r="DC84" s="146">
        <v>1</v>
      </c>
      <c r="DD84" s="146">
        <v>1</v>
      </c>
      <c r="DE84" s="145" t="s">
        <v>761</v>
      </c>
      <c r="DF84" s="178" t="s">
        <v>762</v>
      </c>
      <c r="DG84" s="145" t="s">
        <v>763</v>
      </c>
      <c r="DH84" s="180">
        <v>320011423</v>
      </c>
      <c r="DI84" s="664" t="s">
        <v>753</v>
      </c>
      <c r="DJ84" s="664" t="s">
        <v>754</v>
      </c>
      <c r="DK84" s="145" t="s">
        <v>755</v>
      </c>
      <c r="DL84" s="145" t="s">
        <v>279</v>
      </c>
      <c r="DM84" s="145"/>
      <c r="DN84" s="83"/>
      <c r="DO84" s="86"/>
      <c r="DP84" s="150"/>
      <c r="DQ84" s="86"/>
      <c r="DR84" s="86"/>
      <c r="DS84" s="83"/>
      <c r="DT84" s="86"/>
      <c r="DU84" s="148"/>
      <c r="DV84" s="86"/>
      <c r="DW84" s="86"/>
      <c r="DX84" s="83"/>
      <c r="DY84" s="86"/>
      <c r="DZ84" s="148"/>
      <c r="EA84" s="86"/>
      <c r="EB84" s="86"/>
      <c r="EC84" s="83"/>
      <c r="ED84" s="84"/>
      <c r="EE84" s="84"/>
      <c r="EF84" s="84"/>
      <c r="EG84" s="84"/>
      <c r="EH84" s="83"/>
      <c r="EI84" s="84"/>
      <c r="EJ84" s="84"/>
      <c r="EK84" s="131"/>
      <c r="EL84" s="91" t="str">
        <f t="shared" si="19"/>
        <v>No se reportó avance</v>
      </c>
      <c r="EM84" s="83" t="str">
        <f t="shared" si="20"/>
        <v>No se reportó avance</v>
      </c>
      <c r="EN84" s="153"/>
    </row>
    <row r="85" spans="1:146" s="93" customFormat="1" ht="150" customHeight="1">
      <c r="A85" s="84" t="s">
        <v>722</v>
      </c>
      <c r="B85" s="85" t="s">
        <v>723</v>
      </c>
      <c r="C85" s="85" t="s">
        <v>724</v>
      </c>
      <c r="D85" s="85" t="s">
        <v>779</v>
      </c>
      <c r="E85" s="85" t="s">
        <v>780</v>
      </c>
      <c r="F85" s="84" t="s">
        <v>182</v>
      </c>
      <c r="G85" s="84" t="s">
        <v>182</v>
      </c>
      <c r="H85" s="84" t="s">
        <v>781</v>
      </c>
      <c r="I85" s="84" t="s">
        <v>728</v>
      </c>
      <c r="J85" s="84" t="s">
        <v>729</v>
      </c>
      <c r="K85" s="84" t="s">
        <v>730</v>
      </c>
      <c r="L85" s="131">
        <v>2</v>
      </c>
      <c r="M85" s="84" t="s">
        <v>782</v>
      </c>
      <c r="N85" s="84" t="s">
        <v>783</v>
      </c>
      <c r="O85" s="84" t="s">
        <v>784</v>
      </c>
      <c r="P85" s="84" t="s">
        <v>161</v>
      </c>
      <c r="Q85" s="84" t="s">
        <v>162</v>
      </c>
      <c r="R85" s="188">
        <v>1</v>
      </c>
      <c r="S85" s="84" t="s">
        <v>252</v>
      </c>
      <c r="T85" s="90">
        <v>45672</v>
      </c>
      <c r="U85" s="90">
        <v>46022</v>
      </c>
      <c r="V85" s="131" t="s">
        <v>201</v>
      </c>
      <c r="W85" s="131" t="s">
        <v>182</v>
      </c>
      <c r="X85" s="144">
        <v>1</v>
      </c>
      <c r="Y85" s="144">
        <v>1</v>
      </c>
      <c r="Z85" s="144">
        <v>1</v>
      </c>
      <c r="AA85" s="83">
        <v>1</v>
      </c>
      <c r="AB85" s="83">
        <v>1</v>
      </c>
      <c r="AC85" s="83">
        <v>1</v>
      </c>
      <c r="AD85" s="83">
        <v>1</v>
      </c>
      <c r="AE85" s="144">
        <v>1</v>
      </c>
      <c r="AF85" s="144">
        <v>0</v>
      </c>
      <c r="AG85" s="144">
        <v>1</v>
      </c>
      <c r="AH85" s="144">
        <v>1</v>
      </c>
      <c r="AI85" s="144">
        <v>1</v>
      </c>
      <c r="AJ85" s="144">
        <v>1</v>
      </c>
      <c r="AK85" s="144">
        <v>1</v>
      </c>
      <c r="AL85" s="131"/>
      <c r="AM85" s="131"/>
      <c r="AN85" s="131"/>
      <c r="AO85" s="144">
        <v>1</v>
      </c>
      <c r="AP85" s="144">
        <v>1</v>
      </c>
      <c r="AQ85" s="84"/>
      <c r="AR85" s="84"/>
      <c r="AS85" s="84"/>
      <c r="AT85" s="84"/>
      <c r="AU85" s="84"/>
      <c r="AV85" s="84"/>
      <c r="AW85" s="84"/>
      <c r="AX85" s="84"/>
      <c r="AY85" s="84"/>
      <c r="AZ85" s="86"/>
      <c r="BA85" s="84"/>
      <c r="BB85" s="84"/>
      <c r="BC85" s="84"/>
      <c r="BD85" s="84"/>
      <c r="BE85" s="84"/>
      <c r="BF85" s="84"/>
      <c r="BG85" s="84"/>
      <c r="BH85" s="84"/>
      <c r="BI85" s="84"/>
      <c r="BJ85" s="86"/>
      <c r="BK85" s="84"/>
      <c r="BL85" s="86"/>
      <c r="BM85" s="84"/>
      <c r="BN85" s="86"/>
      <c r="BO85" s="84"/>
      <c r="BP85" s="86"/>
      <c r="BQ85" s="84"/>
      <c r="BR85" s="84"/>
      <c r="BS85" s="84"/>
      <c r="BT85" s="84"/>
      <c r="BU85" s="84"/>
      <c r="BV85" s="84"/>
      <c r="BW85" s="84"/>
      <c r="BX85" s="84"/>
      <c r="BY85" s="84"/>
      <c r="BZ85" s="84"/>
      <c r="CA85" s="84"/>
      <c r="CB85" s="84"/>
      <c r="CC85" s="84"/>
      <c r="CD85" s="84"/>
      <c r="CE85" s="84"/>
      <c r="CF85" s="84"/>
      <c r="CG85" s="155"/>
      <c r="CH85" s="155"/>
      <c r="CI85" s="84"/>
      <c r="CJ85" s="83"/>
      <c r="CK85" s="83"/>
      <c r="CL85" s="83" t="str">
        <f t="shared" si="16"/>
        <v>No requiere reporte</v>
      </c>
      <c r="CM85" s="89" t="str">
        <f t="shared" si="17"/>
        <v>No requiere reporte</v>
      </c>
      <c r="CN85" s="89" t="str">
        <f t="shared" si="18"/>
        <v>No requiere reporte</v>
      </c>
      <c r="CO85" s="145" t="s">
        <v>327</v>
      </c>
      <c r="CP85" s="145" t="s">
        <v>809</v>
      </c>
      <c r="CQ85" s="178" t="s">
        <v>810</v>
      </c>
      <c r="CR85" s="145" t="s">
        <v>811</v>
      </c>
      <c r="CS85" s="145" t="s">
        <v>808</v>
      </c>
      <c r="CT85" s="145" t="s">
        <v>200</v>
      </c>
      <c r="CU85" s="145" t="s">
        <v>162</v>
      </c>
      <c r="CV85" s="157">
        <v>1</v>
      </c>
      <c r="CW85" s="145" t="s">
        <v>163</v>
      </c>
      <c r="CX85" s="663">
        <v>46037</v>
      </c>
      <c r="CY85" s="663">
        <v>46387</v>
      </c>
      <c r="CZ85" s="146">
        <v>1</v>
      </c>
      <c r="DA85" s="146">
        <v>1</v>
      </c>
      <c r="DB85" s="146">
        <v>1</v>
      </c>
      <c r="DC85" s="146">
        <v>1</v>
      </c>
      <c r="DD85" s="146">
        <v>1</v>
      </c>
      <c r="DE85" s="145" t="s">
        <v>761</v>
      </c>
      <c r="DF85" s="178" t="s">
        <v>762</v>
      </c>
      <c r="DG85" s="145" t="s">
        <v>763</v>
      </c>
      <c r="DH85" s="180">
        <v>69701500</v>
      </c>
      <c r="DI85" s="664" t="s">
        <v>753</v>
      </c>
      <c r="DJ85" s="664" t="s">
        <v>754</v>
      </c>
      <c r="DK85" s="145" t="s">
        <v>755</v>
      </c>
      <c r="DL85" s="145" t="s">
        <v>279</v>
      </c>
      <c r="DM85" s="145"/>
      <c r="DN85" s="83"/>
      <c r="DO85" s="86"/>
      <c r="DP85" s="84"/>
      <c r="DQ85" s="86"/>
      <c r="DR85" s="86"/>
      <c r="DS85" s="108"/>
      <c r="DT85" s="106"/>
      <c r="DU85" s="148"/>
      <c r="DV85" s="86"/>
      <c r="DW85" s="86"/>
      <c r="DX85" s="108"/>
      <c r="DY85" s="106"/>
      <c r="DZ85" s="148"/>
      <c r="EA85" s="86"/>
      <c r="EB85" s="86"/>
      <c r="EC85" s="115"/>
      <c r="ED85" s="84"/>
      <c r="EE85" s="84"/>
      <c r="EF85" s="84"/>
      <c r="EG85" s="84"/>
      <c r="EH85" s="115"/>
      <c r="EI85" s="84"/>
      <c r="EJ85" s="84"/>
      <c r="EK85" s="131"/>
      <c r="EL85" s="91" t="str">
        <f t="shared" si="19"/>
        <v>No se reportó avance</v>
      </c>
      <c r="EM85" s="83" t="str">
        <f t="shared" si="20"/>
        <v>No se reportó avance</v>
      </c>
      <c r="EN85" s="86"/>
    </row>
    <row r="86" spans="1:146" s="93" customFormat="1" ht="329.25" customHeight="1">
      <c r="A86" s="74" t="s">
        <v>722</v>
      </c>
      <c r="B86" s="75" t="s">
        <v>723</v>
      </c>
      <c r="C86" s="75" t="s">
        <v>724</v>
      </c>
      <c r="D86" s="75" t="s">
        <v>812</v>
      </c>
      <c r="E86" s="75" t="s">
        <v>780</v>
      </c>
      <c r="F86" s="74" t="s">
        <v>182</v>
      </c>
      <c r="G86" s="74" t="s">
        <v>182</v>
      </c>
      <c r="H86" s="74" t="s">
        <v>781</v>
      </c>
      <c r="I86" s="74" t="s">
        <v>728</v>
      </c>
      <c r="J86" s="74" t="s">
        <v>729</v>
      </c>
      <c r="K86" s="74" t="s">
        <v>730</v>
      </c>
      <c r="L86" s="78">
        <v>3</v>
      </c>
      <c r="M86" s="78" t="s">
        <v>813</v>
      </c>
      <c r="N86" s="78" t="s">
        <v>814</v>
      </c>
      <c r="O86" s="78" t="s">
        <v>815</v>
      </c>
      <c r="P86" s="78" t="s">
        <v>200</v>
      </c>
      <c r="Q86" s="77" t="s">
        <v>275</v>
      </c>
      <c r="R86" s="78">
        <v>1133</v>
      </c>
      <c r="S86" s="78" t="s">
        <v>234</v>
      </c>
      <c r="T86" s="80">
        <v>45672</v>
      </c>
      <c r="U86" s="80">
        <v>46387</v>
      </c>
      <c r="V86" s="74">
        <v>500</v>
      </c>
      <c r="W86" s="74">
        <v>300</v>
      </c>
      <c r="X86" s="74">
        <v>200</v>
      </c>
      <c r="Y86" s="192">
        <v>133</v>
      </c>
      <c r="Z86" s="176">
        <f>+V86+W86+X86+Y86</f>
        <v>1133</v>
      </c>
      <c r="AA86" s="192">
        <v>1133</v>
      </c>
      <c r="AB86" s="192">
        <v>1133</v>
      </c>
      <c r="AC86" s="192">
        <v>1133</v>
      </c>
      <c r="AD86" s="192">
        <v>1133</v>
      </c>
      <c r="AE86" s="176">
        <v>1133</v>
      </c>
      <c r="AF86" s="193">
        <v>0</v>
      </c>
      <c r="AG86" s="193">
        <v>1101</v>
      </c>
      <c r="AH86" s="193">
        <v>32</v>
      </c>
      <c r="AI86" s="193">
        <v>0</v>
      </c>
      <c r="AJ86" s="193">
        <f>+AF86+AG86+AH86+AI86</f>
        <v>1133</v>
      </c>
      <c r="AK86" s="194">
        <v>0</v>
      </c>
      <c r="AL86" s="194">
        <v>500</v>
      </c>
      <c r="AM86" s="194">
        <v>500</v>
      </c>
      <c r="AN86" s="194">
        <v>133</v>
      </c>
      <c r="AO86" s="195">
        <f>+AK86+AL86+AM86+AN86</f>
        <v>1133</v>
      </c>
      <c r="AP86" s="78">
        <v>1133</v>
      </c>
      <c r="AQ86" s="84">
        <v>905</v>
      </c>
      <c r="AR86" s="84" t="s">
        <v>816</v>
      </c>
      <c r="AS86" s="84">
        <v>915</v>
      </c>
      <c r="AT86" s="84" t="s">
        <v>817</v>
      </c>
      <c r="AU86" s="84">
        <v>1001</v>
      </c>
      <c r="AV86" s="84" t="s">
        <v>818</v>
      </c>
      <c r="AW86" s="84">
        <v>34</v>
      </c>
      <c r="AX86" s="84" t="s">
        <v>819</v>
      </c>
      <c r="AY86" s="84">
        <v>1001</v>
      </c>
      <c r="AZ86" s="86" t="s">
        <v>820</v>
      </c>
      <c r="BA86" s="84"/>
      <c r="BB86" s="84"/>
      <c r="BC86" s="84">
        <v>1133</v>
      </c>
      <c r="BD86" s="84" t="s">
        <v>821</v>
      </c>
      <c r="BE86" s="84">
        <v>1133</v>
      </c>
      <c r="BF86" s="84" t="s">
        <v>822</v>
      </c>
      <c r="BG86" s="94">
        <v>0</v>
      </c>
      <c r="BH86" s="94" t="s">
        <v>823</v>
      </c>
      <c r="BI86" s="94">
        <v>1133</v>
      </c>
      <c r="BJ86" s="106" t="s">
        <v>824</v>
      </c>
      <c r="BK86" s="84">
        <v>776</v>
      </c>
      <c r="BL86" s="86" t="s">
        <v>825</v>
      </c>
      <c r="BM86" s="84">
        <v>767</v>
      </c>
      <c r="BN86" s="86" t="s">
        <v>826</v>
      </c>
      <c r="BO86" s="84">
        <v>767</v>
      </c>
      <c r="BP86" s="86" t="s">
        <v>827</v>
      </c>
      <c r="BQ86" s="84"/>
      <c r="BR86" s="84"/>
      <c r="BS86" s="84"/>
      <c r="BT86" s="84"/>
      <c r="BU86" s="84"/>
      <c r="BV86" s="84"/>
      <c r="BW86" s="84"/>
      <c r="BX86" s="84"/>
      <c r="BY86" s="84"/>
      <c r="BZ86" s="84"/>
      <c r="CA86" s="84"/>
      <c r="CB86" s="84"/>
      <c r="CC86" s="84"/>
      <c r="CD86" s="84"/>
      <c r="CE86" s="84"/>
      <c r="CF86" s="84"/>
      <c r="CG86" s="772">
        <f>SUM(DH86:DH87)</f>
        <v>2298653519</v>
      </c>
      <c r="CH86" s="88"/>
      <c r="CI86" s="88"/>
      <c r="CJ86" s="83"/>
      <c r="CK86" s="83"/>
      <c r="CL86" s="83" t="str">
        <f t="shared" si="16"/>
        <v>No aplica, no hay meta</v>
      </c>
      <c r="CM86" s="89" t="str">
        <f t="shared" si="17"/>
        <v>No se reportó avance</v>
      </c>
      <c r="CN86" s="89" t="str">
        <f t="shared" si="18"/>
        <v>No se reportó avance</v>
      </c>
      <c r="CO86" s="145" t="s">
        <v>236</v>
      </c>
      <c r="CP86" s="145" t="s">
        <v>828</v>
      </c>
      <c r="CQ86" s="178" t="s">
        <v>829</v>
      </c>
      <c r="CR86" s="145" t="s">
        <v>830</v>
      </c>
      <c r="CS86" s="145" t="s">
        <v>831</v>
      </c>
      <c r="CT86" s="145" t="s">
        <v>200</v>
      </c>
      <c r="CU86" s="145" t="s">
        <v>233</v>
      </c>
      <c r="CV86" s="145">
        <v>1133</v>
      </c>
      <c r="CW86" s="145" t="s">
        <v>234</v>
      </c>
      <c r="CX86" s="663">
        <v>46037</v>
      </c>
      <c r="CY86" s="663">
        <v>46387</v>
      </c>
      <c r="CZ86" s="190">
        <v>0</v>
      </c>
      <c r="DA86" s="190">
        <v>500</v>
      </c>
      <c r="DB86" s="190">
        <v>500</v>
      </c>
      <c r="DC86" s="190">
        <v>133</v>
      </c>
      <c r="DD86" s="190">
        <f t="shared" ref="DD86:DD91" si="21">+CZ86+DA86+DB86+DC86</f>
        <v>1133</v>
      </c>
      <c r="DE86" s="145" t="s">
        <v>396</v>
      </c>
      <c r="DF86" s="178" t="s">
        <v>751</v>
      </c>
      <c r="DG86" s="145" t="s">
        <v>752</v>
      </c>
      <c r="DH86" s="196">
        <v>1351850948</v>
      </c>
      <c r="DI86" s="664" t="s">
        <v>753</v>
      </c>
      <c r="DJ86" s="664" t="s">
        <v>754</v>
      </c>
      <c r="DK86" s="145" t="s">
        <v>755</v>
      </c>
      <c r="DL86" s="145" t="s">
        <v>279</v>
      </c>
      <c r="DM86" s="668"/>
      <c r="DN86" s="84"/>
      <c r="DO86" s="86"/>
      <c r="DP86" s="150"/>
      <c r="DQ86" s="86"/>
      <c r="DR86" s="86"/>
      <c r="DS86" s="94"/>
      <c r="DT86" s="106"/>
      <c r="DU86" s="148"/>
      <c r="DV86" s="106"/>
      <c r="DW86" s="106"/>
      <c r="DX86" s="94"/>
      <c r="DY86" s="106"/>
      <c r="DZ86" s="148"/>
      <c r="EA86" s="106"/>
      <c r="EB86" s="106"/>
      <c r="EC86" s="84"/>
      <c r="ED86" s="84"/>
      <c r="EE86" s="84"/>
      <c r="EF86" s="84"/>
      <c r="EG86" s="84"/>
      <c r="EH86" s="84"/>
      <c r="EI86" s="84"/>
      <c r="EJ86" s="84"/>
      <c r="EK86" s="131"/>
      <c r="EL86" s="91" t="str">
        <f t="shared" si="19"/>
        <v>No aplica, no hay meta</v>
      </c>
      <c r="EM86" s="83" t="str">
        <f t="shared" si="20"/>
        <v>No se reportó avance</v>
      </c>
      <c r="EN86" s="86" t="s">
        <v>832</v>
      </c>
    </row>
    <row r="87" spans="1:146" s="93" customFormat="1" ht="188.25" customHeight="1">
      <c r="A87" s="84" t="s">
        <v>722</v>
      </c>
      <c r="B87" s="85" t="s">
        <v>723</v>
      </c>
      <c r="C87" s="85" t="s">
        <v>724</v>
      </c>
      <c r="D87" s="85" t="s">
        <v>725</v>
      </c>
      <c r="E87" s="85" t="s">
        <v>726</v>
      </c>
      <c r="F87" s="84" t="s">
        <v>182</v>
      </c>
      <c r="G87" s="84" t="s">
        <v>182</v>
      </c>
      <c r="H87" s="84" t="s">
        <v>727</v>
      </c>
      <c r="I87" s="84" t="s">
        <v>728</v>
      </c>
      <c r="J87" s="84" t="s">
        <v>729</v>
      </c>
      <c r="K87" s="84" t="s">
        <v>730</v>
      </c>
      <c r="L87" s="84">
        <v>3</v>
      </c>
      <c r="M87" s="84" t="s">
        <v>813</v>
      </c>
      <c r="N87" s="84" t="s">
        <v>814</v>
      </c>
      <c r="O87" s="84" t="s">
        <v>815</v>
      </c>
      <c r="P87" s="84" t="s">
        <v>200</v>
      </c>
      <c r="Q87" s="84" t="s">
        <v>275</v>
      </c>
      <c r="R87" s="84">
        <v>1133</v>
      </c>
      <c r="S87" s="84" t="s">
        <v>234</v>
      </c>
      <c r="T87" s="90">
        <v>45672</v>
      </c>
      <c r="U87" s="90">
        <v>46022</v>
      </c>
      <c r="V87" s="122">
        <v>1133</v>
      </c>
      <c r="W87" s="122">
        <v>1133</v>
      </c>
      <c r="X87" s="122">
        <v>1133</v>
      </c>
      <c r="Y87" s="122">
        <v>1133</v>
      </c>
      <c r="Z87" s="122">
        <v>1133</v>
      </c>
      <c r="AA87" s="122">
        <v>1133</v>
      </c>
      <c r="AB87" s="122">
        <v>1133</v>
      </c>
      <c r="AC87" s="122">
        <v>1133</v>
      </c>
      <c r="AD87" s="122">
        <v>1133</v>
      </c>
      <c r="AE87" s="122">
        <v>1133</v>
      </c>
      <c r="AF87" s="122">
        <v>1133</v>
      </c>
      <c r="AG87" s="122">
        <v>1135</v>
      </c>
      <c r="AH87" s="122">
        <v>1135</v>
      </c>
      <c r="AI87" s="122">
        <v>1135</v>
      </c>
      <c r="AJ87" s="122">
        <v>1135</v>
      </c>
      <c r="AK87" s="122">
        <v>1133</v>
      </c>
      <c r="AL87" s="84">
        <v>1133</v>
      </c>
      <c r="AM87" s="122">
        <v>1135</v>
      </c>
      <c r="AN87" s="122">
        <v>1135</v>
      </c>
      <c r="AO87" s="122">
        <v>1133</v>
      </c>
      <c r="AP87" s="84">
        <v>1133</v>
      </c>
      <c r="AQ87" s="84"/>
      <c r="AR87" s="84"/>
      <c r="AS87" s="84"/>
      <c r="AT87" s="84"/>
      <c r="AU87" s="84"/>
      <c r="AV87" s="84"/>
      <c r="AW87" s="84"/>
      <c r="AX87" s="84"/>
      <c r="AY87" s="84"/>
      <c r="AZ87" s="86"/>
      <c r="BA87" s="84"/>
      <c r="BB87" s="84"/>
      <c r="BC87" s="84"/>
      <c r="BD87" s="84"/>
      <c r="BE87" s="84"/>
      <c r="BF87" s="84"/>
      <c r="BG87" s="84"/>
      <c r="BH87" s="84"/>
      <c r="BI87" s="84"/>
      <c r="BJ87" s="86"/>
      <c r="BK87" s="84"/>
      <c r="BL87" s="86"/>
      <c r="BM87" s="84"/>
      <c r="BN87" s="86"/>
      <c r="BO87" s="84"/>
      <c r="BP87" s="86"/>
      <c r="BQ87" s="84"/>
      <c r="BR87" s="84"/>
      <c r="BS87" s="84"/>
      <c r="BT87" s="84"/>
      <c r="BU87" s="84"/>
      <c r="BV87" s="84"/>
      <c r="BW87" s="84"/>
      <c r="BX87" s="84"/>
      <c r="BY87" s="84"/>
      <c r="BZ87" s="84"/>
      <c r="CA87" s="84"/>
      <c r="CB87" s="84"/>
      <c r="CC87" s="84"/>
      <c r="CD87" s="84"/>
      <c r="CE87" s="84"/>
      <c r="CF87" s="84"/>
      <c r="CG87" s="155"/>
      <c r="CH87" s="155"/>
      <c r="CI87" s="84"/>
      <c r="CJ87" s="83"/>
      <c r="CK87" s="83"/>
      <c r="CL87" s="83" t="str">
        <f t="shared" si="16"/>
        <v>No requiere reporte</v>
      </c>
      <c r="CM87" s="89" t="str">
        <f t="shared" si="17"/>
        <v>No requiere reporte</v>
      </c>
      <c r="CN87" s="89" t="str">
        <f t="shared" si="18"/>
        <v>No requiere reporte</v>
      </c>
      <c r="CO87" s="145" t="s">
        <v>361</v>
      </c>
      <c r="CP87" s="145" t="s">
        <v>833</v>
      </c>
      <c r="CQ87" s="178" t="s">
        <v>829</v>
      </c>
      <c r="CR87" s="145" t="s">
        <v>834</v>
      </c>
      <c r="CS87" s="145" t="s">
        <v>835</v>
      </c>
      <c r="CT87" s="145" t="s">
        <v>200</v>
      </c>
      <c r="CU87" s="145" t="s">
        <v>233</v>
      </c>
      <c r="CV87" s="145">
        <v>5</v>
      </c>
      <c r="CW87" s="145" t="s">
        <v>234</v>
      </c>
      <c r="CX87" s="663">
        <v>46037</v>
      </c>
      <c r="CY87" s="663">
        <v>46387</v>
      </c>
      <c r="CZ87" s="190">
        <v>0</v>
      </c>
      <c r="DA87" s="190">
        <v>2</v>
      </c>
      <c r="DB87" s="190">
        <v>2</v>
      </c>
      <c r="DC87" s="190">
        <v>2</v>
      </c>
      <c r="DD87" s="190">
        <f t="shared" si="21"/>
        <v>6</v>
      </c>
      <c r="DE87" s="145" t="s">
        <v>396</v>
      </c>
      <c r="DF87" s="178" t="s">
        <v>751</v>
      </c>
      <c r="DG87" s="145" t="s">
        <v>752</v>
      </c>
      <c r="DH87" s="180">
        <v>946802571</v>
      </c>
      <c r="DI87" s="664" t="s">
        <v>753</v>
      </c>
      <c r="DJ87" s="664" t="s">
        <v>754</v>
      </c>
      <c r="DK87" s="145" t="s">
        <v>755</v>
      </c>
      <c r="DL87" s="145" t="s">
        <v>279</v>
      </c>
      <c r="DM87" s="145"/>
      <c r="DN87" s="84"/>
      <c r="DO87" s="86"/>
      <c r="DP87" s="84"/>
      <c r="DQ87" s="86"/>
      <c r="DR87" s="86"/>
      <c r="DS87" s="84"/>
      <c r="DT87" s="86"/>
      <c r="DU87" s="84"/>
      <c r="DV87" s="86"/>
      <c r="DW87" s="86"/>
      <c r="DX87" s="84"/>
      <c r="DY87" s="86"/>
      <c r="DZ87" s="84"/>
      <c r="EA87" s="86"/>
      <c r="EB87" s="86"/>
      <c r="EC87" s="84"/>
      <c r="ED87" s="84"/>
      <c r="EE87" s="84"/>
      <c r="EF87" s="84"/>
      <c r="EG87" s="84"/>
      <c r="EH87" s="84"/>
      <c r="EI87" s="84"/>
      <c r="EJ87" s="84"/>
      <c r="EK87" s="131"/>
      <c r="EL87" s="91" t="str">
        <f t="shared" si="19"/>
        <v>No aplica, no hay meta</v>
      </c>
      <c r="EM87" s="83" t="str">
        <f t="shared" si="20"/>
        <v>No se reportó avance</v>
      </c>
      <c r="EN87" s="86"/>
    </row>
    <row r="88" spans="1:146" s="93" customFormat="1" ht="150" customHeight="1">
      <c r="A88" s="74" t="s">
        <v>722</v>
      </c>
      <c r="B88" s="75" t="s">
        <v>723</v>
      </c>
      <c r="C88" s="75" t="s">
        <v>724</v>
      </c>
      <c r="D88" s="75" t="s">
        <v>812</v>
      </c>
      <c r="E88" s="75" t="s">
        <v>780</v>
      </c>
      <c r="F88" s="74" t="s">
        <v>182</v>
      </c>
      <c r="G88" s="74" t="s">
        <v>182</v>
      </c>
      <c r="H88" s="74" t="s">
        <v>781</v>
      </c>
      <c r="I88" s="74" t="s">
        <v>728</v>
      </c>
      <c r="J88" s="74" t="s">
        <v>729</v>
      </c>
      <c r="K88" s="74" t="s">
        <v>730</v>
      </c>
      <c r="L88" s="78">
        <v>4</v>
      </c>
      <c r="M88" s="78" t="s">
        <v>836</v>
      </c>
      <c r="N88" s="197" t="s">
        <v>837</v>
      </c>
      <c r="O88" s="197" t="s">
        <v>838</v>
      </c>
      <c r="P88" s="77" t="s">
        <v>200</v>
      </c>
      <c r="Q88" s="77" t="s">
        <v>162</v>
      </c>
      <c r="R88" s="77" t="s">
        <v>182</v>
      </c>
      <c r="S88" s="77" t="s">
        <v>252</v>
      </c>
      <c r="T88" s="80">
        <v>45672</v>
      </c>
      <c r="U88" s="80">
        <v>46387</v>
      </c>
      <c r="V88" s="182" t="s">
        <v>201</v>
      </c>
      <c r="W88" s="182" t="s">
        <v>201</v>
      </c>
      <c r="X88" s="182" t="s">
        <v>201</v>
      </c>
      <c r="Y88" s="75">
        <f>1*100%</f>
        <v>1</v>
      </c>
      <c r="Z88" s="79">
        <f>1*100%</f>
        <v>1</v>
      </c>
      <c r="AA88" s="182"/>
      <c r="AB88" s="182"/>
      <c r="AC88" s="182"/>
      <c r="AD88" s="75">
        <f>15/15*100%</f>
        <v>1</v>
      </c>
      <c r="AE88" s="79">
        <f>15/15*100%</f>
        <v>1</v>
      </c>
      <c r="AF88" s="184">
        <v>0</v>
      </c>
      <c r="AG88" s="184">
        <v>0</v>
      </c>
      <c r="AH88" s="184">
        <v>0</v>
      </c>
      <c r="AI88" s="79">
        <f>14/14*100%</f>
        <v>1</v>
      </c>
      <c r="AJ88" s="79">
        <f>1*100%</f>
        <v>1</v>
      </c>
      <c r="AK88" s="198">
        <v>1</v>
      </c>
      <c r="AL88" s="198">
        <v>1</v>
      </c>
      <c r="AM88" s="198">
        <v>1</v>
      </c>
      <c r="AN88" s="198">
        <v>1</v>
      </c>
      <c r="AO88" s="79">
        <f>1*100%</f>
        <v>1</v>
      </c>
      <c r="AP88" s="79">
        <f>+(Z88+AE88+AJ88+AO88)/4</f>
        <v>1</v>
      </c>
      <c r="AQ88" s="84" t="s">
        <v>182</v>
      </c>
      <c r="AR88" s="84" t="s">
        <v>839</v>
      </c>
      <c r="AS88" s="84" t="s">
        <v>182</v>
      </c>
      <c r="AT88" s="84" t="s">
        <v>182</v>
      </c>
      <c r="AU88" s="84" t="s">
        <v>182</v>
      </c>
      <c r="AV88" s="84" t="s">
        <v>182</v>
      </c>
      <c r="AW88" s="84">
        <v>0</v>
      </c>
      <c r="AX88" s="84">
        <v>0</v>
      </c>
      <c r="AY88" s="84">
        <v>0</v>
      </c>
      <c r="AZ88" s="86"/>
      <c r="BA88" s="84" t="s">
        <v>182</v>
      </c>
      <c r="BB88" s="84"/>
      <c r="BC88" s="84" t="s">
        <v>182</v>
      </c>
      <c r="BD88" s="84" t="s">
        <v>840</v>
      </c>
      <c r="BE88" s="85">
        <f>20/20*100%</f>
        <v>1</v>
      </c>
      <c r="BF88" s="84" t="s">
        <v>841</v>
      </c>
      <c r="BG88" s="94">
        <v>0</v>
      </c>
      <c r="BH88" s="94" t="s">
        <v>842</v>
      </c>
      <c r="BI88" s="199">
        <f>1*100%</f>
        <v>1</v>
      </c>
      <c r="BJ88" s="86" t="s">
        <v>843</v>
      </c>
      <c r="BK88" s="83" t="s">
        <v>182</v>
      </c>
      <c r="BL88" s="86" t="s">
        <v>844</v>
      </c>
      <c r="BM88" s="83">
        <f>+(1/1)</f>
        <v>1</v>
      </c>
      <c r="BN88" s="86" t="s">
        <v>845</v>
      </c>
      <c r="BO88" s="83" t="s">
        <v>182</v>
      </c>
      <c r="BP88" s="86" t="s">
        <v>846</v>
      </c>
      <c r="BQ88" s="84"/>
      <c r="BR88" s="84"/>
      <c r="BS88" s="144"/>
      <c r="BT88" s="84"/>
      <c r="BU88" s="84"/>
      <c r="BV88" s="84"/>
      <c r="BW88" s="84"/>
      <c r="BX88" s="84"/>
      <c r="BY88" s="84"/>
      <c r="BZ88" s="84"/>
      <c r="CA88" s="84"/>
      <c r="CB88" s="84"/>
      <c r="CC88" s="84"/>
      <c r="CD88" s="84"/>
      <c r="CE88" s="85"/>
      <c r="CF88" s="84"/>
      <c r="CG88" s="772">
        <f>SUM(DH88:DH91)</f>
        <v>2012449828</v>
      </c>
      <c r="CH88" s="88"/>
      <c r="CI88" s="88"/>
      <c r="CJ88" s="83"/>
      <c r="CK88" s="83"/>
      <c r="CL88" s="83" t="str">
        <f t="shared" si="16"/>
        <v>No se reportó avance</v>
      </c>
      <c r="CM88" s="89" t="str">
        <f t="shared" si="17"/>
        <v>No se reportó avance</v>
      </c>
      <c r="CN88" s="89" t="str">
        <f t="shared" si="18"/>
        <v>No se reportó avance</v>
      </c>
      <c r="CO88" s="145" t="s">
        <v>391</v>
      </c>
      <c r="CP88" s="145" t="s">
        <v>847</v>
      </c>
      <c r="CQ88" s="178" t="s">
        <v>848</v>
      </c>
      <c r="CR88" s="178" t="s">
        <v>849</v>
      </c>
      <c r="CS88" s="178" t="s">
        <v>850</v>
      </c>
      <c r="CT88" s="145" t="s">
        <v>161</v>
      </c>
      <c r="CU88" s="145" t="s">
        <v>233</v>
      </c>
      <c r="CV88" s="145">
        <v>14</v>
      </c>
      <c r="CW88" s="145" t="s">
        <v>234</v>
      </c>
      <c r="CX88" s="663">
        <v>46037</v>
      </c>
      <c r="CY88" s="663">
        <v>46203</v>
      </c>
      <c r="CZ88" s="191">
        <v>5</v>
      </c>
      <c r="DA88" s="191">
        <v>25</v>
      </c>
      <c r="DB88" s="191">
        <v>0</v>
      </c>
      <c r="DC88" s="191">
        <v>0</v>
      </c>
      <c r="DD88" s="191">
        <f t="shared" si="21"/>
        <v>30</v>
      </c>
      <c r="DE88" s="145" t="s">
        <v>396</v>
      </c>
      <c r="DF88" s="178" t="s">
        <v>751</v>
      </c>
      <c r="DG88" s="145" t="s">
        <v>752</v>
      </c>
      <c r="DH88" s="180">
        <v>257499783</v>
      </c>
      <c r="DI88" s="664" t="s">
        <v>753</v>
      </c>
      <c r="DJ88" s="664" t="s">
        <v>754</v>
      </c>
      <c r="DK88" s="145" t="s">
        <v>755</v>
      </c>
      <c r="DL88" s="145" t="s">
        <v>279</v>
      </c>
      <c r="DM88" s="145"/>
      <c r="DN88" s="84"/>
      <c r="DO88" s="86"/>
      <c r="DP88" s="84"/>
      <c r="DQ88" s="86"/>
      <c r="DR88" s="86"/>
      <c r="DS88" s="84"/>
      <c r="DT88" s="86"/>
      <c r="DU88" s="148"/>
      <c r="DV88" s="86"/>
      <c r="DW88" s="86"/>
      <c r="DX88" s="84"/>
      <c r="DY88" s="761"/>
      <c r="DZ88" s="148"/>
      <c r="EA88" s="86"/>
      <c r="EB88" s="86"/>
      <c r="EC88" s="84"/>
      <c r="ED88" s="84"/>
      <c r="EE88" s="84"/>
      <c r="EF88" s="84"/>
      <c r="EG88" s="84"/>
      <c r="EH88" s="84"/>
      <c r="EI88" s="84"/>
      <c r="EJ88" s="84"/>
      <c r="EK88" s="131"/>
      <c r="EL88" s="91" t="str">
        <f t="shared" si="19"/>
        <v>No se reportó avance</v>
      </c>
      <c r="EM88" s="83" t="str">
        <f t="shared" si="20"/>
        <v>No se reportó avance</v>
      </c>
      <c r="EN88" s="86" t="s">
        <v>851</v>
      </c>
    </row>
    <row r="89" spans="1:146" s="93" customFormat="1" ht="150" customHeight="1">
      <c r="A89" s="84" t="s">
        <v>722</v>
      </c>
      <c r="B89" s="85" t="s">
        <v>723</v>
      </c>
      <c r="C89" s="85" t="s">
        <v>852</v>
      </c>
      <c r="D89" s="85" t="s">
        <v>725</v>
      </c>
      <c r="E89" s="85" t="s">
        <v>726</v>
      </c>
      <c r="F89" s="84" t="s">
        <v>182</v>
      </c>
      <c r="G89" s="84" t="s">
        <v>182</v>
      </c>
      <c r="H89" s="84" t="s">
        <v>727</v>
      </c>
      <c r="I89" s="84" t="s">
        <v>728</v>
      </c>
      <c r="J89" s="84" t="s">
        <v>729</v>
      </c>
      <c r="K89" s="84" t="s">
        <v>730</v>
      </c>
      <c r="L89" s="84">
        <v>4</v>
      </c>
      <c r="M89" s="84" t="s">
        <v>836</v>
      </c>
      <c r="N89" s="84" t="s">
        <v>837</v>
      </c>
      <c r="O89" s="84" t="s">
        <v>838</v>
      </c>
      <c r="P89" s="84" t="s">
        <v>200</v>
      </c>
      <c r="Q89" s="84" t="s">
        <v>162</v>
      </c>
      <c r="R89" s="84">
        <v>20</v>
      </c>
      <c r="S89" s="84" t="s">
        <v>252</v>
      </c>
      <c r="T89" s="90">
        <v>45672</v>
      </c>
      <c r="U89" s="90">
        <v>46022</v>
      </c>
      <c r="V89" s="131" t="s">
        <v>201</v>
      </c>
      <c r="W89" s="131" t="s">
        <v>201</v>
      </c>
      <c r="X89" s="131" t="s">
        <v>201</v>
      </c>
      <c r="Y89" s="85">
        <f t="shared" ref="Y89:Z91" si="22">1*100%</f>
        <v>1</v>
      </c>
      <c r="Z89" s="85">
        <f t="shared" si="22"/>
        <v>1</v>
      </c>
      <c r="AA89" s="131"/>
      <c r="AB89" s="131"/>
      <c r="AC89" s="131"/>
      <c r="AD89" s="85">
        <f t="shared" ref="AD89:AE91" si="23">15/15*100%</f>
        <v>1</v>
      </c>
      <c r="AE89" s="85">
        <f t="shared" si="23"/>
        <v>1</v>
      </c>
      <c r="AF89" s="131">
        <v>0</v>
      </c>
      <c r="AG89" s="131">
        <v>0</v>
      </c>
      <c r="AH89" s="131">
        <v>0</v>
      </c>
      <c r="AI89" s="85">
        <f>14/14*100%</f>
        <v>1</v>
      </c>
      <c r="AJ89" s="85">
        <f>1*100%</f>
        <v>1</v>
      </c>
      <c r="AK89" s="131"/>
      <c r="AL89" s="131"/>
      <c r="AM89" s="131"/>
      <c r="AN89" s="131"/>
      <c r="AO89" s="85">
        <f>1*100%</f>
        <v>1</v>
      </c>
      <c r="AP89" s="84"/>
      <c r="AQ89" s="84"/>
      <c r="AR89" s="84"/>
      <c r="AS89" s="84"/>
      <c r="AT89" s="84"/>
      <c r="AU89" s="84"/>
      <c r="AV89" s="84"/>
      <c r="AW89" s="84"/>
      <c r="AX89" s="84"/>
      <c r="AY89" s="84"/>
      <c r="AZ89" s="86"/>
      <c r="BA89" s="84"/>
      <c r="BB89" s="84"/>
      <c r="BC89" s="84"/>
      <c r="BD89" s="84"/>
      <c r="BE89" s="84"/>
      <c r="BF89" s="84"/>
      <c r="BG89" s="84"/>
      <c r="BH89" s="84"/>
      <c r="BI89" s="84"/>
      <c r="BJ89" s="86"/>
      <c r="BK89" s="84"/>
      <c r="BL89" s="86"/>
      <c r="BM89" s="84"/>
      <c r="BN89" s="86"/>
      <c r="BO89" s="84"/>
      <c r="BP89" s="86"/>
      <c r="BQ89" s="84"/>
      <c r="BR89" s="84"/>
      <c r="BS89" s="84"/>
      <c r="BT89" s="84"/>
      <c r="BU89" s="84"/>
      <c r="BV89" s="84"/>
      <c r="BW89" s="84"/>
      <c r="BX89" s="84"/>
      <c r="BY89" s="84"/>
      <c r="BZ89" s="84"/>
      <c r="CA89" s="84"/>
      <c r="CB89" s="84"/>
      <c r="CC89" s="84"/>
      <c r="CD89" s="84"/>
      <c r="CE89" s="84"/>
      <c r="CF89" s="84"/>
      <c r="CG89" s="155"/>
      <c r="CH89" s="155"/>
      <c r="CI89" s="84"/>
      <c r="CJ89" s="83"/>
      <c r="CK89" s="83"/>
      <c r="CL89" s="83" t="str">
        <f t="shared" si="16"/>
        <v>No requiere reporte</v>
      </c>
      <c r="CM89" s="89" t="str">
        <f t="shared" si="17"/>
        <v>No requiere reporte</v>
      </c>
      <c r="CN89" s="89" t="str">
        <f t="shared" si="18"/>
        <v>No requiere reporte</v>
      </c>
      <c r="CO89" s="145" t="s">
        <v>403</v>
      </c>
      <c r="CP89" s="145" t="s">
        <v>853</v>
      </c>
      <c r="CQ89" s="178" t="s">
        <v>854</v>
      </c>
      <c r="CR89" s="178" t="s">
        <v>855</v>
      </c>
      <c r="CS89" s="178" t="s">
        <v>856</v>
      </c>
      <c r="CT89" s="145" t="s">
        <v>161</v>
      </c>
      <c r="CU89" s="145" t="s">
        <v>233</v>
      </c>
      <c r="CV89" s="145">
        <v>14</v>
      </c>
      <c r="CW89" s="145" t="s">
        <v>234</v>
      </c>
      <c r="CX89" s="663">
        <v>46174</v>
      </c>
      <c r="CY89" s="663">
        <v>46387</v>
      </c>
      <c r="CZ89" s="191">
        <v>0</v>
      </c>
      <c r="DA89" s="191">
        <v>0</v>
      </c>
      <c r="DB89" s="191">
        <v>30</v>
      </c>
      <c r="DC89" s="191">
        <v>0</v>
      </c>
      <c r="DD89" s="191">
        <f t="shared" si="21"/>
        <v>30</v>
      </c>
      <c r="DE89" s="145" t="s">
        <v>396</v>
      </c>
      <c r="DF89" s="178" t="s">
        <v>751</v>
      </c>
      <c r="DG89" s="145" t="s">
        <v>752</v>
      </c>
      <c r="DH89" s="180">
        <v>120490962</v>
      </c>
      <c r="DI89" s="664" t="s">
        <v>753</v>
      </c>
      <c r="DJ89" s="664" t="s">
        <v>754</v>
      </c>
      <c r="DK89" s="145" t="s">
        <v>755</v>
      </c>
      <c r="DL89" s="145" t="s">
        <v>279</v>
      </c>
      <c r="DM89" s="145"/>
      <c r="DN89" s="84"/>
      <c r="DO89" s="86"/>
      <c r="DP89" s="84"/>
      <c r="DQ89" s="86"/>
      <c r="DR89" s="86"/>
      <c r="DS89" s="84"/>
      <c r="DT89" s="86"/>
      <c r="DU89" s="84"/>
      <c r="DV89" s="86"/>
      <c r="DW89" s="86"/>
      <c r="DX89" s="84"/>
      <c r="DY89" s="86"/>
      <c r="DZ89" s="84"/>
      <c r="EA89" s="86"/>
      <c r="EB89" s="86"/>
      <c r="EC89" s="84"/>
      <c r="ED89" s="84"/>
      <c r="EE89" s="84"/>
      <c r="EF89" s="84"/>
      <c r="EG89" s="84"/>
      <c r="EH89" s="84"/>
      <c r="EI89" s="84"/>
      <c r="EJ89" s="84"/>
      <c r="EK89" s="131"/>
      <c r="EL89" s="91" t="str">
        <f t="shared" si="19"/>
        <v>No aplica, no hay meta</v>
      </c>
      <c r="EM89" s="83" t="str">
        <f t="shared" si="20"/>
        <v>No se reportó avance</v>
      </c>
      <c r="EN89" s="86"/>
    </row>
    <row r="90" spans="1:146" s="93" customFormat="1" ht="150" customHeight="1">
      <c r="A90" s="84" t="s">
        <v>722</v>
      </c>
      <c r="B90" s="85" t="s">
        <v>723</v>
      </c>
      <c r="C90" s="85" t="s">
        <v>724</v>
      </c>
      <c r="D90" s="85" t="s">
        <v>725</v>
      </c>
      <c r="E90" s="85" t="s">
        <v>726</v>
      </c>
      <c r="F90" s="84" t="s">
        <v>182</v>
      </c>
      <c r="G90" s="84" t="s">
        <v>182</v>
      </c>
      <c r="H90" s="84" t="s">
        <v>727</v>
      </c>
      <c r="I90" s="84" t="s">
        <v>728</v>
      </c>
      <c r="J90" s="84" t="s">
        <v>729</v>
      </c>
      <c r="K90" s="84" t="s">
        <v>730</v>
      </c>
      <c r="L90" s="84">
        <v>4</v>
      </c>
      <c r="M90" s="84" t="s">
        <v>836</v>
      </c>
      <c r="N90" s="84" t="s">
        <v>837</v>
      </c>
      <c r="O90" s="84" t="s">
        <v>838</v>
      </c>
      <c r="P90" s="84" t="s">
        <v>200</v>
      </c>
      <c r="Q90" s="84" t="s">
        <v>162</v>
      </c>
      <c r="R90" s="84">
        <v>20</v>
      </c>
      <c r="S90" s="84" t="s">
        <v>252</v>
      </c>
      <c r="T90" s="90">
        <v>45672</v>
      </c>
      <c r="U90" s="90">
        <v>46022</v>
      </c>
      <c r="V90" s="131" t="s">
        <v>201</v>
      </c>
      <c r="W90" s="131" t="s">
        <v>201</v>
      </c>
      <c r="X90" s="131" t="s">
        <v>201</v>
      </c>
      <c r="Y90" s="85">
        <f t="shared" si="22"/>
        <v>1</v>
      </c>
      <c r="Z90" s="85">
        <f t="shared" si="22"/>
        <v>1</v>
      </c>
      <c r="AA90" s="131"/>
      <c r="AB90" s="131"/>
      <c r="AC90" s="131"/>
      <c r="AD90" s="85">
        <f t="shared" si="23"/>
        <v>1</v>
      </c>
      <c r="AE90" s="85">
        <f t="shared" si="23"/>
        <v>1</v>
      </c>
      <c r="AF90" s="131">
        <v>0</v>
      </c>
      <c r="AG90" s="131">
        <v>0</v>
      </c>
      <c r="AH90" s="131">
        <v>0</v>
      </c>
      <c r="AI90" s="85">
        <f>14/14*100%</f>
        <v>1</v>
      </c>
      <c r="AJ90" s="85">
        <f>1*100%</f>
        <v>1</v>
      </c>
      <c r="AK90" s="131"/>
      <c r="AL90" s="131"/>
      <c r="AM90" s="131"/>
      <c r="AN90" s="131"/>
      <c r="AO90" s="85">
        <f>1*100%</f>
        <v>1</v>
      </c>
      <c r="AP90" s="84"/>
      <c r="AQ90" s="84"/>
      <c r="AR90" s="84"/>
      <c r="AS90" s="84"/>
      <c r="AT90" s="84"/>
      <c r="AU90" s="84"/>
      <c r="AV90" s="84"/>
      <c r="AW90" s="84"/>
      <c r="AX90" s="84"/>
      <c r="AY90" s="84"/>
      <c r="AZ90" s="86"/>
      <c r="BA90" s="84"/>
      <c r="BB90" s="84"/>
      <c r="BC90" s="84"/>
      <c r="BD90" s="84"/>
      <c r="BE90" s="84"/>
      <c r="BF90" s="84"/>
      <c r="BG90" s="84"/>
      <c r="BH90" s="84"/>
      <c r="BI90" s="84"/>
      <c r="BJ90" s="86"/>
      <c r="BK90" s="84"/>
      <c r="BL90" s="86"/>
      <c r="BM90" s="84"/>
      <c r="BN90" s="86"/>
      <c r="BO90" s="84"/>
      <c r="BP90" s="86"/>
      <c r="BQ90" s="84"/>
      <c r="BR90" s="84"/>
      <c r="BS90" s="84"/>
      <c r="BT90" s="84"/>
      <c r="BU90" s="84"/>
      <c r="BV90" s="84"/>
      <c r="BW90" s="84"/>
      <c r="BX90" s="84"/>
      <c r="BY90" s="84"/>
      <c r="BZ90" s="84"/>
      <c r="CA90" s="84"/>
      <c r="CB90" s="84"/>
      <c r="CC90" s="84"/>
      <c r="CD90" s="84"/>
      <c r="CE90" s="84"/>
      <c r="CF90" s="84"/>
      <c r="CG90" s="155"/>
      <c r="CH90" s="155"/>
      <c r="CI90" s="84"/>
      <c r="CJ90" s="83"/>
      <c r="CK90" s="83"/>
      <c r="CL90" s="83" t="str">
        <f t="shared" si="16"/>
        <v>No requiere reporte</v>
      </c>
      <c r="CM90" s="89" t="str">
        <f t="shared" si="17"/>
        <v>No requiere reporte</v>
      </c>
      <c r="CN90" s="89" t="str">
        <f t="shared" si="18"/>
        <v>No requiere reporte</v>
      </c>
      <c r="CO90" s="145" t="s">
        <v>408</v>
      </c>
      <c r="CP90" s="145" t="s">
        <v>857</v>
      </c>
      <c r="CQ90" s="178" t="s">
        <v>484</v>
      </c>
      <c r="CR90" s="178" t="s">
        <v>858</v>
      </c>
      <c r="CS90" s="178" t="s">
        <v>859</v>
      </c>
      <c r="CT90" s="145" t="s">
        <v>161</v>
      </c>
      <c r="CU90" s="145" t="s">
        <v>233</v>
      </c>
      <c r="CV90" s="145">
        <v>14</v>
      </c>
      <c r="CW90" s="145" t="s">
        <v>234</v>
      </c>
      <c r="CX90" s="663">
        <v>46174</v>
      </c>
      <c r="CY90" s="663">
        <v>46387</v>
      </c>
      <c r="CZ90" s="191">
        <v>0</v>
      </c>
      <c r="DA90" s="191">
        <v>0</v>
      </c>
      <c r="DB90" s="191">
        <v>0</v>
      </c>
      <c r="DC90" s="191">
        <v>30</v>
      </c>
      <c r="DD90" s="191">
        <f t="shared" si="21"/>
        <v>30</v>
      </c>
      <c r="DE90" s="145" t="s">
        <v>396</v>
      </c>
      <c r="DF90" s="178" t="s">
        <v>751</v>
      </c>
      <c r="DG90" s="145" t="s">
        <v>752</v>
      </c>
      <c r="DH90" s="180">
        <v>1212774450</v>
      </c>
      <c r="DI90" s="664" t="s">
        <v>753</v>
      </c>
      <c r="DJ90" s="664" t="s">
        <v>754</v>
      </c>
      <c r="DK90" s="145" t="s">
        <v>755</v>
      </c>
      <c r="DL90" s="145" t="s">
        <v>279</v>
      </c>
      <c r="DM90" s="145"/>
      <c r="DN90" s="84"/>
      <c r="DO90" s="86"/>
      <c r="DP90" s="84"/>
      <c r="DQ90" s="86"/>
      <c r="DR90" s="86"/>
      <c r="DS90" s="84"/>
      <c r="DT90" s="86"/>
      <c r="DU90" s="84"/>
      <c r="DV90" s="86"/>
      <c r="DW90" s="86"/>
      <c r="DX90" s="84"/>
      <c r="DY90" s="86"/>
      <c r="DZ90" s="84"/>
      <c r="EA90" s="86"/>
      <c r="EB90" s="86"/>
      <c r="EC90" s="84"/>
      <c r="ED90" s="84"/>
      <c r="EE90" s="84"/>
      <c r="EF90" s="84"/>
      <c r="EG90" s="84"/>
      <c r="EH90" s="84"/>
      <c r="EI90" s="84"/>
      <c r="EJ90" s="84"/>
      <c r="EK90" s="131"/>
      <c r="EL90" s="91" t="str">
        <f t="shared" si="19"/>
        <v>No aplica, no hay meta</v>
      </c>
      <c r="EM90" s="83" t="str">
        <f t="shared" si="20"/>
        <v>No se reportó avance</v>
      </c>
      <c r="EN90" s="86"/>
    </row>
    <row r="91" spans="1:146" s="93" customFormat="1" ht="150" customHeight="1">
      <c r="A91" s="84" t="s">
        <v>722</v>
      </c>
      <c r="B91" s="85" t="s">
        <v>723</v>
      </c>
      <c r="C91" s="85" t="s">
        <v>860</v>
      </c>
      <c r="D91" s="85" t="s">
        <v>725</v>
      </c>
      <c r="E91" s="85" t="s">
        <v>726</v>
      </c>
      <c r="F91" s="84" t="s">
        <v>182</v>
      </c>
      <c r="G91" s="84" t="s">
        <v>182</v>
      </c>
      <c r="H91" s="84" t="s">
        <v>727</v>
      </c>
      <c r="I91" s="84" t="s">
        <v>728</v>
      </c>
      <c r="J91" s="84" t="s">
        <v>729</v>
      </c>
      <c r="K91" s="84" t="s">
        <v>730</v>
      </c>
      <c r="L91" s="84">
        <v>4</v>
      </c>
      <c r="M91" s="84" t="s">
        <v>836</v>
      </c>
      <c r="N91" s="84" t="s">
        <v>837</v>
      </c>
      <c r="O91" s="84" t="s">
        <v>838</v>
      </c>
      <c r="P91" s="84" t="s">
        <v>200</v>
      </c>
      <c r="Q91" s="84" t="s">
        <v>162</v>
      </c>
      <c r="R91" s="84">
        <v>20</v>
      </c>
      <c r="S91" s="84" t="s">
        <v>252</v>
      </c>
      <c r="T91" s="90">
        <v>45672</v>
      </c>
      <c r="U91" s="90">
        <v>46022</v>
      </c>
      <c r="V91" s="131" t="s">
        <v>201</v>
      </c>
      <c r="W91" s="131" t="s">
        <v>201</v>
      </c>
      <c r="X91" s="131" t="s">
        <v>201</v>
      </c>
      <c r="Y91" s="85">
        <f t="shared" si="22"/>
        <v>1</v>
      </c>
      <c r="Z91" s="85">
        <f t="shared" si="22"/>
        <v>1</v>
      </c>
      <c r="AA91" s="131"/>
      <c r="AB91" s="131"/>
      <c r="AC91" s="131"/>
      <c r="AD91" s="85">
        <f t="shared" si="23"/>
        <v>1</v>
      </c>
      <c r="AE91" s="85">
        <f t="shared" si="23"/>
        <v>1</v>
      </c>
      <c r="AF91" s="131">
        <v>0</v>
      </c>
      <c r="AG91" s="131">
        <v>0</v>
      </c>
      <c r="AH91" s="131">
        <v>0</v>
      </c>
      <c r="AI91" s="85">
        <f>14/14*100%</f>
        <v>1</v>
      </c>
      <c r="AJ91" s="85">
        <f>1*100%</f>
        <v>1</v>
      </c>
      <c r="AK91" s="131"/>
      <c r="AL91" s="131"/>
      <c r="AM91" s="131"/>
      <c r="AN91" s="131"/>
      <c r="AO91" s="85">
        <f>1*100%</f>
        <v>1</v>
      </c>
      <c r="AP91" s="84"/>
      <c r="AQ91" s="84"/>
      <c r="AR91" s="84"/>
      <c r="AS91" s="84"/>
      <c r="AT91" s="84"/>
      <c r="AU91" s="84"/>
      <c r="AV91" s="84"/>
      <c r="AW91" s="84"/>
      <c r="AX91" s="84"/>
      <c r="AY91" s="84"/>
      <c r="AZ91" s="86"/>
      <c r="BA91" s="84"/>
      <c r="BB91" s="84"/>
      <c r="BC91" s="84"/>
      <c r="BD91" s="84"/>
      <c r="BE91" s="84"/>
      <c r="BF91" s="84"/>
      <c r="BG91" s="84"/>
      <c r="BH91" s="84"/>
      <c r="BI91" s="84"/>
      <c r="BJ91" s="86"/>
      <c r="BK91" s="84"/>
      <c r="BL91" s="86"/>
      <c r="BM91" s="84"/>
      <c r="BN91" s="86"/>
      <c r="BO91" s="84"/>
      <c r="BP91" s="86"/>
      <c r="BQ91" s="84"/>
      <c r="BR91" s="84"/>
      <c r="BS91" s="84"/>
      <c r="BT91" s="84"/>
      <c r="BU91" s="84"/>
      <c r="BV91" s="84"/>
      <c r="BW91" s="84"/>
      <c r="BX91" s="84"/>
      <c r="BY91" s="84"/>
      <c r="BZ91" s="84"/>
      <c r="CA91" s="84"/>
      <c r="CB91" s="84"/>
      <c r="CC91" s="84"/>
      <c r="CD91" s="84"/>
      <c r="CE91" s="84"/>
      <c r="CF91" s="84"/>
      <c r="CG91" s="155"/>
      <c r="CH91" s="155"/>
      <c r="CI91" s="84"/>
      <c r="CJ91" s="83"/>
      <c r="CK91" s="83"/>
      <c r="CL91" s="83" t="str">
        <f t="shared" si="16"/>
        <v>No requiere reporte</v>
      </c>
      <c r="CM91" s="89" t="str">
        <f t="shared" si="17"/>
        <v>No requiere reporte</v>
      </c>
      <c r="CN91" s="89" t="str">
        <f t="shared" si="18"/>
        <v>No requiere reporte</v>
      </c>
      <c r="CO91" s="145" t="s">
        <v>413</v>
      </c>
      <c r="CP91" s="145" t="s">
        <v>861</v>
      </c>
      <c r="CQ91" s="145" t="s">
        <v>862</v>
      </c>
      <c r="CR91" s="145" t="s">
        <v>863</v>
      </c>
      <c r="CS91" s="145" t="s">
        <v>864</v>
      </c>
      <c r="CT91" s="145" t="s">
        <v>161</v>
      </c>
      <c r="CU91" s="145" t="s">
        <v>233</v>
      </c>
      <c r="CV91" s="145">
        <v>14</v>
      </c>
      <c r="CW91" s="145" t="s">
        <v>234</v>
      </c>
      <c r="CX91" s="663">
        <v>46037</v>
      </c>
      <c r="CY91" s="663">
        <v>46387</v>
      </c>
      <c r="CZ91" s="191">
        <v>0</v>
      </c>
      <c r="DA91" s="191">
        <v>0</v>
      </c>
      <c r="DB91" s="191">
        <v>0</v>
      </c>
      <c r="DC91" s="191">
        <v>30</v>
      </c>
      <c r="DD91" s="191">
        <f t="shared" si="21"/>
        <v>30</v>
      </c>
      <c r="DE91" s="145" t="s">
        <v>396</v>
      </c>
      <c r="DF91" s="178" t="s">
        <v>751</v>
      </c>
      <c r="DG91" s="145" t="s">
        <v>752</v>
      </c>
      <c r="DH91" s="180">
        <v>421684633</v>
      </c>
      <c r="DI91" s="664" t="s">
        <v>753</v>
      </c>
      <c r="DJ91" s="664" t="s">
        <v>754</v>
      </c>
      <c r="DK91" s="145" t="s">
        <v>755</v>
      </c>
      <c r="DL91" s="145" t="s">
        <v>279</v>
      </c>
      <c r="DM91" s="145"/>
      <c r="DN91" s="84"/>
      <c r="DO91" s="86"/>
      <c r="DP91" s="84"/>
      <c r="DQ91" s="86"/>
      <c r="DR91" s="86"/>
      <c r="DS91" s="84"/>
      <c r="DT91" s="86"/>
      <c r="DU91" s="84"/>
      <c r="DV91" s="86"/>
      <c r="DW91" s="86"/>
      <c r="DX91" s="84"/>
      <c r="DY91" s="86"/>
      <c r="DZ91" s="84"/>
      <c r="EA91" s="86"/>
      <c r="EB91" s="86"/>
      <c r="EC91" s="84"/>
      <c r="ED91" s="84"/>
      <c r="EE91" s="84"/>
      <c r="EF91" s="84"/>
      <c r="EG91" s="84"/>
      <c r="EH91" s="84"/>
      <c r="EI91" s="84"/>
      <c r="EJ91" s="84"/>
      <c r="EK91" s="131"/>
      <c r="EL91" s="91" t="str">
        <f t="shared" si="19"/>
        <v>No aplica, no hay meta</v>
      </c>
      <c r="EM91" s="83" t="str">
        <f t="shared" si="20"/>
        <v>No se reportó avance</v>
      </c>
      <c r="EN91" s="153"/>
    </row>
    <row r="92" spans="1:146" ht="211.5" customHeight="1">
      <c r="A92" s="201" t="s">
        <v>865</v>
      </c>
      <c r="B92" s="201" t="s">
        <v>866</v>
      </c>
      <c r="C92" s="202" t="s">
        <v>867</v>
      </c>
      <c r="D92" s="202" t="s">
        <v>868</v>
      </c>
      <c r="E92" s="202" t="s">
        <v>869</v>
      </c>
      <c r="F92" s="202" t="s">
        <v>870</v>
      </c>
      <c r="G92" s="202" t="s">
        <v>871</v>
      </c>
      <c r="H92" s="202" t="s">
        <v>872</v>
      </c>
      <c r="I92" s="203" t="s">
        <v>454</v>
      </c>
      <c r="J92" s="203" t="s">
        <v>455</v>
      </c>
      <c r="K92" s="203" t="s">
        <v>873</v>
      </c>
      <c r="L92" s="204">
        <v>1</v>
      </c>
      <c r="M92" s="205" t="s">
        <v>874</v>
      </c>
      <c r="N92" s="205" t="s">
        <v>875</v>
      </c>
      <c r="O92" s="205" t="s">
        <v>876</v>
      </c>
      <c r="P92" s="204" t="s">
        <v>200</v>
      </c>
      <c r="Q92" s="204" t="s">
        <v>877</v>
      </c>
      <c r="R92" s="205">
        <v>1</v>
      </c>
      <c r="S92" s="205" t="s">
        <v>163</v>
      </c>
      <c r="T92" s="206">
        <v>44927</v>
      </c>
      <c r="U92" s="206">
        <v>46387</v>
      </c>
      <c r="V92" s="205">
        <v>1</v>
      </c>
      <c r="W92" s="205">
        <v>1</v>
      </c>
      <c r="X92" s="205">
        <v>1</v>
      </c>
      <c r="Y92" s="205">
        <v>1</v>
      </c>
      <c r="Z92" s="205">
        <v>1</v>
      </c>
      <c r="AA92" s="205">
        <v>1</v>
      </c>
      <c r="AB92" s="205">
        <v>1</v>
      </c>
      <c r="AC92" s="205">
        <v>1</v>
      </c>
      <c r="AD92" s="205">
        <v>1</v>
      </c>
      <c r="AE92" s="205">
        <v>1</v>
      </c>
      <c r="AF92" s="205">
        <v>1</v>
      </c>
      <c r="AG92" s="205">
        <v>1</v>
      </c>
      <c r="AH92" s="205">
        <v>1</v>
      </c>
      <c r="AI92" s="205">
        <v>1</v>
      </c>
      <c r="AJ92" s="205">
        <v>1</v>
      </c>
      <c r="AK92" s="207">
        <v>1</v>
      </c>
      <c r="AL92" s="207">
        <v>1</v>
      </c>
      <c r="AM92" s="207">
        <v>1</v>
      </c>
      <c r="AN92" s="207">
        <v>1</v>
      </c>
      <c r="AO92" s="207">
        <v>1</v>
      </c>
      <c r="AP92" s="208">
        <v>1</v>
      </c>
      <c r="AQ92" s="170"/>
      <c r="AR92" s="170"/>
      <c r="AS92" s="170"/>
      <c r="AT92" s="170"/>
      <c r="AU92" s="170"/>
      <c r="AV92" s="170"/>
      <c r="AW92" s="170"/>
      <c r="AX92" s="170"/>
      <c r="AY92" s="175">
        <v>1</v>
      </c>
      <c r="AZ92" s="173" t="s">
        <v>878</v>
      </c>
      <c r="BA92" s="173">
        <v>1</v>
      </c>
      <c r="BB92" s="692" t="s">
        <v>879</v>
      </c>
      <c r="BC92" s="173">
        <v>1</v>
      </c>
      <c r="BD92" s="692" t="s">
        <v>880</v>
      </c>
      <c r="BE92" s="173">
        <f>22/22</f>
        <v>1</v>
      </c>
      <c r="BF92" s="692" t="s">
        <v>881</v>
      </c>
      <c r="BG92" s="173">
        <v>1</v>
      </c>
      <c r="BH92" s="773" t="s">
        <v>882</v>
      </c>
      <c r="BI92" s="173">
        <f>+BE92/AE92</f>
        <v>1</v>
      </c>
      <c r="BJ92" s="173" t="s">
        <v>883</v>
      </c>
      <c r="BK92" s="173" t="s">
        <v>884</v>
      </c>
      <c r="BL92" s="173" t="s">
        <v>884</v>
      </c>
      <c r="BM92" s="173" t="s">
        <v>884</v>
      </c>
      <c r="BN92" s="173" t="s">
        <v>884</v>
      </c>
      <c r="BO92" s="173" t="s">
        <v>884</v>
      </c>
      <c r="BP92" s="173" t="s">
        <v>884</v>
      </c>
      <c r="BQ92" s="209"/>
      <c r="BR92" s="774"/>
      <c r="BS92" s="210">
        <v>0</v>
      </c>
      <c r="BT92" s="774"/>
      <c r="BU92" s="211"/>
      <c r="BV92" s="774"/>
      <c r="BW92" s="209"/>
      <c r="BX92" s="774"/>
      <c r="BY92" s="209"/>
      <c r="BZ92" s="774"/>
      <c r="CA92" s="209"/>
      <c r="CB92" s="774"/>
      <c r="CC92" s="209"/>
      <c r="CD92" s="774"/>
      <c r="CE92" s="775">
        <f>+(AY92+BI92+BS92+CC92)/4</f>
        <v>0.5</v>
      </c>
      <c r="CF92" s="692"/>
      <c r="CG92" s="212" t="s">
        <v>182</v>
      </c>
      <c r="CH92" s="212" t="s">
        <v>182</v>
      </c>
      <c r="CI92" s="213" t="s">
        <v>182</v>
      </c>
      <c r="CJ92" s="212" t="s">
        <v>182</v>
      </c>
      <c r="CK92" s="212" t="s">
        <v>182</v>
      </c>
      <c r="CL92" s="83" t="str">
        <f t="shared" si="16"/>
        <v>No se reportó avance</v>
      </c>
      <c r="CM92" s="89" t="str">
        <f t="shared" si="17"/>
        <v>No se reportó avance</v>
      </c>
      <c r="CN92" s="89" t="str">
        <f t="shared" si="18"/>
        <v>Revisar acumulación</v>
      </c>
      <c r="CO92" s="686" t="s">
        <v>177</v>
      </c>
      <c r="CP92" s="780" t="s">
        <v>885</v>
      </c>
      <c r="CQ92" s="780" t="s">
        <v>886</v>
      </c>
      <c r="CR92" s="780" t="s">
        <v>887</v>
      </c>
      <c r="CS92" s="780" t="s">
        <v>888</v>
      </c>
      <c r="CT92" s="780" t="s">
        <v>200</v>
      </c>
      <c r="CU92" s="780" t="s">
        <v>233</v>
      </c>
      <c r="CV92" s="780" t="s">
        <v>182</v>
      </c>
      <c r="CW92" s="780" t="s">
        <v>234</v>
      </c>
      <c r="CX92" s="681">
        <v>46030</v>
      </c>
      <c r="CY92" s="681">
        <v>46112</v>
      </c>
      <c r="CZ92" s="682">
        <v>1</v>
      </c>
      <c r="DA92" s="682">
        <v>0</v>
      </c>
      <c r="DB92" s="682">
        <v>0</v>
      </c>
      <c r="DC92" s="682">
        <v>0</v>
      </c>
      <c r="DD92" s="682">
        <f>+CZ92+DA92+DB92+DC92</f>
        <v>1</v>
      </c>
      <c r="DE92" s="214" t="s">
        <v>182</v>
      </c>
      <c r="DF92" s="214" t="s">
        <v>182</v>
      </c>
      <c r="DG92" s="214" t="s">
        <v>182</v>
      </c>
      <c r="DH92" s="215">
        <v>0</v>
      </c>
      <c r="DI92" s="665" t="s">
        <v>889</v>
      </c>
      <c r="DJ92" s="665" t="s">
        <v>889</v>
      </c>
      <c r="DK92" s="665" t="s">
        <v>890</v>
      </c>
      <c r="DL92" s="665" t="s">
        <v>182</v>
      </c>
      <c r="DM92" s="665" t="s">
        <v>182</v>
      </c>
      <c r="DN92" s="173"/>
      <c r="DO92" s="173"/>
      <c r="DP92" s="173"/>
      <c r="DQ92" s="173"/>
      <c r="DR92" s="173"/>
      <c r="DS92" s="173"/>
      <c r="DT92" s="173"/>
      <c r="DU92" s="173"/>
      <c r="DV92" s="173"/>
      <c r="DW92" s="173"/>
      <c r="DX92" s="173"/>
      <c r="DY92" s="173"/>
      <c r="DZ92" s="173"/>
      <c r="EA92" s="173"/>
      <c r="EB92" s="173"/>
      <c r="EC92" s="173"/>
      <c r="ED92" s="776"/>
      <c r="EE92" s="776"/>
      <c r="EF92" s="776"/>
      <c r="EG92" s="776"/>
      <c r="EH92" s="173"/>
      <c r="EI92" s="170"/>
      <c r="EJ92" s="170"/>
      <c r="EK92" s="781"/>
      <c r="EL92" s="91" t="str">
        <f t="shared" si="19"/>
        <v>No se reportó avance</v>
      </c>
      <c r="EM92" s="83" t="str">
        <f t="shared" si="20"/>
        <v>No se reportó avance</v>
      </c>
      <c r="EN92" s="697"/>
    </row>
    <row r="93" spans="1:146" ht="119.25" customHeight="1">
      <c r="A93" s="214" t="s">
        <v>865</v>
      </c>
      <c r="B93" s="214" t="s">
        <v>866</v>
      </c>
      <c r="C93" s="173" t="s">
        <v>867</v>
      </c>
      <c r="D93" s="173" t="s">
        <v>868</v>
      </c>
      <c r="E93" s="173" t="s">
        <v>869</v>
      </c>
      <c r="F93" s="173" t="s">
        <v>870</v>
      </c>
      <c r="G93" s="173" t="s">
        <v>871</v>
      </c>
      <c r="H93" s="173" t="s">
        <v>872</v>
      </c>
      <c r="I93" s="170" t="s">
        <v>454</v>
      </c>
      <c r="J93" s="170" t="s">
        <v>455</v>
      </c>
      <c r="K93" s="170" t="s">
        <v>873</v>
      </c>
      <c r="L93" s="216">
        <v>1</v>
      </c>
      <c r="M93" s="173" t="s">
        <v>874</v>
      </c>
      <c r="N93" s="173" t="s">
        <v>875</v>
      </c>
      <c r="O93" s="173" t="s">
        <v>876</v>
      </c>
      <c r="P93" s="170" t="s">
        <v>200</v>
      </c>
      <c r="Q93" s="173" t="s">
        <v>877</v>
      </c>
      <c r="R93" s="173">
        <v>1</v>
      </c>
      <c r="S93" s="173" t="s">
        <v>163</v>
      </c>
      <c r="T93" s="217">
        <v>44927</v>
      </c>
      <c r="U93" s="217">
        <v>46387</v>
      </c>
      <c r="V93" s="175">
        <v>1</v>
      </c>
      <c r="W93" s="175">
        <v>1</v>
      </c>
      <c r="X93" s="175">
        <v>1</v>
      </c>
      <c r="Y93" s="175">
        <v>1</v>
      </c>
      <c r="Z93" s="175">
        <v>1</v>
      </c>
      <c r="AA93" s="175">
        <v>1</v>
      </c>
      <c r="AB93" s="175">
        <v>1</v>
      </c>
      <c r="AC93" s="175">
        <v>1</v>
      </c>
      <c r="AD93" s="175">
        <v>1</v>
      </c>
      <c r="AE93" s="175">
        <v>1</v>
      </c>
      <c r="AF93" s="175">
        <v>1</v>
      </c>
      <c r="AG93" s="175">
        <v>1</v>
      </c>
      <c r="AH93" s="175">
        <v>1</v>
      </c>
      <c r="AI93" s="175">
        <v>1</v>
      </c>
      <c r="AJ93" s="175">
        <v>1</v>
      </c>
      <c r="AK93" s="218"/>
      <c r="AL93" s="218"/>
      <c r="AM93" s="218"/>
      <c r="AN93" s="218"/>
      <c r="AO93" s="218"/>
      <c r="AP93" s="175">
        <v>1</v>
      </c>
      <c r="AQ93" s="776"/>
      <c r="AR93" s="776"/>
      <c r="AS93" s="776"/>
      <c r="AT93" s="776"/>
      <c r="AU93" s="776"/>
      <c r="AV93" s="776"/>
      <c r="AW93" s="776"/>
      <c r="AX93" s="776"/>
      <c r="AY93" s="170"/>
      <c r="AZ93" s="692"/>
      <c r="BA93" s="173"/>
      <c r="BB93" s="692"/>
      <c r="BC93" s="173"/>
      <c r="BD93" s="692"/>
      <c r="BE93" s="170"/>
      <c r="BF93" s="170"/>
      <c r="BG93" s="170"/>
      <c r="BH93" s="170"/>
      <c r="BI93" s="173"/>
      <c r="BJ93" s="173"/>
      <c r="BK93" s="173"/>
      <c r="BL93" s="173"/>
      <c r="BM93" s="173"/>
      <c r="BN93" s="173"/>
      <c r="BO93" s="173"/>
      <c r="BP93" s="173"/>
      <c r="BQ93" s="170"/>
      <c r="BR93" s="170"/>
      <c r="BS93" s="170"/>
      <c r="BT93" s="170"/>
      <c r="BU93" s="170"/>
      <c r="BV93" s="170"/>
      <c r="BW93" s="170"/>
      <c r="BX93" s="170"/>
      <c r="BY93" s="170"/>
      <c r="BZ93" s="170"/>
      <c r="CA93" s="170"/>
      <c r="CB93" s="170"/>
      <c r="CC93" s="170"/>
      <c r="CD93" s="170"/>
      <c r="CE93" s="173"/>
      <c r="CF93" s="692"/>
      <c r="CG93" s="212" t="s">
        <v>182</v>
      </c>
      <c r="CH93" s="212" t="s">
        <v>182</v>
      </c>
      <c r="CI93" s="213" t="s">
        <v>182</v>
      </c>
      <c r="CJ93" s="212" t="s">
        <v>182</v>
      </c>
      <c r="CK93" s="212" t="s">
        <v>182</v>
      </c>
      <c r="CL93" s="83" t="str">
        <f t="shared" si="16"/>
        <v>No requiere reporte</v>
      </c>
      <c r="CM93" s="89" t="str">
        <f t="shared" si="17"/>
        <v>No requiere reporte</v>
      </c>
      <c r="CN93" s="89" t="str">
        <f t="shared" si="18"/>
        <v>No requiere reporte</v>
      </c>
      <c r="CO93" s="686" t="s">
        <v>185</v>
      </c>
      <c r="CP93" s="780" t="s">
        <v>891</v>
      </c>
      <c r="CQ93" s="780" t="s">
        <v>892</v>
      </c>
      <c r="CR93" s="780" t="s">
        <v>893</v>
      </c>
      <c r="CS93" s="780" t="s">
        <v>894</v>
      </c>
      <c r="CT93" s="780" t="s">
        <v>200</v>
      </c>
      <c r="CU93" s="780" t="s">
        <v>233</v>
      </c>
      <c r="CV93" s="780" t="s">
        <v>182</v>
      </c>
      <c r="CW93" s="780" t="s">
        <v>234</v>
      </c>
      <c r="CX93" s="681">
        <v>46054</v>
      </c>
      <c r="CY93" s="681">
        <v>46386</v>
      </c>
      <c r="CZ93" s="682">
        <v>1</v>
      </c>
      <c r="DA93" s="682">
        <v>0</v>
      </c>
      <c r="DB93" s="682">
        <v>0</v>
      </c>
      <c r="DC93" s="682">
        <v>0</v>
      </c>
      <c r="DD93" s="682">
        <f>+CZ93+DA93+DB93+DC93</f>
        <v>1</v>
      </c>
      <c r="DE93" s="214" t="s">
        <v>182</v>
      </c>
      <c r="DF93" s="214" t="s">
        <v>182</v>
      </c>
      <c r="DG93" s="214" t="s">
        <v>182</v>
      </c>
      <c r="DH93" s="215">
        <v>0</v>
      </c>
      <c r="DI93" s="665" t="s">
        <v>889</v>
      </c>
      <c r="DJ93" s="665" t="s">
        <v>889</v>
      </c>
      <c r="DK93" s="665" t="s">
        <v>890</v>
      </c>
      <c r="DL93" s="665" t="s">
        <v>182</v>
      </c>
      <c r="DM93" s="665" t="s">
        <v>182</v>
      </c>
      <c r="DN93" s="173"/>
      <c r="DO93" s="173"/>
      <c r="DP93" s="173"/>
      <c r="DQ93" s="173"/>
      <c r="DR93" s="173"/>
      <c r="DS93" s="173"/>
      <c r="DT93" s="173"/>
      <c r="DU93" s="173"/>
      <c r="DV93" s="173"/>
      <c r="DW93" s="173"/>
      <c r="DX93" s="173"/>
      <c r="DY93" s="173"/>
      <c r="DZ93" s="173"/>
      <c r="EA93" s="173"/>
      <c r="EB93" s="173"/>
      <c r="EC93" s="173"/>
      <c r="ED93" s="776"/>
      <c r="EE93" s="776"/>
      <c r="EF93" s="776"/>
      <c r="EG93" s="776"/>
      <c r="EH93" s="173"/>
      <c r="EI93" s="776"/>
      <c r="EJ93" s="776"/>
      <c r="EK93" s="781"/>
      <c r="EL93" s="91" t="str">
        <f t="shared" si="19"/>
        <v>No se reportó avance</v>
      </c>
      <c r="EM93" s="83" t="str">
        <f t="shared" si="20"/>
        <v>No se reportó avance</v>
      </c>
      <c r="EN93" s="697"/>
    </row>
    <row r="94" spans="1:146" ht="129" customHeight="1">
      <c r="A94" s="201" t="s">
        <v>865</v>
      </c>
      <c r="B94" s="201" t="s">
        <v>866</v>
      </c>
      <c r="C94" s="202" t="s">
        <v>533</v>
      </c>
      <c r="D94" s="202" t="s">
        <v>895</v>
      </c>
      <c r="E94" s="202" t="s">
        <v>896</v>
      </c>
      <c r="F94" s="202" t="s">
        <v>897</v>
      </c>
      <c r="G94" s="202" t="s">
        <v>898</v>
      </c>
      <c r="H94" s="202" t="s">
        <v>872</v>
      </c>
      <c r="I94" s="203" t="s">
        <v>454</v>
      </c>
      <c r="J94" s="203" t="s">
        <v>455</v>
      </c>
      <c r="K94" s="203" t="s">
        <v>873</v>
      </c>
      <c r="L94" s="204">
        <v>2</v>
      </c>
      <c r="M94" s="205" t="s">
        <v>899</v>
      </c>
      <c r="N94" s="205" t="s">
        <v>900</v>
      </c>
      <c r="O94" s="205" t="s">
        <v>901</v>
      </c>
      <c r="P94" s="204" t="s">
        <v>200</v>
      </c>
      <c r="Q94" s="205" t="s">
        <v>877</v>
      </c>
      <c r="R94" s="205">
        <v>1</v>
      </c>
      <c r="S94" s="205" t="s">
        <v>163</v>
      </c>
      <c r="T94" s="206">
        <v>44927</v>
      </c>
      <c r="U94" s="206">
        <v>46387</v>
      </c>
      <c r="V94" s="205">
        <v>1</v>
      </c>
      <c r="W94" s="205">
        <v>1</v>
      </c>
      <c r="X94" s="205">
        <v>1</v>
      </c>
      <c r="Y94" s="205">
        <v>1</v>
      </c>
      <c r="Z94" s="205">
        <v>1</v>
      </c>
      <c r="AA94" s="205">
        <v>1</v>
      </c>
      <c r="AB94" s="205">
        <v>1</v>
      </c>
      <c r="AC94" s="205">
        <v>1</v>
      </c>
      <c r="AD94" s="205">
        <v>1</v>
      </c>
      <c r="AE94" s="205">
        <v>1</v>
      </c>
      <c r="AF94" s="205">
        <v>1</v>
      </c>
      <c r="AG94" s="205">
        <v>1</v>
      </c>
      <c r="AH94" s="205">
        <v>1</v>
      </c>
      <c r="AI94" s="205">
        <v>1</v>
      </c>
      <c r="AJ94" s="205">
        <v>1</v>
      </c>
      <c r="AK94" s="207">
        <v>1</v>
      </c>
      <c r="AL94" s="207">
        <v>1</v>
      </c>
      <c r="AM94" s="207">
        <v>1</v>
      </c>
      <c r="AN94" s="207">
        <v>1</v>
      </c>
      <c r="AO94" s="207">
        <v>1</v>
      </c>
      <c r="AP94" s="208">
        <v>1</v>
      </c>
      <c r="AQ94" s="170"/>
      <c r="AR94" s="170"/>
      <c r="AS94" s="170"/>
      <c r="AT94" s="170"/>
      <c r="AU94" s="170"/>
      <c r="AV94" s="170"/>
      <c r="AW94" s="170"/>
      <c r="AX94" s="170"/>
      <c r="AY94" s="175">
        <v>1</v>
      </c>
      <c r="AZ94" s="173" t="s">
        <v>902</v>
      </c>
      <c r="BA94" s="173">
        <v>1</v>
      </c>
      <c r="BB94" s="692" t="s">
        <v>903</v>
      </c>
      <c r="BC94" s="173">
        <v>1</v>
      </c>
      <c r="BD94" s="692" t="s">
        <v>904</v>
      </c>
      <c r="BE94" s="173">
        <f>20/20</f>
        <v>1</v>
      </c>
      <c r="BF94" s="692" t="s">
        <v>905</v>
      </c>
      <c r="BG94" s="170"/>
      <c r="BH94" s="170"/>
      <c r="BI94" s="173">
        <f>+BE94/AE94</f>
        <v>1</v>
      </c>
      <c r="BJ94" s="173" t="s">
        <v>906</v>
      </c>
      <c r="BK94" s="173" t="s">
        <v>884</v>
      </c>
      <c r="BL94" s="173" t="s">
        <v>884</v>
      </c>
      <c r="BM94" s="173" t="s">
        <v>884</v>
      </c>
      <c r="BN94" s="173" t="s">
        <v>884</v>
      </c>
      <c r="BO94" s="173" t="s">
        <v>884</v>
      </c>
      <c r="BP94" s="173" t="s">
        <v>884</v>
      </c>
      <c r="BQ94" s="209"/>
      <c r="BR94" s="774"/>
      <c r="BS94" s="209"/>
      <c r="BT94" s="774"/>
      <c r="BU94" s="211"/>
      <c r="BV94" s="774"/>
      <c r="BW94" s="209"/>
      <c r="BX94" s="774"/>
      <c r="BY94" s="209"/>
      <c r="BZ94" s="774"/>
      <c r="CA94" s="209"/>
      <c r="CB94" s="774"/>
      <c r="CC94" s="209"/>
      <c r="CD94" s="774"/>
      <c r="CE94" s="219"/>
      <c r="CF94" s="170"/>
      <c r="CG94" s="212" t="s">
        <v>182</v>
      </c>
      <c r="CH94" s="212" t="s">
        <v>182</v>
      </c>
      <c r="CI94" s="213" t="s">
        <v>182</v>
      </c>
      <c r="CJ94" s="212" t="s">
        <v>182</v>
      </c>
      <c r="CK94" s="212" t="s">
        <v>182</v>
      </c>
      <c r="CL94" s="83" t="str">
        <f t="shared" si="16"/>
        <v>No se reportó avance</v>
      </c>
      <c r="CM94" s="89" t="str">
        <f t="shared" si="17"/>
        <v>No se reportó avance</v>
      </c>
      <c r="CN94" s="89" t="str">
        <f t="shared" si="18"/>
        <v>No se reportó avance</v>
      </c>
      <c r="CO94" s="686" t="s">
        <v>225</v>
      </c>
      <c r="CP94" s="780" t="s">
        <v>907</v>
      </c>
      <c r="CQ94" s="780" t="s">
        <v>908</v>
      </c>
      <c r="CR94" s="780" t="s">
        <v>909</v>
      </c>
      <c r="CS94" s="780" t="s">
        <v>910</v>
      </c>
      <c r="CT94" s="780" t="s">
        <v>200</v>
      </c>
      <c r="CU94" s="780" t="s">
        <v>162</v>
      </c>
      <c r="CV94" s="780" t="s">
        <v>182</v>
      </c>
      <c r="CW94" s="780" t="s">
        <v>163</v>
      </c>
      <c r="CX94" s="681">
        <v>46030</v>
      </c>
      <c r="CY94" s="681">
        <v>46387</v>
      </c>
      <c r="CZ94" s="146">
        <v>1</v>
      </c>
      <c r="DA94" s="146">
        <v>1</v>
      </c>
      <c r="DB94" s="146">
        <v>1</v>
      </c>
      <c r="DC94" s="146">
        <v>1</v>
      </c>
      <c r="DD94" s="146">
        <v>1</v>
      </c>
      <c r="DE94" s="214" t="s">
        <v>182</v>
      </c>
      <c r="DF94" s="214" t="s">
        <v>182</v>
      </c>
      <c r="DG94" s="214" t="s">
        <v>182</v>
      </c>
      <c r="DH94" s="213">
        <v>0</v>
      </c>
      <c r="DI94" s="665" t="s">
        <v>889</v>
      </c>
      <c r="DJ94" s="665" t="s">
        <v>889</v>
      </c>
      <c r="DK94" s="665" t="s">
        <v>890</v>
      </c>
      <c r="DL94" s="665" t="s">
        <v>182</v>
      </c>
      <c r="DM94" s="665" t="s">
        <v>182</v>
      </c>
      <c r="DN94" s="173"/>
      <c r="DO94" s="173"/>
      <c r="DP94" s="173"/>
      <c r="DQ94" s="173"/>
      <c r="DR94" s="173"/>
      <c r="DS94" s="173"/>
      <c r="DT94" s="173"/>
      <c r="DU94" s="173"/>
      <c r="DV94" s="173"/>
      <c r="DW94" s="173"/>
      <c r="DX94" s="173"/>
      <c r="DY94" s="173"/>
      <c r="DZ94" s="173"/>
      <c r="EA94" s="173"/>
      <c r="EB94" s="173"/>
      <c r="EC94" s="173"/>
      <c r="ED94" s="776"/>
      <c r="EE94" s="776"/>
      <c r="EF94" s="776"/>
      <c r="EG94" s="776"/>
      <c r="EH94" s="173"/>
      <c r="EI94" s="776"/>
      <c r="EJ94" s="776"/>
      <c r="EK94" s="781"/>
      <c r="EL94" s="91" t="str">
        <f t="shared" si="19"/>
        <v>No se reportó avance</v>
      </c>
      <c r="EM94" s="83" t="str">
        <f t="shared" si="20"/>
        <v>No se reportó avance</v>
      </c>
      <c r="EN94" s="697"/>
    </row>
    <row r="95" spans="1:146" s="93" customFormat="1" ht="61.5" hidden="1" customHeight="1">
      <c r="A95" s="220" t="s">
        <v>911</v>
      </c>
      <c r="B95" s="221" t="s">
        <v>912</v>
      </c>
      <c r="C95" s="221" t="s">
        <v>913</v>
      </c>
      <c r="D95" s="221" t="s">
        <v>914</v>
      </c>
      <c r="E95" s="221" t="s">
        <v>915</v>
      </c>
      <c r="F95" s="222" t="s">
        <v>916</v>
      </c>
      <c r="G95" s="222" t="s">
        <v>917</v>
      </c>
      <c r="H95" s="222" t="s">
        <v>918</v>
      </c>
      <c r="I95" s="222"/>
      <c r="J95" s="222" t="s">
        <v>919</v>
      </c>
      <c r="K95" s="222" t="s">
        <v>920</v>
      </c>
      <c r="L95" s="223">
        <v>1</v>
      </c>
      <c r="M95" s="224" t="s">
        <v>921</v>
      </c>
      <c r="N95" s="224" t="s">
        <v>922</v>
      </c>
      <c r="O95" s="224" t="s">
        <v>923</v>
      </c>
      <c r="P95" s="225" t="s">
        <v>161</v>
      </c>
      <c r="Q95" s="225" t="s">
        <v>275</v>
      </c>
      <c r="R95" s="223">
        <v>0</v>
      </c>
      <c r="S95" s="225" t="s">
        <v>402</v>
      </c>
      <c r="T95" s="226">
        <v>45292</v>
      </c>
      <c r="U95" s="226">
        <v>46387</v>
      </c>
      <c r="V95" s="227"/>
      <c r="W95" s="227"/>
      <c r="X95" s="227"/>
      <c r="Y95" s="227"/>
      <c r="Z95" s="222">
        <v>0</v>
      </c>
      <c r="AA95" s="222">
        <v>0</v>
      </c>
      <c r="AB95" s="222">
        <v>0</v>
      </c>
      <c r="AC95" s="236">
        <v>1</v>
      </c>
      <c r="AD95" s="236">
        <v>1</v>
      </c>
      <c r="AE95" s="222">
        <v>1</v>
      </c>
      <c r="AF95" s="222">
        <v>0</v>
      </c>
      <c r="AG95" s="222">
        <v>0</v>
      </c>
      <c r="AH95" s="222">
        <v>0</v>
      </c>
      <c r="AI95" s="222">
        <v>0</v>
      </c>
      <c r="AJ95" s="222">
        <v>0</v>
      </c>
      <c r="AK95" s="228"/>
      <c r="AL95" s="228"/>
      <c r="AM95" s="228"/>
      <c r="AN95" s="228"/>
      <c r="AO95" s="228"/>
      <c r="AP95" s="229">
        <v>1</v>
      </c>
      <c r="AQ95" s="230"/>
      <c r="AR95" s="230"/>
      <c r="AS95" s="230"/>
      <c r="AT95" s="230"/>
      <c r="AU95" s="230"/>
      <c r="AV95" s="230"/>
      <c r="AW95" s="230"/>
      <c r="AX95" s="230"/>
      <c r="AY95" s="230" t="s">
        <v>182</v>
      </c>
      <c r="AZ95" s="230" t="s">
        <v>182</v>
      </c>
      <c r="BA95" s="231" t="s">
        <v>182</v>
      </c>
      <c r="BB95" s="232" t="s">
        <v>924</v>
      </c>
      <c r="BC95" s="233" t="s">
        <v>182</v>
      </c>
      <c r="BD95" s="232" t="s">
        <v>925</v>
      </c>
      <c r="BE95" s="234">
        <v>1</v>
      </c>
      <c r="BF95" s="232" t="s">
        <v>926</v>
      </c>
      <c r="BG95" s="235">
        <v>0</v>
      </c>
      <c r="BH95" s="230"/>
      <c r="BI95" s="222">
        <v>1</v>
      </c>
      <c r="BJ95" s="236"/>
      <c r="BK95" s="230"/>
      <c r="BL95" s="230"/>
      <c r="BM95" s="230"/>
      <c r="BN95" s="230"/>
      <c r="BO95" s="230"/>
      <c r="BP95" s="230"/>
      <c r="BQ95" s="230"/>
      <c r="BR95" s="230"/>
      <c r="BS95" s="230"/>
      <c r="BT95" s="230"/>
      <c r="BU95" s="230"/>
      <c r="BV95" s="230"/>
      <c r="BW95" s="230"/>
      <c r="BX95" s="230"/>
      <c r="BY95" s="230"/>
      <c r="BZ95" s="230"/>
      <c r="CA95" s="230"/>
      <c r="CB95" s="230"/>
      <c r="CC95" s="230"/>
      <c r="CD95" s="230"/>
      <c r="CE95" s="237"/>
      <c r="CF95" s="230"/>
      <c r="CG95" s="230"/>
      <c r="CH95" s="230"/>
      <c r="CI95" s="230"/>
      <c r="CJ95" s="230" t="str">
        <f t="shared" ref="CJ95:CJ102" si="24">+IFERROR(CH95/CG95,"No aplica")</f>
        <v>No aplica</v>
      </c>
      <c r="CK95" s="230" t="str">
        <f t="shared" ref="CK95:CK102" si="25">+IFERROR(CI95/CG95,"No aplica")</f>
        <v>No aplica</v>
      </c>
      <c r="CL95" s="83" t="str">
        <f t="shared" si="16"/>
        <v>No aplica, no hay meta</v>
      </c>
      <c r="CM95" s="89" t="str">
        <f t="shared" si="17"/>
        <v>No aplica, no hay meta</v>
      </c>
      <c r="CN95" s="89" t="str">
        <f t="shared" si="18"/>
        <v>No se reportó avance</v>
      </c>
      <c r="CO95" s="229" t="s">
        <v>177</v>
      </c>
      <c r="CP95" s="229"/>
      <c r="CQ95" s="229"/>
      <c r="CR95" s="229"/>
      <c r="CS95" s="229"/>
      <c r="CT95" s="229"/>
      <c r="CU95" s="229"/>
      <c r="CV95" s="229"/>
      <c r="CW95" s="229"/>
      <c r="CX95" s="229"/>
      <c r="CY95" s="229"/>
      <c r="CZ95" s="229"/>
      <c r="DA95" s="229"/>
      <c r="DB95" s="229"/>
      <c r="DC95" s="229"/>
      <c r="DD95" s="229"/>
      <c r="DE95" s="229"/>
      <c r="DF95" s="229"/>
      <c r="DG95" s="229"/>
      <c r="DH95" s="238"/>
      <c r="DI95" s="229"/>
      <c r="DJ95" s="229"/>
      <c r="DK95" s="229"/>
      <c r="DL95" s="229"/>
      <c r="DM95" s="229"/>
      <c r="DN95" s="230"/>
      <c r="DO95" s="230"/>
      <c r="DP95" s="230"/>
      <c r="DQ95" s="230"/>
      <c r="DR95" s="230"/>
      <c r="DS95" s="230"/>
      <c r="DT95" s="230"/>
      <c r="DU95" s="230"/>
      <c r="DV95" s="230"/>
      <c r="DW95" s="230"/>
      <c r="DX95" s="230"/>
      <c r="DY95" s="230"/>
      <c r="DZ95" s="230"/>
      <c r="EA95" s="230"/>
      <c r="EB95" s="230"/>
      <c r="EC95" s="230"/>
      <c r="ED95" s="230"/>
      <c r="EE95" s="230"/>
      <c r="EF95" s="230"/>
      <c r="EG95" s="230"/>
      <c r="EH95" s="230"/>
      <c r="EI95" s="230"/>
      <c r="EJ95" s="230"/>
      <c r="EK95" s="230"/>
      <c r="EL95" s="91" t="str">
        <f t="shared" si="19"/>
        <v>No aplica, no hay meta</v>
      </c>
      <c r="EM95" s="83" t="str">
        <f t="shared" si="20"/>
        <v>No aplica, no hay meta</v>
      </c>
      <c r="EN95" s="239" t="s">
        <v>927</v>
      </c>
      <c r="EO95" s="93" t="str">
        <f t="shared" ref="EO95:EO102" si="26">+IF(OR(P95="Producto",P95="Resultado",P95="Impacto"),"Producto",P95)</f>
        <v>Producto</v>
      </c>
      <c r="EP95" s="93" t="str">
        <f t="shared" ref="EP95:EP102" si="27">+MID(J95,1,1)</f>
        <v>4</v>
      </c>
    </row>
    <row r="96" spans="1:146" s="93" customFormat="1" ht="61.5" hidden="1" customHeight="1">
      <c r="A96" s="220" t="s">
        <v>911</v>
      </c>
      <c r="B96" s="240" t="s">
        <v>912</v>
      </c>
      <c r="C96" s="240" t="s">
        <v>913</v>
      </c>
      <c r="D96" s="240" t="s">
        <v>914</v>
      </c>
      <c r="E96" s="240" t="s">
        <v>915</v>
      </c>
      <c r="F96" s="241" t="s">
        <v>916</v>
      </c>
      <c r="G96" s="241" t="s">
        <v>917</v>
      </c>
      <c r="H96" s="241" t="s">
        <v>918</v>
      </c>
      <c r="I96" s="241"/>
      <c r="J96" s="241"/>
      <c r="K96" s="241" t="s">
        <v>920</v>
      </c>
      <c r="L96" s="242">
        <v>2</v>
      </c>
      <c r="M96" s="243" t="s">
        <v>928</v>
      </c>
      <c r="N96" s="243" t="s">
        <v>929</v>
      </c>
      <c r="O96" s="243" t="s">
        <v>930</v>
      </c>
      <c r="P96" s="244" t="s">
        <v>931</v>
      </c>
      <c r="Q96" s="244" t="s">
        <v>233</v>
      </c>
      <c r="R96" s="242">
        <v>1</v>
      </c>
      <c r="S96" s="244" t="s">
        <v>932</v>
      </c>
      <c r="T96" s="245">
        <v>45292</v>
      </c>
      <c r="U96" s="245">
        <v>46387</v>
      </c>
      <c r="V96" s="227"/>
      <c r="W96" s="227"/>
      <c r="X96" s="227"/>
      <c r="Y96" s="227"/>
      <c r="Z96" s="241">
        <v>0</v>
      </c>
      <c r="AA96" s="241">
        <v>0</v>
      </c>
      <c r="AB96" s="241">
        <v>5</v>
      </c>
      <c r="AC96" s="241">
        <v>5</v>
      </c>
      <c r="AD96" s="241">
        <v>6</v>
      </c>
      <c r="AE96" s="241">
        <f>+AA96+AB96+AC96+AD96</f>
        <v>16</v>
      </c>
      <c r="AF96" s="241"/>
      <c r="AG96" s="241"/>
      <c r="AH96" s="241"/>
      <c r="AI96" s="241"/>
      <c r="AJ96" s="241"/>
      <c r="AK96" s="228"/>
      <c r="AL96" s="228"/>
      <c r="AM96" s="228"/>
      <c r="AN96" s="228"/>
      <c r="AO96" s="228"/>
      <c r="AP96" s="229">
        <v>16</v>
      </c>
      <c r="AQ96" s="230"/>
      <c r="AR96" s="230"/>
      <c r="AS96" s="230"/>
      <c r="AT96" s="230"/>
      <c r="AU96" s="230"/>
      <c r="AV96" s="230"/>
      <c r="AW96" s="230"/>
      <c r="AX96" s="230"/>
      <c r="AY96" s="230" t="s">
        <v>182</v>
      </c>
      <c r="AZ96" s="230" t="s">
        <v>182</v>
      </c>
      <c r="BA96" s="241" t="s">
        <v>182</v>
      </c>
      <c r="BB96" s="246" t="s">
        <v>933</v>
      </c>
      <c r="BC96" s="247">
        <v>3</v>
      </c>
      <c r="BD96" s="246" t="s">
        <v>934</v>
      </c>
      <c r="BE96" s="248">
        <v>3</v>
      </c>
      <c r="BF96" s="249" t="s">
        <v>935</v>
      </c>
      <c r="BG96" s="241">
        <v>0</v>
      </c>
      <c r="BH96" s="230"/>
      <c r="BI96" s="250">
        <f>+BC96+BE96+BG96</f>
        <v>6</v>
      </c>
      <c r="BJ96" s="251" t="s">
        <v>936</v>
      </c>
      <c r="BK96" s="230"/>
      <c r="BL96" s="230"/>
      <c r="BM96" s="230"/>
      <c r="BN96" s="230"/>
      <c r="BO96" s="230"/>
      <c r="BP96" s="230"/>
      <c r="BQ96" s="230"/>
      <c r="BR96" s="230"/>
      <c r="BS96" s="230"/>
      <c r="BT96" s="230"/>
      <c r="BU96" s="230"/>
      <c r="BV96" s="230"/>
      <c r="BW96" s="230"/>
      <c r="BX96" s="230"/>
      <c r="BY96" s="230"/>
      <c r="BZ96" s="230"/>
      <c r="CA96" s="230"/>
      <c r="CB96" s="230"/>
      <c r="CC96" s="230"/>
      <c r="CD96" s="230"/>
      <c r="CE96" s="237"/>
      <c r="CF96" s="230"/>
      <c r="CG96" s="230"/>
      <c r="CH96" s="230"/>
      <c r="CI96" s="230"/>
      <c r="CJ96" s="230" t="str">
        <f t="shared" si="24"/>
        <v>No aplica</v>
      </c>
      <c r="CK96" s="230" t="str">
        <f t="shared" si="25"/>
        <v>No aplica</v>
      </c>
      <c r="CL96" s="83" t="str">
        <f t="shared" si="16"/>
        <v>No aplica, no hay meta</v>
      </c>
      <c r="CM96" s="89" t="str">
        <f t="shared" si="17"/>
        <v>No aplica, no hay meta</v>
      </c>
      <c r="CN96" s="89" t="str">
        <f t="shared" si="18"/>
        <v>No se reportó avance</v>
      </c>
      <c r="CO96" s="229" t="s">
        <v>225</v>
      </c>
      <c r="CP96" s="229"/>
      <c r="CQ96" s="229"/>
      <c r="CR96" s="229"/>
      <c r="CS96" s="229"/>
      <c r="CT96" s="229"/>
      <c r="CU96" s="229"/>
      <c r="CV96" s="229"/>
      <c r="CW96" s="229"/>
      <c r="CX96" s="229"/>
      <c r="CY96" s="229"/>
      <c r="CZ96" s="229"/>
      <c r="DA96" s="229"/>
      <c r="DB96" s="229"/>
      <c r="DC96" s="229"/>
      <c r="DD96" s="229"/>
      <c r="DE96" s="229"/>
      <c r="DF96" s="229"/>
      <c r="DG96" s="229"/>
      <c r="DH96" s="238"/>
      <c r="DI96" s="229"/>
      <c r="DJ96" s="229"/>
      <c r="DK96" s="229"/>
      <c r="DL96" s="229"/>
      <c r="DM96" s="229"/>
      <c r="DN96" s="230"/>
      <c r="DO96" s="230"/>
      <c r="DP96" s="230"/>
      <c r="DQ96" s="230"/>
      <c r="DR96" s="230"/>
      <c r="DS96" s="230"/>
      <c r="DT96" s="230"/>
      <c r="DU96" s="230"/>
      <c r="DV96" s="230"/>
      <c r="DW96" s="230"/>
      <c r="DX96" s="230"/>
      <c r="DY96" s="230"/>
      <c r="DZ96" s="230"/>
      <c r="EA96" s="230"/>
      <c r="EB96" s="230"/>
      <c r="EC96" s="230"/>
      <c r="ED96" s="230"/>
      <c r="EE96" s="230"/>
      <c r="EF96" s="230"/>
      <c r="EG96" s="230"/>
      <c r="EH96" s="230"/>
      <c r="EI96" s="230"/>
      <c r="EJ96" s="230"/>
      <c r="EK96" s="230"/>
      <c r="EL96" s="91" t="str">
        <f t="shared" si="19"/>
        <v>No requiere reporte</v>
      </c>
      <c r="EM96" s="83" t="str">
        <f t="shared" si="20"/>
        <v>No requiere reporte</v>
      </c>
      <c r="EN96" s="239" t="s">
        <v>937</v>
      </c>
      <c r="EO96" s="93" t="str">
        <f t="shared" si="26"/>
        <v xml:space="preserve">Producto </v>
      </c>
      <c r="EP96" s="93" t="str">
        <f t="shared" si="27"/>
        <v/>
      </c>
    </row>
    <row r="97" spans="1:146" ht="150" customHeight="1">
      <c r="A97" s="202" t="s">
        <v>911</v>
      </c>
      <c r="B97" s="202" t="s">
        <v>912</v>
      </c>
      <c r="C97" s="202" t="s">
        <v>913</v>
      </c>
      <c r="D97" s="202" t="s">
        <v>914</v>
      </c>
      <c r="E97" s="202" t="s">
        <v>915</v>
      </c>
      <c r="F97" s="203" t="s">
        <v>916</v>
      </c>
      <c r="G97" s="203" t="s">
        <v>938</v>
      </c>
      <c r="H97" s="203" t="s">
        <v>918</v>
      </c>
      <c r="I97" s="203"/>
      <c r="J97" s="203" t="s">
        <v>919</v>
      </c>
      <c r="K97" s="203" t="s">
        <v>920</v>
      </c>
      <c r="L97" s="252">
        <v>3</v>
      </c>
      <c r="M97" s="253" t="s">
        <v>939</v>
      </c>
      <c r="N97" s="253" t="s">
        <v>940</v>
      </c>
      <c r="O97" s="253" t="s">
        <v>941</v>
      </c>
      <c r="P97" s="253" t="s">
        <v>200</v>
      </c>
      <c r="Q97" s="253" t="s">
        <v>233</v>
      </c>
      <c r="R97" s="252">
        <v>20</v>
      </c>
      <c r="S97" s="253" t="s">
        <v>402</v>
      </c>
      <c r="T97" s="254">
        <v>45292</v>
      </c>
      <c r="U97" s="254">
        <v>46387</v>
      </c>
      <c r="V97" s="203"/>
      <c r="W97" s="203"/>
      <c r="X97" s="203"/>
      <c r="Y97" s="203"/>
      <c r="Z97" s="255">
        <v>0</v>
      </c>
      <c r="AA97" s="203">
        <v>0</v>
      </c>
      <c r="AB97" s="203">
        <v>2</v>
      </c>
      <c r="AC97" s="203">
        <v>3</v>
      </c>
      <c r="AD97" s="203">
        <v>3</v>
      </c>
      <c r="AE97" s="255">
        <f>+AA97+AB97+AC97+AD97</f>
        <v>8</v>
      </c>
      <c r="AF97" s="255">
        <v>0</v>
      </c>
      <c r="AG97" s="255">
        <v>15</v>
      </c>
      <c r="AH97" s="255">
        <v>15</v>
      </c>
      <c r="AI97" s="255">
        <v>15</v>
      </c>
      <c r="AJ97" s="255">
        <f>+AI97+AH97+AG97+AF97</f>
        <v>45</v>
      </c>
      <c r="AK97" s="203">
        <v>2</v>
      </c>
      <c r="AL97" s="203">
        <v>5</v>
      </c>
      <c r="AM97" s="203">
        <v>5</v>
      </c>
      <c r="AN97" s="203">
        <v>5</v>
      </c>
      <c r="AO97" s="255">
        <v>17</v>
      </c>
      <c r="AP97" s="255">
        <f>+Z97+AE97+AJ97+AO97</f>
        <v>70</v>
      </c>
      <c r="AQ97" s="170"/>
      <c r="AR97" s="170"/>
      <c r="AS97" s="170"/>
      <c r="AT97" s="170"/>
      <c r="AU97" s="170"/>
      <c r="AV97" s="170"/>
      <c r="AW97" s="170"/>
      <c r="AX97" s="170"/>
      <c r="AY97" s="170" t="s">
        <v>182</v>
      </c>
      <c r="AZ97" s="692" t="s">
        <v>182</v>
      </c>
      <c r="BA97" s="170" t="s">
        <v>182</v>
      </c>
      <c r="BB97" s="782" t="s">
        <v>942</v>
      </c>
      <c r="BC97" s="782">
        <v>2</v>
      </c>
      <c r="BD97" s="782" t="s">
        <v>943</v>
      </c>
      <c r="BE97" s="783">
        <v>1</v>
      </c>
      <c r="BF97" s="782" t="s">
        <v>944</v>
      </c>
      <c r="BG97" s="170">
        <v>0</v>
      </c>
      <c r="BH97" s="170"/>
      <c r="BI97" s="170">
        <f>+BC97+BE97+BG97</f>
        <v>3</v>
      </c>
      <c r="BJ97" s="692" t="s">
        <v>945</v>
      </c>
      <c r="BK97" s="170">
        <v>0</v>
      </c>
      <c r="BL97" s="692" t="s">
        <v>946</v>
      </c>
      <c r="BM97" s="170">
        <v>2</v>
      </c>
      <c r="BN97" s="692" t="s">
        <v>947</v>
      </c>
      <c r="BO97" s="170">
        <v>4</v>
      </c>
      <c r="BP97" s="692" t="s">
        <v>948</v>
      </c>
      <c r="BQ97" s="170"/>
      <c r="BR97" s="170"/>
      <c r="BS97" s="170"/>
      <c r="BT97" s="170"/>
      <c r="BU97" s="170"/>
      <c r="BV97" s="170"/>
      <c r="BW97" s="170"/>
      <c r="BX97" s="170"/>
      <c r="BY97" s="170"/>
      <c r="BZ97" s="170"/>
      <c r="CA97" s="170"/>
      <c r="CB97" s="170"/>
      <c r="CC97" s="170"/>
      <c r="CD97" s="170"/>
      <c r="CE97" s="170"/>
      <c r="CF97" s="170"/>
      <c r="CG97" s="256">
        <f>+SUM(DH97)</f>
        <v>4800000000</v>
      </c>
      <c r="CH97" s="256"/>
      <c r="CI97" s="256"/>
      <c r="CJ97" s="83">
        <f t="shared" si="24"/>
        <v>0</v>
      </c>
      <c r="CK97" s="83">
        <f t="shared" si="25"/>
        <v>0</v>
      </c>
      <c r="CL97" s="83" t="str">
        <f t="shared" si="16"/>
        <v>No se reportó avance</v>
      </c>
      <c r="CM97" s="89" t="str">
        <f t="shared" si="17"/>
        <v>No se reportó avance</v>
      </c>
      <c r="CN97" s="89" t="str">
        <f t="shared" si="18"/>
        <v>No se reportó avance</v>
      </c>
      <c r="CO97" s="170" t="s">
        <v>236</v>
      </c>
      <c r="CP97" s="170" t="s">
        <v>949</v>
      </c>
      <c r="CQ97" s="170" t="s">
        <v>950</v>
      </c>
      <c r="CR97" s="170" t="s">
        <v>951</v>
      </c>
      <c r="CS97" s="170" t="s">
        <v>952</v>
      </c>
      <c r="CT97" s="170" t="s">
        <v>953</v>
      </c>
      <c r="CU97" s="170" t="s">
        <v>233</v>
      </c>
      <c r="CV97" s="170">
        <v>17</v>
      </c>
      <c r="CW97" s="785" t="s">
        <v>234</v>
      </c>
      <c r="CX97" s="257">
        <v>46037</v>
      </c>
      <c r="CY97" s="257">
        <v>46387</v>
      </c>
      <c r="CZ97" s="258">
        <v>2</v>
      </c>
      <c r="DA97" s="258">
        <v>5</v>
      </c>
      <c r="DB97" s="683">
        <v>5</v>
      </c>
      <c r="DC97" s="683">
        <v>5</v>
      </c>
      <c r="DD97" s="683">
        <v>17</v>
      </c>
      <c r="DE97" s="786" t="s">
        <v>265</v>
      </c>
      <c r="DF97" s="170" t="s">
        <v>954</v>
      </c>
      <c r="DG97" s="786" t="s">
        <v>955</v>
      </c>
      <c r="DH97" s="615">
        <v>4800000000</v>
      </c>
      <c r="DI97" s="786" t="s">
        <v>956</v>
      </c>
      <c r="DJ97" s="786" t="s">
        <v>957</v>
      </c>
      <c r="DK97" s="786" t="s">
        <v>958</v>
      </c>
      <c r="DL97" s="786"/>
      <c r="DM97" s="786" t="s">
        <v>959</v>
      </c>
      <c r="DN97" s="786"/>
      <c r="DO97" s="787"/>
      <c r="DP97" s="786"/>
      <c r="DQ97" s="787"/>
      <c r="DR97" s="787"/>
      <c r="DS97" s="786"/>
      <c r="DT97" s="788"/>
      <c r="DU97" s="259"/>
      <c r="DV97" s="787"/>
      <c r="DW97" s="787"/>
      <c r="DX97" s="786"/>
      <c r="DY97" s="788"/>
      <c r="DZ97" s="259"/>
      <c r="EA97" s="787"/>
      <c r="EB97" s="787"/>
      <c r="EC97" s="786"/>
      <c r="ED97" s="786"/>
      <c r="EE97" s="786"/>
      <c r="EF97" s="786"/>
      <c r="EG97" s="786"/>
      <c r="EH97" s="786"/>
      <c r="EI97" s="789"/>
      <c r="EJ97" s="789"/>
      <c r="EK97" s="789"/>
      <c r="EL97" s="91" t="str">
        <f t="shared" si="19"/>
        <v>No se reportó avance</v>
      </c>
      <c r="EM97" s="83" t="str">
        <f t="shared" si="20"/>
        <v>No se reportó avance</v>
      </c>
      <c r="EN97" s="790"/>
      <c r="EO97" s="93" t="str">
        <f t="shared" si="26"/>
        <v>Gestión</v>
      </c>
      <c r="EP97" s="93" t="str">
        <f t="shared" si="27"/>
        <v>4</v>
      </c>
    </row>
    <row r="98" spans="1:146" ht="150" customHeight="1">
      <c r="A98" s="202" t="s">
        <v>911</v>
      </c>
      <c r="B98" s="202" t="s">
        <v>912</v>
      </c>
      <c r="C98" s="202" t="s">
        <v>913</v>
      </c>
      <c r="D98" s="202" t="s">
        <v>914</v>
      </c>
      <c r="E98" s="202" t="s">
        <v>915</v>
      </c>
      <c r="F98" s="203" t="s">
        <v>916</v>
      </c>
      <c r="G98" s="203" t="s">
        <v>917</v>
      </c>
      <c r="H98" s="203" t="s">
        <v>918</v>
      </c>
      <c r="I98" s="203"/>
      <c r="J98" s="203" t="s">
        <v>919</v>
      </c>
      <c r="K98" s="203" t="s">
        <v>920</v>
      </c>
      <c r="L98" s="260">
        <v>4</v>
      </c>
      <c r="M98" s="255" t="s">
        <v>960</v>
      </c>
      <c r="N98" s="255" t="s">
        <v>961</v>
      </c>
      <c r="O98" s="255" t="s">
        <v>962</v>
      </c>
      <c r="P98" s="255" t="s">
        <v>200</v>
      </c>
      <c r="Q98" s="255" t="s">
        <v>162</v>
      </c>
      <c r="R98" s="260">
        <v>6</v>
      </c>
      <c r="S98" s="255" t="s">
        <v>402</v>
      </c>
      <c r="T98" s="261">
        <v>44927</v>
      </c>
      <c r="U98" s="261">
        <v>46387</v>
      </c>
      <c r="V98" s="203"/>
      <c r="W98" s="203"/>
      <c r="X98" s="203"/>
      <c r="Y98" s="203"/>
      <c r="Z98" s="255">
        <v>0</v>
      </c>
      <c r="AA98" s="203">
        <v>10</v>
      </c>
      <c r="AB98" s="203">
        <v>10</v>
      </c>
      <c r="AC98" s="203">
        <v>10</v>
      </c>
      <c r="AD98" s="203">
        <v>10</v>
      </c>
      <c r="AE98" s="255">
        <v>10</v>
      </c>
      <c r="AF98" s="255">
        <v>12</v>
      </c>
      <c r="AG98" s="255">
        <v>12</v>
      </c>
      <c r="AH98" s="255">
        <v>12</v>
      </c>
      <c r="AI98" s="255">
        <v>12</v>
      </c>
      <c r="AJ98" s="255">
        <v>12</v>
      </c>
      <c r="AK98" s="203">
        <v>12</v>
      </c>
      <c r="AL98" s="203">
        <v>12</v>
      </c>
      <c r="AM98" s="203">
        <v>12</v>
      </c>
      <c r="AN98" s="203">
        <v>12</v>
      </c>
      <c r="AO98" s="255">
        <v>12</v>
      </c>
      <c r="AP98" s="255">
        <f>+AJ98</f>
        <v>12</v>
      </c>
      <c r="AQ98" s="170"/>
      <c r="AR98" s="170"/>
      <c r="AS98" s="170"/>
      <c r="AT98" s="170"/>
      <c r="AU98" s="170"/>
      <c r="AV98" s="170"/>
      <c r="AW98" s="170"/>
      <c r="AX98" s="170"/>
      <c r="AY98" s="170" t="s">
        <v>182</v>
      </c>
      <c r="AZ98" s="692" t="s">
        <v>182</v>
      </c>
      <c r="BA98" s="784" t="s">
        <v>201</v>
      </c>
      <c r="BB98" s="782" t="s">
        <v>963</v>
      </c>
      <c r="BC98" s="782">
        <v>10</v>
      </c>
      <c r="BD98" s="782" t="s">
        <v>964</v>
      </c>
      <c r="BE98" s="783">
        <v>10</v>
      </c>
      <c r="BF98" s="782" t="s">
        <v>965</v>
      </c>
      <c r="BG98" s="170">
        <v>0</v>
      </c>
      <c r="BH98" s="170"/>
      <c r="BI98" s="170">
        <f>+BC98+BE98+BG98</f>
        <v>20</v>
      </c>
      <c r="BJ98" s="692"/>
      <c r="BK98" s="170">
        <v>3</v>
      </c>
      <c r="BL98" s="692" t="s">
        <v>966</v>
      </c>
      <c r="BM98" s="170">
        <f>+SUM(DS98:DS102)</f>
        <v>0</v>
      </c>
      <c r="BN98" s="692" t="s">
        <v>967</v>
      </c>
      <c r="BO98" s="170">
        <v>10</v>
      </c>
      <c r="BP98" s="692" t="s">
        <v>968</v>
      </c>
      <c r="BQ98" s="170"/>
      <c r="BR98" s="170"/>
      <c r="BS98" s="170"/>
      <c r="BT98" s="170"/>
      <c r="BU98" s="170"/>
      <c r="BV98" s="170"/>
      <c r="BW98" s="170"/>
      <c r="BX98" s="170"/>
      <c r="BY98" s="170"/>
      <c r="BZ98" s="170"/>
      <c r="CA98" s="170"/>
      <c r="CB98" s="170"/>
      <c r="CC98" s="170"/>
      <c r="CD98" s="170"/>
      <c r="CE98" s="170"/>
      <c r="CF98" s="170"/>
      <c r="CG98" s="256">
        <f>+SUM(DH98:DH101)</f>
        <v>2200000000</v>
      </c>
      <c r="CH98" s="256"/>
      <c r="CI98" s="170"/>
      <c r="CJ98" s="83">
        <f t="shared" si="24"/>
        <v>0</v>
      </c>
      <c r="CK98" s="83">
        <f t="shared" si="25"/>
        <v>0</v>
      </c>
      <c r="CL98" s="83" t="str">
        <f t="shared" si="16"/>
        <v>No se reportó avance</v>
      </c>
      <c r="CM98" s="89" t="str">
        <f t="shared" si="17"/>
        <v>No se reportó avance</v>
      </c>
      <c r="CN98" s="89" t="str">
        <f t="shared" si="18"/>
        <v>No se reportó avance</v>
      </c>
      <c r="CO98" s="170" t="s">
        <v>391</v>
      </c>
      <c r="CP98" s="170" t="s">
        <v>969</v>
      </c>
      <c r="CQ98" s="170" t="s">
        <v>970</v>
      </c>
      <c r="CR98" s="170" t="s">
        <v>971</v>
      </c>
      <c r="CS98" s="170" t="s">
        <v>972</v>
      </c>
      <c r="CT98" s="170" t="s">
        <v>953</v>
      </c>
      <c r="CU98" s="170" t="s">
        <v>233</v>
      </c>
      <c r="CV98" s="170">
        <v>8</v>
      </c>
      <c r="CW98" s="785" t="s">
        <v>234</v>
      </c>
      <c r="CX98" s="257">
        <v>46037</v>
      </c>
      <c r="CY98" s="257">
        <v>46387</v>
      </c>
      <c r="CZ98" s="258">
        <v>2</v>
      </c>
      <c r="DA98" s="258">
        <v>2</v>
      </c>
      <c r="DB98" s="258">
        <v>2</v>
      </c>
      <c r="DC98" s="258">
        <v>2</v>
      </c>
      <c r="DD98" s="258">
        <v>8</v>
      </c>
      <c r="DE98" s="170" t="s">
        <v>265</v>
      </c>
      <c r="DF98" s="170" t="s">
        <v>954</v>
      </c>
      <c r="DG98" s="170" t="s">
        <v>955</v>
      </c>
      <c r="DH98" s="616">
        <v>88000000</v>
      </c>
      <c r="DI98" s="786" t="s">
        <v>956</v>
      </c>
      <c r="DJ98" s="170" t="s">
        <v>358</v>
      </c>
      <c r="DK98" s="170" t="s">
        <v>973</v>
      </c>
      <c r="DL98" s="262"/>
      <c r="DM98" s="262"/>
      <c r="DN98" s="170"/>
      <c r="DO98" s="692"/>
      <c r="DP98" s="170"/>
      <c r="DQ98" s="692"/>
      <c r="DR98" s="692"/>
      <c r="DS98" s="170"/>
      <c r="DT98" s="791"/>
      <c r="DU98" s="263"/>
      <c r="DV98" s="791"/>
      <c r="DW98" s="791"/>
      <c r="DX98" s="170"/>
      <c r="DY98" s="791"/>
      <c r="DZ98" s="263"/>
      <c r="EA98" s="791"/>
      <c r="EB98" s="791"/>
      <c r="EC98" s="170"/>
      <c r="ED98" s="170"/>
      <c r="EE98" s="170"/>
      <c r="EF98" s="170"/>
      <c r="EG98" s="170"/>
      <c r="EH98" s="170"/>
      <c r="EI98" s="262"/>
      <c r="EJ98" s="262"/>
      <c r="EK98" s="262"/>
      <c r="EL98" s="91" t="str">
        <f t="shared" si="19"/>
        <v>No se reportó avance</v>
      </c>
      <c r="EM98" s="83" t="str">
        <f t="shared" si="20"/>
        <v>No se reportó avance</v>
      </c>
      <c r="EN98" s="792"/>
      <c r="EO98" s="93" t="str">
        <f t="shared" si="26"/>
        <v>Gestión</v>
      </c>
      <c r="EP98" s="93" t="str">
        <f t="shared" si="27"/>
        <v>4</v>
      </c>
    </row>
    <row r="99" spans="1:146" ht="150" customHeight="1">
      <c r="A99" s="173" t="s">
        <v>911</v>
      </c>
      <c r="B99" s="173" t="s">
        <v>912</v>
      </c>
      <c r="C99" s="173" t="s">
        <v>913</v>
      </c>
      <c r="D99" s="173" t="s">
        <v>914</v>
      </c>
      <c r="E99" s="173" t="s">
        <v>915</v>
      </c>
      <c r="F99" s="170" t="s">
        <v>916</v>
      </c>
      <c r="G99" s="170" t="s">
        <v>917</v>
      </c>
      <c r="H99" s="170" t="s">
        <v>918</v>
      </c>
      <c r="I99" s="170"/>
      <c r="J99" s="170" t="s">
        <v>919</v>
      </c>
      <c r="K99" s="170" t="s">
        <v>920</v>
      </c>
      <c r="L99" s="170">
        <v>4</v>
      </c>
      <c r="M99" s="170" t="s">
        <v>960</v>
      </c>
      <c r="N99" s="170" t="s">
        <v>961</v>
      </c>
      <c r="O99" s="170" t="s">
        <v>962</v>
      </c>
      <c r="P99" s="170" t="s">
        <v>200</v>
      </c>
      <c r="Q99" s="170" t="s">
        <v>162</v>
      </c>
      <c r="R99" s="170">
        <v>6</v>
      </c>
      <c r="S99" s="170" t="s">
        <v>402</v>
      </c>
      <c r="T99" s="257">
        <v>44927</v>
      </c>
      <c r="U99" s="257">
        <v>46387</v>
      </c>
      <c r="V99" s="170"/>
      <c r="W99" s="170"/>
      <c r="X99" s="170"/>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692"/>
      <c r="BA99" s="170"/>
      <c r="BB99" s="170"/>
      <c r="BC99" s="170"/>
      <c r="BD99" s="170"/>
      <c r="BE99" s="170"/>
      <c r="BF99" s="170"/>
      <c r="BG99" s="170"/>
      <c r="BH99" s="170"/>
      <c r="BI99" s="170"/>
      <c r="BJ99" s="692"/>
      <c r="BK99" s="170"/>
      <c r="BL99" s="692"/>
      <c r="BM99" s="170"/>
      <c r="BN99" s="692"/>
      <c r="BO99" s="170"/>
      <c r="BP99" s="692"/>
      <c r="BQ99" s="170"/>
      <c r="BR99" s="170"/>
      <c r="BS99" s="170"/>
      <c r="BT99" s="170"/>
      <c r="BU99" s="170"/>
      <c r="BV99" s="170"/>
      <c r="BW99" s="170"/>
      <c r="BX99" s="170"/>
      <c r="BY99" s="170"/>
      <c r="BZ99" s="170"/>
      <c r="CA99" s="170"/>
      <c r="CB99" s="170"/>
      <c r="CC99" s="170"/>
      <c r="CD99" s="170"/>
      <c r="CE99" s="170"/>
      <c r="CF99" s="170"/>
      <c r="CG99" s="256"/>
      <c r="CH99" s="256"/>
      <c r="CI99" s="170"/>
      <c r="CJ99" s="83" t="str">
        <f t="shared" si="24"/>
        <v>No aplica</v>
      </c>
      <c r="CK99" s="83" t="str">
        <f t="shared" si="25"/>
        <v>No aplica</v>
      </c>
      <c r="CL99" s="83" t="str">
        <f t="shared" si="16"/>
        <v>No requiere reporte</v>
      </c>
      <c r="CM99" s="89" t="str">
        <f t="shared" si="17"/>
        <v>No requiere reporte</v>
      </c>
      <c r="CN99" s="89" t="str">
        <f t="shared" si="18"/>
        <v>No requiere reporte</v>
      </c>
      <c r="CO99" s="170" t="s">
        <v>403</v>
      </c>
      <c r="CP99" s="170" t="s">
        <v>974</v>
      </c>
      <c r="CQ99" s="170" t="s">
        <v>975</v>
      </c>
      <c r="CR99" s="170" t="s">
        <v>976</v>
      </c>
      <c r="CS99" s="170" t="s">
        <v>977</v>
      </c>
      <c r="CT99" s="170" t="s">
        <v>953</v>
      </c>
      <c r="CU99" s="170" t="s">
        <v>233</v>
      </c>
      <c r="CV99" s="170">
        <v>12</v>
      </c>
      <c r="CW99" s="785" t="s">
        <v>234</v>
      </c>
      <c r="CX99" s="257">
        <v>46037</v>
      </c>
      <c r="CY99" s="257">
        <v>46387</v>
      </c>
      <c r="CZ99" s="258">
        <v>3</v>
      </c>
      <c r="DA99" s="258">
        <v>3</v>
      </c>
      <c r="DB99" s="258">
        <v>3</v>
      </c>
      <c r="DC99" s="258">
        <v>3</v>
      </c>
      <c r="DD99" s="258">
        <v>12</v>
      </c>
      <c r="DE99" s="170" t="s">
        <v>265</v>
      </c>
      <c r="DF99" s="170" t="s">
        <v>954</v>
      </c>
      <c r="DG99" s="170" t="s">
        <v>955</v>
      </c>
      <c r="DH99" s="616">
        <v>192000000</v>
      </c>
      <c r="DI99" s="786" t="s">
        <v>956</v>
      </c>
      <c r="DJ99" s="170" t="s">
        <v>358</v>
      </c>
      <c r="DK99" s="170" t="s">
        <v>973</v>
      </c>
      <c r="DL99" s="170"/>
      <c r="DM99" s="170"/>
      <c r="DN99" s="170"/>
      <c r="DO99" s="692"/>
      <c r="DP99" s="170"/>
      <c r="DQ99" s="692"/>
      <c r="DR99" s="692"/>
      <c r="DS99" s="170"/>
      <c r="DT99" s="791"/>
      <c r="DU99" s="263"/>
      <c r="DV99" s="791"/>
      <c r="DW99" s="791"/>
      <c r="DX99" s="170"/>
      <c r="DY99" s="791"/>
      <c r="DZ99" s="263"/>
      <c r="EA99" s="791"/>
      <c r="EB99" s="791"/>
      <c r="EC99" s="170"/>
      <c r="ED99" s="170"/>
      <c r="EE99" s="170"/>
      <c r="EF99" s="170"/>
      <c r="EG99" s="170"/>
      <c r="EH99" s="170"/>
      <c r="EI99" s="262"/>
      <c r="EJ99" s="262"/>
      <c r="EK99" s="262"/>
      <c r="EL99" s="91" t="str">
        <f t="shared" si="19"/>
        <v>No se reportó avance</v>
      </c>
      <c r="EM99" s="83" t="str">
        <f t="shared" si="20"/>
        <v>No se reportó avance</v>
      </c>
      <c r="EN99" s="792"/>
      <c r="EO99" s="93" t="str">
        <f t="shared" si="26"/>
        <v>Gestión</v>
      </c>
      <c r="EP99" s="93" t="str">
        <f t="shared" si="27"/>
        <v>4</v>
      </c>
    </row>
    <row r="100" spans="1:146" ht="150" customHeight="1">
      <c r="A100" s="173" t="s">
        <v>911</v>
      </c>
      <c r="B100" s="173" t="s">
        <v>912</v>
      </c>
      <c r="C100" s="173" t="s">
        <v>913</v>
      </c>
      <c r="D100" s="173" t="s">
        <v>914</v>
      </c>
      <c r="E100" s="173" t="s">
        <v>915</v>
      </c>
      <c r="F100" s="170" t="s">
        <v>916</v>
      </c>
      <c r="G100" s="170" t="s">
        <v>917</v>
      </c>
      <c r="H100" s="170" t="s">
        <v>918</v>
      </c>
      <c r="I100" s="170"/>
      <c r="J100" s="170" t="s">
        <v>919</v>
      </c>
      <c r="K100" s="170" t="s">
        <v>920</v>
      </c>
      <c r="L100" s="170">
        <v>4</v>
      </c>
      <c r="M100" s="170" t="s">
        <v>960</v>
      </c>
      <c r="N100" s="170" t="s">
        <v>961</v>
      </c>
      <c r="O100" s="170" t="s">
        <v>962</v>
      </c>
      <c r="P100" s="170" t="s">
        <v>200</v>
      </c>
      <c r="Q100" s="170" t="s">
        <v>162</v>
      </c>
      <c r="R100" s="170">
        <v>6</v>
      </c>
      <c r="S100" s="170" t="s">
        <v>402</v>
      </c>
      <c r="T100" s="257">
        <v>44927</v>
      </c>
      <c r="U100" s="257">
        <v>46387</v>
      </c>
      <c r="V100" s="170"/>
      <c r="W100" s="170"/>
      <c r="X100" s="170"/>
      <c r="Y100" s="170"/>
      <c r="Z100" s="170"/>
      <c r="AA100" s="170"/>
      <c r="AB100" s="170"/>
      <c r="AC100" s="170"/>
      <c r="AD100" s="170"/>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0"/>
      <c r="AZ100" s="692"/>
      <c r="BA100" s="170"/>
      <c r="BB100" s="170"/>
      <c r="BC100" s="170"/>
      <c r="BD100" s="170"/>
      <c r="BE100" s="170"/>
      <c r="BF100" s="170"/>
      <c r="BG100" s="170"/>
      <c r="BH100" s="170"/>
      <c r="BI100" s="170"/>
      <c r="BJ100" s="692"/>
      <c r="BK100" s="170"/>
      <c r="BL100" s="692"/>
      <c r="BM100" s="170"/>
      <c r="BN100" s="692"/>
      <c r="BO100" s="170"/>
      <c r="BP100" s="692"/>
      <c r="BQ100" s="170"/>
      <c r="BR100" s="170"/>
      <c r="BS100" s="170"/>
      <c r="BT100" s="170"/>
      <c r="BU100" s="170"/>
      <c r="BV100" s="170"/>
      <c r="BW100" s="170"/>
      <c r="BX100" s="170"/>
      <c r="BY100" s="170"/>
      <c r="BZ100" s="170"/>
      <c r="CA100" s="170"/>
      <c r="CB100" s="170"/>
      <c r="CC100" s="170"/>
      <c r="CD100" s="170"/>
      <c r="CE100" s="170"/>
      <c r="CF100" s="170"/>
      <c r="CG100" s="256"/>
      <c r="CH100" s="256"/>
      <c r="CI100" s="170"/>
      <c r="CJ100" s="83" t="str">
        <f t="shared" si="24"/>
        <v>No aplica</v>
      </c>
      <c r="CK100" s="83" t="str">
        <f t="shared" si="25"/>
        <v>No aplica</v>
      </c>
      <c r="CL100" s="83" t="str">
        <f t="shared" si="16"/>
        <v>No requiere reporte</v>
      </c>
      <c r="CM100" s="89" t="str">
        <f t="shared" si="17"/>
        <v>No requiere reporte</v>
      </c>
      <c r="CN100" s="89" t="str">
        <f t="shared" si="18"/>
        <v>No requiere reporte</v>
      </c>
      <c r="CO100" s="170" t="s">
        <v>408</v>
      </c>
      <c r="CP100" s="170" t="s">
        <v>978</v>
      </c>
      <c r="CQ100" s="170" t="s">
        <v>979</v>
      </c>
      <c r="CR100" s="170" t="s">
        <v>980</v>
      </c>
      <c r="CS100" s="170" t="s">
        <v>981</v>
      </c>
      <c r="CT100" s="170" t="s">
        <v>953</v>
      </c>
      <c r="CU100" s="170" t="s">
        <v>233</v>
      </c>
      <c r="CV100" s="170">
        <v>12</v>
      </c>
      <c r="CW100" s="785" t="s">
        <v>234</v>
      </c>
      <c r="CX100" s="257">
        <v>46037</v>
      </c>
      <c r="CY100" s="257">
        <v>46387</v>
      </c>
      <c r="CZ100" s="258">
        <v>3</v>
      </c>
      <c r="DA100" s="258">
        <v>3</v>
      </c>
      <c r="DB100" s="258">
        <v>3</v>
      </c>
      <c r="DC100" s="258">
        <v>3</v>
      </c>
      <c r="DD100" s="258">
        <v>12</v>
      </c>
      <c r="DE100" s="170" t="s">
        <v>265</v>
      </c>
      <c r="DF100" s="170" t="s">
        <v>954</v>
      </c>
      <c r="DG100" s="170" t="s">
        <v>955</v>
      </c>
      <c r="DH100" s="616">
        <v>736000000</v>
      </c>
      <c r="DI100" s="786" t="s">
        <v>956</v>
      </c>
      <c r="DJ100" s="170" t="s">
        <v>358</v>
      </c>
      <c r="DK100" s="170" t="s">
        <v>973</v>
      </c>
      <c r="DL100" s="170" t="s">
        <v>337</v>
      </c>
      <c r="DM100" s="170"/>
      <c r="DN100" s="170"/>
      <c r="DO100" s="692"/>
      <c r="DP100" s="170"/>
      <c r="DQ100" s="692"/>
      <c r="DR100" s="692"/>
      <c r="DS100" s="170"/>
      <c r="DT100" s="791"/>
      <c r="DU100" s="263"/>
      <c r="DV100" s="791"/>
      <c r="DW100" s="791"/>
      <c r="DX100" s="170"/>
      <c r="DY100" s="791"/>
      <c r="DZ100" s="263"/>
      <c r="EA100" s="791"/>
      <c r="EB100" s="791"/>
      <c r="EC100" s="170"/>
      <c r="ED100" s="170"/>
      <c r="EE100" s="170"/>
      <c r="EF100" s="170"/>
      <c r="EG100" s="170"/>
      <c r="EH100" s="170"/>
      <c r="EI100" s="262"/>
      <c r="EJ100" s="262"/>
      <c r="EK100" s="262"/>
      <c r="EL100" s="91" t="str">
        <f t="shared" si="19"/>
        <v>No se reportó avance</v>
      </c>
      <c r="EM100" s="83" t="str">
        <f t="shared" si="20"/>
        <v>No se reportó avance</v>
      </c>
      <c r="EN100" s="792"/>
      <c r="EO100" s="93" t="str">
        <f t="shared" si="26"/>
        <v>Gestión</v>
      </c>
      <c r="EP100" s="93" t="str">
        <f t="shared" si="27"/>
        <v>4</v>
      </c>
    </row>
    <row r="101" spans="1:146" ht="150" customHeight="1">
      <c r="A101" s="173" t="s">
        <v>911</v>
      </c>
      <c r="B101" s="173" t="s">
        <v>912</v>
      </c>
      <c r="C101" s="173" t="s">
        <v>913</v>
      </c>
      <c r="D101" s="173" t="s">
        <v>914</v>
      </c>
      <c r="E101" s="173" t="s">
        <v>915</v>
      </c>
      <c r="F101" s="170" t="s">
        <v>916</v>
      </c>
      <c r="G101" s="170" t="s">
        <v>917</v>
      </c>
      <c r="H101" s="170" t="s">
        <v>918</v>
      </c>
      <c r="I101" s="170"/>
      <c r="J101" s="170" t="s">
        <v>919</v>
      </c>
      <c r="K101" s="170" t="s">
        <v>920</v>
      </c>
      <c r="L101" s="170">
        <v>4</v>
      </c>
      <c r="M101" s="170" t="s">
        <v>960</v>
      </c>
      <c r="N101" s="170" t="s">
        <v>961</v>
      </c>
      <c r="O101" s="170" t="s">
        <v>962</v>
      </c>
      <c r="P101" s="170" t="s">
        <v>200</v>
      </c>
      <c r="Q101" s="170" t="s">
        <v>162</v>
      </c>
      <c r="R101" s="170">
        <v>1</v>
      </c>
      <c r="S101" s="170" t="s">
        <v>402</v>
      </c>
      <c r="T101" s="257">
        <v>44927</v>
      </c>
      <c r="U101" s="257">
        <v>46387</v>
      </c>
      <c r="V101" s="170"/>
      <c r="W101" s="170"/>
      <c r="X101" s="170"/>
      <c r="Y101" s="170"/>
      <c r="Z101" s="170"/>
      <c r="AA101" s="170"/>
      <c r="AB101" s="170"/>
      <c r="AC101" s="170"/>
      <c r="AD101" s="170"/>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c r="AY101" s="170"/>
      <c r="AZ101" s="692"/>
      <c r="BA101" s="170"/>
      <c r="BB101" s="170"/>
      <c r="BC101" s="170"/>
      <c r="BD101" s="170"/>
      <c r="BE101" s="170"/>
      <c r="BF101" s="170"/>
      <c r="BG101" s="170"/>
      <c r="BH101" s="170"/>
      <c r="BI101" s="170"/>
      <c r="BJ101" s="692"/>
      <c r="BK101" s="170"/>
      <c r="BL101" s="692"/>
      <c r="BM101" s="170"/>
      <c r="BN101" s="692"/>
      <c r="BO101" s="170"/>
      <c r="BP101" s="692"/>
      <c r="BQ101" s="170"/>
      <c r="BR101" s="170"/>
      <c r="BS101" s="170"/>
      <c r="BT101" s="170"/>
      <c r="BU101" s="170"/>
      <c r="BV101" s="170"/>
      <c r="BW101" s="170"/>
      <c r="BX101" s="170"/>
      <c r="BY101" s="170"/>
      <c r="BZ101" s="170"/>
      <c r="CA101" s="170"/>
      <c r="CB101" s="170"/>
      <c r="CC101" s="170"/>
      <c r="CD101" s="170"/>
      <c r="CE101" s="170"/>
      <c r="CF101" s="170"/>
      <c r="CG101" s="256"/>
      <c r="CH101" s="256"/>
      <c r="CI101" s="170"/>
      <c r="CJ101" s="83" t="str">
        <f t="shared" si="24"/>
        <v>No aplica</v>
      </c>
      <c r="CK101" s="83" t="str">
        <f t="shared" si="25"/>
        <v>No aplica</v>
      </c>
      <c r="CL101" s="83" t="str">
        <f t="shared" si="16"/>
        <v>No requiere reporte</v>
      </c>
      <c r="CM101" s="89" t="str">
        <f t="shared" si="17"/>
        <v>No requiere reporte</v>
      </c>
      <c r="CN101" s="89" t="str">
        <f t="shared" si="18"/>
        <v>No requiere reporte</v>
      </c>
      <c r="CO101" s="170" t="s">
        <v>413</v>
      </c>
      <c r="CP101" s="170" t="s">
        <v>982</v>
      </c>
      <c r="CQ101" s="170" t="s">
        <v>983</v>
      </c>
      <c r="CR101" s="170" t="s">
        <v>984</v>
      </c>
      <c r="CS101" s="170" t="s">
        <v>985</v>
      </c>
      <c r="CT101" s="170" t="s">
        <v>953</v>
      </c>
      <c r="CU101" s="170" t="s">
        <v>233</v>
      </c>
      <c r="CV101" s="170">
        <v>8</v>
      </c>
      <c r="CW101" s="785" t="s">
        <v>234</v>
      </c>
      <c r="CX101" s="257">
        <v>46037</v>
      </c>
      <c r="CY101" s="257">
        <v>46387</v>
      </c>
      <c r="CZ101" s="258">
        <v>1</v>
      </c>
      <c r="DA101" s="258">
        <v>1</v>
      </c>
      <c r="DB101" s="258">
        <v>1</v>
      </c>
      <c r="DC101" s="258">
        <v>1</v>
      </c>
      <c r="DD101" s="258">
        <v>4</v>
      </c>
      <c r="DE101" s="170" t="s">
        <v>265</v>
      </c>
      <c r="DF101" s="170" t="s">
        <v>954</v>
      </c>
      <c r="DG101" s="170" t="s">
        <v>955</v>
      </c>
      <c r="DH101" s="616">
        <v>1184000000</v>
      </c>
      <c r="DI101" s="786" t="s">
        <v>956</v>
      </c>
      <c r="DJ101" s="170" t="s">
        <v>358</v>
      </c>
      <c r="DK101" s="170" t="s">
        <v>973</v>
      </c>
      <c r="DL101" s="170"/>
      <c r="DM101" s="170"/>
      <c r="DN101" s="170"/>
      <c r="DO101" s="692"/>
      <c r="DP101" s="170"/>
      <c r="DQ101" s="692"/>
      <c r="DR101" s="692"/>
      <c r="DS101" s="170"/>
      <c r="DT101" s="791"/>
      <c r="DU101" s="263"/>
      <c r="DV101" s="791"/>
      <c r="DW101" s="791"/>
      <c r="DX101" s="170"/>
      <c r="DY101" s="791"/>
      <c r="DZ101" s="263"/>
      <c r="EA101" s="791"/>
      <c r="EB101" s="791"/>
      <c r="EC101" s="170"/>
      <c r="ED101" s="170"/>
      <c r="EE101" s="170"/>
      <c r="EF101" s="170"/>
      <c r="EG101" s="170"/>
      <c r="EH101" s="170"/>
      <c r="EI101" s="262"/>
      <c r="EJ101" s="262"/>
      <c r="EK101" s="262"/>
      <c r="EL101" s="91" t="str">
        <f t="shared" si="19"/>
        <v>No se reportó avance</v>
      </c>
      <c r="EM101" s="83" t="str">
        <f t="shared" si="20"/>
        <v>No se reportó avance</v>
      </c>
      <c r="EN101" s="792"/>
      <c r="EO101" s="93" t="str">
        <f t="shared" si="26"/>
        <v>Gestión</v>
      </c>
      <c r="EP101" s="93" t="str">
        <f t="shared" si="27"/>
        <v>4</v>
      </c>
    </row>
    <row r="102" spans="1:146" s="286" customFormat="1" ht="150" hidden="1" customHeight="1">
      <c r="A102" s="264" t="s">
        <v>911</v>
      </c>
      <c r="B102" s="264" t="s">
        <v>912</v>
      </c>
      <c r="C102" s="264" t="s">
        <v>913</v>
      </c>
      <c r="D102" s="264" t="s">
        <v>914</v>
      </c>
      <c r="E102" s="264" t="s">
        <v>915</v>
      </c>
      <c r="F102" s="265" t="s">
        <v>916</v>
      </c>
      <c r="G102" s="265" t="s">
        <v>917</v>
      </c>
      <c r="H102" s="265" t="s">
        <v>918</v>
      </c>
      <c r="I102" s="265"/>
      <c r="J102" s="265" t="s">
        <v>919</v>
      </c>
      <c r="K102" s="265" t="s">
        <v>920</v>
      </c>
      <c r="L102" s="266">
        <v>5</v>
      </c>
      <c r="M102" s="267" t="s">
        <v>986</v>
      </c>
      <c r="N102" s="267" t="s">
        <v>987</v>
      </c>
      <c r="O102" s="267" t="s">
        <v>988</v>
      </c>
      <c r="P102" s="267" t="s">
        <v>161</v>
      </c>
      <c r="Q102" s="267" t="s">
        <v>233</v>
      </c>
      <c r="R102" s="266">
        <v>0</v>
      </c>
      <c r="S102" s="267" t="s">
        <v>252</v>
      </c>
      <c r="T102" s="268">
        <v>45292</v>
      </c>
      <c r="U102" s="268">
        <v>46387</v>
      </c>
      <c r="V102" s="269"/>
      <c r="W102" s="269"/>
      <c r="X102" s="269"/>
      <c r="Y102" s="269"/>
      <c r="Z102" s="270"/>
      <c r="AA102" s="269">
        <v>0</v>
      </c>
      <c r="AB102" s="269">
        <v>0.1</v>
      </c>
      <c r="AC102" s="269">
        <v>0.1</v>
      </c>
      <c r="AD102" s="269">
        <v>0.06</v>
      </c>
      <c r="AE102" s="270">
        <f>+AD102+AC102+AB102+AA102</f>
        <v>0.26</v>
      </c>
      <c r="AF102" s="270">
        <v>0.03</v>
      </c>
      <c r="AG102" s="270">
        <v>0.05</v>
      </c>
      <c r="AH102" s="270">
        <v>0.09</v>
      </c>
      <c r="AI102" s="270">
        <v>0.1</v>
      </c>
      <c r="AJ102" s="270">
        <f>+AI102+AH102+AG102+AF102</f>
        <v>0.27</v>
      </c>
      <c r="AK102" s="271">
        <v>0</v>
      </c>
      <c r="AL102" s="271">
        <v>0</v>
      </c>
      <c r="AM102" s="271">
        <v>0</v>
      </c>
      <c r="AN102" s="271">
        <v>0</v>
      </c>
      <c r="AO102" s="272">
        <f>+AN102+AM102+AL102+AK102</f>
        <v>0</v>
      </c>
      <c r="AP102" s="273">
        <f>+AE102+AJ102+AO102</f>
        <v>0.53</v>
      </c>
      <c r="AQ102" s="274"/>
      <c r="AR102" s="274"/>
      <c r="AS102" s="274"/>
      <c r="AT102" s="274"/>
      <c r="AU102" s="274"/>
      <c r="AV102" s="274"/>
      <c r="AW102" s="274"/>
      <c r="AX102" s="274"/>
      <c r="AY102" s="274" t="s">
        <v>182</v>
      </c>
      <c r="AZ102" s="275" t="s">
        <v>182</v>
      </c>
      <c r="BA102" s="276" t="s">
        <v>182</v>
      </c>
      <c r="BB102" s="277" t="s">
        <v>989</v>
      </c>
      <c r="BC102" s="278">
        <v>0.1</v>
      </c>
      <c r="BD102" s="277" t="s">
        <v>990</v>
      </c>
      <c r="BE102" s="278">
        <v>0.05</v>
      </c>
      <c r="BF102" s="277" t="s">
        <v>991</v>
      </c>
      <c r="BG102" s="278">
        <v>0</v>
      </c>
      <c r="BH102" s="277"/>
      <c r="BI102" s="278">
        <f>+BC102+BE102+BG102</f>
        <v>0.15000000000000002</v>
      </c>
      <c r="BJ102" s="279"/>
      <c r="BK102" s="276">
        <v>0</v>
      </c>
      <c r="BL102" s="280" t="s">
        <v>992</v>
      </c>
      <c r="BM102" s="278">
        <v>0.05</v>
      </c>
      <c r="BN102" s="279" t="s">
        <v>993</v>
      </c>
      <c r="BO102" s="278">
        <v>0.09</v>
      </c>
      <c r="BP102" s="279" t="s">
        <v>994</v>
      </c>
      <c r="BQ102" s="278"/>
      <c r="BR102" s="277"/>
      <c r="BS102" s="281"/>
      <c r="BT102" s="276"/>
      <c r="BU102" s="276"/>
      <c r="BV102" s="276"/>
      <c r="BW102" s="278"/>
      <c r="BX102" s="276"/>
      <c r="BY102" s="278"/>
      <c r="BZ102" s="276"/>
      <c r="CA102" s="278"/>
      <c r="CB102" s="276"/>
      <c r="CC102" s="278"/>
      <c r="CD102" s="276"/>
      <c r="CE102" s="281"/>
      <c r="CF102" s="274"/>
      <c r="CG102" s="282"/>
      <c r="CH102" s="282"/>
      <c r="CI102" s="282"/>
      <c r="CJ102" s="160" t="str">
        <f t="shared" si="24"/>
        <v>No aplica</v>
      </c>
      <c r="CK102" s="160" t="str">
        <f t="shared" si="25"/>
        <v>No aplica</v>
      </c>
      <c r="CL102" s="83" t="str">
        <f t="shared" si="16"/>
        <v>No aplica, no hay meta</v>
      </c>
      <c r="CM102" s="89" t="str">
        <f t="shared" si="17"/>
        <v>No aplica, no hay meta</v>
      </c>
      <c r="CN102" s="89" t="str">
        <f t="shared" si="18"/>
        <v>No se reportó avance</v>
      </c>
      <c r="CO102" s="265" t="s">
        <v>583</v>
      </c>
      <c r="CP102" s="265"/>
      <c r="CQ102" s="265"/>
      <c r="CR102" s="265"/>
      <c r="CS102" s="265"/>
      <c r="CT102" s="265"/>
      <c r="CU102" s="265"/>
      <c r="CV102" s="281"/>
      <c r="CW102" s="265"/>
      <c r="CX102" s="283"/>
      <c r="CY102" s="283"/>
      <c r="CZ102" s="271"/>
      <c r="DA102" s="271"/>
      <c r="DB102" s="271"/>
      <c r="DC102" s="271"/>
      <c r="DD102" s="269"/>
      <c r="DE102" s="265"/>
      <c r="DF102" s="265"/>
      <c r="DG102" s="265"/>
      <c r="DH102" s="617"/>
      <c r="DI102" s="265"/>
      <c r="DJ102" s="265"/>
      <c r="DK102" s="265"/>
      <c r="DL102" s="265"/>
      <c r="DM102" s="265"/>
      <c r="DN102" s="264"/>
      <c r="DO102" s="280"/>
      <c r="DP102" s="265"/>
      <c r="DQ102" s="280"/>
      <c r="DR102" s="280"/>
      <c r="DS102" s="264"/>
      <c r="DT102" s="284"/>
      <c r="DU102" s="285"/>
      <c r="DV102" s="284"/>
      <c r="DW102" s="284"/>
      <c r="DX102" s="264"/>
      <c r="DY102" s="284"/>
      <c r="DZ102" s="285"/>
      <c r="EA102" s="284"/>
      <c r="EB102" s="284"/>
      <c r="EC102" s="264"/>
      <c r="ED102" s="265"/>
      <c r="EE102" s="265"/>
      <c r="EF102" s="265"/>
      <c r="EG102" s="265"/>
      <c r="EH102" s="281"/>
      <c r="EI102" s="274"/>
      <c r="EJ102" s="274"/>
      <c r="EK102" s="274"/>
      <c r="EL102" s="91" t="str">
        <f t="shared" si="19"/>
        <v>No aplica, no hay meta</v>
      </c>
      <c r="EM102" s="83" t="str">
        <f t="shared" si="20"/>
        <v>No aplica, no hay meta</v>
      </c>
      <c r="EN102" s="618" t="s">
        <v>4681</v>
      </c>
      <c r="EO102" s="93" t="str">
        <f t="shared" si="26"/>
        <v>Producto</v>
      </c>
      <c r="EP102" s="93" t="str">
        <f t="shared" si="27"/>
        <v>4</v>
      </c>
    </row>
    <row r="103" spans="1:146" s="93" customFormat="1" ht="60" customHeight="1">
      <c r="A103" s="74" t="s">
        <v>995</v>
      </c>
      <c r="B103" s="75" t="s">
        <v>4684</v>
      </c>
      <c r="C103" s="74" t="s">
        <v>996</v>
      </c>
      <c r="D103" s="74" t="s">
        <v>997</v>
      </c>
      <c r="E103" s="74" t="s">
        <v>998</v>
      </c>
      <c r="F103" s="74" t="s">
        <v>999</v>
      </c>
      <c r="G103" s="74" t="s">
        <v>1000</v>
      </c>
      <c r="H103" s="74" t="s">
        <v>1001</v>
      </c>
      <c r="I103" s="74" t="s">
        <v>1002</v>
      </c>
      <c r="J103" s="74" t="s">
        <v>729</v>
      </c>
      <c r="K103" s="74" t="s">
        <v>1003</v>
      </c>
      <c r="L103" s="78">
        <v>1</v>
      </c>
      <c r="M103" s="78" t="s">
        <v>1004</v>
      </c>
      <c r="N103" s="78" t="s">
        <v>1005</v>
      </c>
      <c r="O103" s="78" t="s">
        <v>1006</v>
      </c>
      <c r="P103" s="78" t="s">
        <v>200</v>
      </c>
      <c r="Q103" s="78" t="s">
        <v>162</v>
      </c>
      <c r="R103" s="78" t="s">
        <v>182</v>
      </c>
      <c r="S103" s="78" t="s">
        <v>252</v>
      </c>
      <c r="T103" s="80">
        <v>45292</v>
      </c>
      <c r="U103" s="80" t="s">
        <v>1007</v>
      </c>
      <c r="V103" s="74"/>
      <c r="W103" s="74"/>
      <c r="X103" s="74"/>
      <c r="Y103" s="74"/>
      <c r="Z103" s="78"/>
      <c r="AA103" s="287">
        <v>1</v>
      </c>
      <c r="AB103" s="287">
        <v>1</v>
      </c>
      <c r="AC103" s="121">
        <v>1</v>
      </c>
      <c r="AD103" s="75">
        <v>1</v>
      </c>
      <c r="AE103" s="79">
        <v>1</v>
      </c>
      <c r="AF103" s="112">
        <v>1</v>
      </c>
      <c r="AG103" s="112">
        <v>1</v>
      </c>
      <c r="AH103" s="112">
        <v>1</v>
      </c>
      <c r="AI103" s="82">
        <v>1</v>
      </c>
      <c r="AJ103" s="79">
        <v>1</v>
      </c>
      <c r="AK103" s="287">
        <v>1</v>
      </c>
      <c r="AL103" s="288">
        <v>1</v>
      </c>
      <c r="AM103" s="288">
        <v>1</v>
      </c>
      <c r="AN103" s="289">
        <v>1</v>
      </c>
      <c r="AO103" s="177">
        <v>1</v>
      </c>
      <c r="AP103" s="79">
        <v>1</v>
      </c>
      <c r="AQ103" s="84"/>
      <c r="AR103" s="84"/>
      <c r="AS103" s="84"/>
      <c r="AT103" s="84"/>
      <c r="AU103" s="84"/>
      <c r="AV103" s="84"/>
      <c r="AW103" s="84"/>
      <c r="AX103" s="84"/>
      <c r="AY103" s="84"/>
      <c r="AZ103" s="86"/>
      <c r="BA103" s="83">
        <v>1</v>
      </c>
      <c r="BB103" s="84" t="s">
        <v>1008</v>
      </c>
      <c r="BC103" s="83">
        <v>0.42</v>
      </c>
      <c r="BD103" s="84" t="s">
        <v>1009</v>
      </c>
      <c r="BE103" s="83">
        <f>(1+0.44+0.56+0.54+0.4+0.4+0.52+0.2+1+0.12)/10</f>
        <v>0.51800000000000002</v>
      </c>
      <c r="BF103" s="84" t="s">
        <v>1010</v>
      </c>
      <c r="BG103" s="83">
        <v>0.77</v>
      </c>
      <c r="BH103" s="83" t="s">
        <v>1011</v>
      </c>
      <c r="BI103" s="83">
        <v>0.68</v>
      </c>
      <c r="BJ103" s="87" t="s">
        <v>1012</v>
      </c>
      <c r="BK103" s="85">
        <f>2/2</f>
        <v>1</v>
      </c>
      <c r="BL103" s="86" t="s">
        <v>1013</v>
      </c>
      <c r="BM103" s="85">
        <v>1</v>
      </c>
      <c r="BN103" s="86" t="s">
        <v>1014</v>
      </c>
      <c r="BO103" s="85">
        <v>0.9375</v>
      </c>
      <c r="BP103" s="86" t="s">
        <v>1015</v>
      </c>
      <c r="BQ103" s="84"/>
      <c r="BR103" s="84"/>
      <c r="BS103" s="83">
        <v>0.97919999999999996</v>
      </c>
      <c r="BT103" s="84"/>
      <c r="BU103" s="84"/>
      <c r="BV103" s="84"/>
      <c r="BW103" s="84"/>
      <c r="BX103" s="84"/>
      <c r="BY103" s="84"/>
      <c r="BZ103" s="84"/>
      <c r="CA103" s="84"/>
      <c r="CB103" s="84"/>
      <c r="CC103" s="84"/>
      <c r="CD103" s="84"/>
      <c r="CE103" s="85"/>
      <c r="CF103" s="84"/>
      <c r="CG103" s="290">
        <f>+SUM(DH103:DH110)</f>
        <v>1500000000.0250003</v>
      </c>
      <c r="CH103" s="88"/>
      <c r="CI103" s="88"/>
      <c r="CJ103" s="83">
        <f t="shared" ref="CJ103:CJ164" si="28">+IFERROR(CH103/CG103,"No aplica")</f>
        <v>0</v>
      </c>
      <c r="CK103" s="83">
        <f t="shared" ref="CK103:CK164" si="29">+IFERROR(CI103/CG103,"No aplica")</f>
        <v>0</v>
      </c>
      <c r="CL103" s="83" t="str">
        <f t="shared" si="16"/>
        <v>No se reportó avance</v>
      </c>
      <c r="CM103" s="89" t="str">
        <f t="shared" si="17"/>
        <v>No se reportó avance</v>
      </c>
      <c r="CN103" s="89" t="str">
        <f t="shared" si="18"/>
        <v>No se reportó avance</v>
      </c>
      <c r="CO103" s="145">
        <v>1.1000000000000001</v>
      </c>
      <c r="CP103" s="146" t="s">
        <v>1016</v>
      </c>
      <c r="CQ103" s="145" t="s">
        <v>1017</v>
      </c>
      <c r="CR103" s="145" t="s">
        <v>1018</v>
      </c>
      <c r="CS103" s="145" t="s">
        <v>1019</v>
      </c>
      <c r="CT103" s="145" t="s">
        <v>161</v>
      </c>
      <c r="CU103" s="145" t="s">
        <v>233</v>
      </c>
      <c r="CV103" s="145" t="s">
        <v>182</v>
      </c>
      <c r="CW103" s="145" t="s">
        <v>234</v>
      </c>
      <c r="CX103" s="663">
        <v>46037</v>
      </c>
      <c r="CY103" s="663">
        <v>46387</v>
      </c>
      <c r="CZ103" s="145">
        <v>2</v>
      </c>
      <c r="DA103" s="145">
        <v>2</v>
      </c>
      <c r="DB103" s="145">
        <v>0</v>
      </c>
      <c r="DC103" s="145">
        <v>0</v>
      </c>
      <c r="DD103" s="292">
        <f t="shared" ref="DD103:DD106" si="30">SUM(CZ103:DC103)</f>
        <v>4</v>
      </c>
      <c r="DE103" s="145" t="s">
        <v>265</v>
      </c>
      <c r="DF103" s="725" t="s">
        <v>1020</v>
      </c>
      <c r="DG103" s="725" t="s">
        <v>1021</v>
      </c>
      <c r="DH103" s="800">
        <v>214604045.39297628</v>
      </c>
      <c r="DI103" s="725" t="s">
        <v>1022</v>
      </c>
      <c r="DJ103" s="725" t="s">
        <v>1023</v>
      </c>
      <c r="DK103" s="725" t="s">
        <v>1024</v>
      </c>
      <c r="DL103" s="725" t="s">
        <v>1025</v>
      </c>
      <c r="DM103" s="145"/>
      <c r="DN103" s="145"/>
      <c r="DO103" s="677"/>
      <c r="DP103" s="293"/>
      <c r="DQ103" s="677"/>
      <c r="DR103" s="677"/>
      <c r="DS103" s="145"/>
      <c r="DT103" s="677"/>
      <c r="DU103" s="145"/>
      <c r="DV103" s="677"/>
      <c r="DW103" s="677"/>
      <c r="DX103" s="145"/>
      <c r="DY103" s="677"/>
      <c r="DZ103" s="145"/>
      <c r="EA103" s="677"/>
      <c r="EB103" s="677"/>
      <c r="EC103" s="145"/>
      <c r="ED103" s="145"/>
      <c r="EE103" s="145"/>
      <c r="EF103" s="145"/>
      <c r="EG103" s="145"/>
      <c r="EH103" s="145"/>
      <c r="EI103" s="84"/>
      <c r="EJ103" s="84"/>
      <c r="EK103" s="131"/>
      <c r="EL103" s="91" t="str">
        <f t="shared" si="19"/>
        <v>No se reportó avance</v>
      </c>
      <c r="EM103" s="83" t="str">
        <f t="shared" si="20"/>
        <v>No se reportó avance</v>
      </c>
      <c r="EN103" s="153"/>
      <c r="EO103" s="93" t="str">
        <f t="shared" ref="EO103:EO110" si="31">+IF(OR(P103="Producto",P103="Resultado",P103="Impacto"),"Producto",P103)</f>
        <v>Gestión</v>
      </c>
      <c r="EP103" s="93" t="str">
        <f t="shared" ref="EP103:EP110" si="32">+MID(J103,1,1)</f>
        <v>2</v>
      </c>
    </row>
    <row r="104" spans="1:146" s="93" customFormat="1" ht="60" customHeight="1">
      <c r="A104" s="84" t="s">
        <v>995</v>
      </c>
      <c r="B104" s="85" t="s">
        <v>4684</v>
      </c>
      <c r="C104" s="84" t="s">
        <v>996</v>
      </c>
      <c r="D104" s="84" t="s">
        <v>997</v>
      </c>
      <c r="E104" s="84" t="s">
        <v>998</v>
      </c>
      <c r="F104" s="84" t="s">
        <v>999</v>
      </c>
      <c r="G104" s="84" t="s">
        <v>1000</v>
      </c>
      <c r="H104" s="84" t="s">
        <v>1001</v>
      </c>
      <c r="I104" s="84" t="s">
        <v>1002</v>
      </c>
      <c r="J104" s="84" t="s">
        <v>729</v>
      </c>
      <c r="K104" s="84" t="s">
        <v>1003</v>
      </c>
      <c r="L104" s="84">
        <v>1</v>
      </c>
      <c r="M104" s="84" t="s">
        <v>1004</v>
      </c>
      <c r="N104" s="84" t="s">
        <v>1005</v>
      </c>
      <c r="O104" s="84" t="s">
        <v>1006</v>
      </c>
      <c r="P104" s="84" t="s">
        <v>200</v>
      </c>
      <c r="Q104" s="84" t="s">
        <v>162</v>
      </c>
      <c r="R104" s="84" t="s">
        <v>182</v>
      </c>
      <c r="S104" s="84" t="s">
        <v>252</v>
      </c>
      <c r="T104" s="90">
        <v>45292</v>
      </c>
      <c r="U104" s="90" t="s">
        <v>1007</v>
      </c>
      <c r="V104" s="84"/>
      <c r="W104" s="84"/>
      <c r="X104" s="84"/>
      <c r="Y104" s="84"/>
      <c r="Z104" s="84"/>
      <c r="AA104" s="84"/>
      <c r="AB104" s="84"/>
      <c r="AC104" s="84"/>
      <c r="AD104" s="84"/>
      <c r="AE104" s="84"/>
      <c r="AF104" s="83"/>
      <c r="AG104" s="83"/>
      <c r="AH104" s="83"/>
      <c r="AI104" s="83"/>
      <c r="AJ104" s="83"/>
      <c r="AK104" s="84"/>
      <c r="AL104" s="145"/>
      <c r="AM104" s="145"/>
      <c r="AN104" s="145"/>
      <c r="AO104" s="145"/>
      <c r="AP104" s="84"/>
      <c r="AQ104" s="84"/>
      <c r="AR104" s="84"/>
      <c r="AS104" s="84"/>
      <c r="AT104" s="84"/>
      <c r="AU104" s="84"/>
      <c r="AV104" s="84"/>
      <c r="AW104" s="84"/>
      <c r="AX104" s="84"/>
      <c r="AY104" s="84"/>
      <c r="AZ104" s="86"/>
      <c r="BA104" s="84"/>
      <c r="BB104" s="84"/>
      <c r="BC104" s="84"/>
      <c r="BD104" s="84"/>
      <c r="BE104" s="84"/>
      <c r="BF104" s="84"/>
      <c r="BG104" s="84"/>
      <c r="BH104" s="84"/>
      <c r="BI104" s="84"/>
      <c r="BJ104" s="86"/>
      <c r="BK104" s="84"/>
      <c r="BL104" s="86"/>
      <c r="BM104" s="84"/>
      <c r="BN104" s="86"/>
      <c r="BO104" s="84"/>
      <c r="BP104" s="86"/>
      <c r="BQ104" s="84"/>
      <c r="BR104" s="84"/>
      <c r="BS104" s="84"/>
      <c r="BT104" s="84"/>
      <c r="BU104" s="84"/>
      <c r="BV104" s="84"/>
      <c r="BW104" s="84"/>
      <c r="BX104" s="84"/>
      <c r="BY104" s="84"/>
      <c r="BZ104" s="84"/>
      <c r="CA104" s="84"/>
      <c r="CB104" s="84"/>
      <c r="CC104" s="84"/>
      <c r="CD104" s="84"/>
      <c r="CE104" s="84"/>
      <c r="CF104" s="84"/>
      <c r="CG104" s="793"/>
      <c r="CH104" s="155"/>
      <c r="CI104" s="84"/>
      <c r="CJ104" s="83" t="str">
        <f t="shared" si="28"/>
        <v>No aplica</v>
      </c>
      <c r="CK104" s="83" t="str">
        <f t="shared" si="29"/>
        <v>No aplica</v>
      </c>
      <c r="CL104" s="83" t="str">
        <f t="shared" si="16"/>
        <v>No requiere reporte</v>
      </c>
      <c r="CM104" s="89" t="str">
        <f t="shared" si="17"/>
        <v>No requiere reporte</v>
      </c>
      <c r="CN104" s="89" t="str">
        <f t="shared" si="18"/>
        <v>No requiere reporte</v>
      </c>
      <c r="CO104" s="145">
        <v>1.2</v>
      </c>
      <c r="CP104" s="146" t="s">
        <v>1026</v>
      </c>
      <c r="CQ104" s="145" t="s">
        <v>1017</v>
      </c>
      <c r="CR104" s="145" t="s">
        <v>1027</v>
      </c>
      <c r="CS104" s="145" t="s">
        <v>1019</v>
      </c>
      <c r="CT104" s="145" t="s">
        <v>161</v>
      </c>
      <c r="CU104" s="145" t="s">
        <v>233</v>
      </c>
      <c r="CV104" s="145" t="s">
        <v>182</v>
      </c>
      <c r="CW104" s="145" t="s">
        <v>234</v>
      </c>
      <c r="CX104" s="663">
        <v>46037</v>
      </c>
      <c r="CY104" s="663">
        <v>46387</v>
      </c>
      <c r="CZ104" s="145">
        <v>0</v>
      </c>
      <c r="DA104" s="145">
        <v>0</v>
      </c>
      <c r="DB104" s="145">
        <v>1</v>
      </c>
      <c r="DC104" s="145">
        <v>1</v>
      </c>
      <c r="DD104" s="292">
        <f t="shared" si="30"/>
        <v>2</v>
      </c>
      <c r="DE104" s="145" t="s">
        <v>265</v>
      </c>
      <c r="DF104" s="725" t="s">
        <v>1020</v>
      </c>
      <c r="DG104" s="725" t="s">
        <v>1021</v>
      </c>
      <c r="DH104" s="800">
        <v>253631112</v>
      </c>
      <c r="DI104" s="725" t="s">
        <v>1022</v>
      </c>
      <c r="DJ104" s="725" t="s">
        <v>1023</v>
      </c>
      <c r="DK104" s="725" t="s">
        <v>1024</v>
      </c>
      <c r="DL104" s="725" t="s">
        <v>1025</v>
      </c>
      <c r="DM104" s="145"/>
      <c r="DN104" s="145"/>
      <c r="DO104" s="677"/>
      <c r="DP104" s="145"/>
      <c r="DQ104" s="677"/>
      <c r="DR104" s="677"/>
      <c r="DS104" s="145"/>
      <c r="DT104" s="677"/>
      <c r="DU104" s="145"/>
      <c r="DV104" s="677"/>
      <c r="DW104" s="677"/>
      <c r="DX104" s="145"/>
      <c r="DY104" s="677"/>
      <c r="DZ104" s="145"/>
      <c r="EA104" s="677"/>
      <c r="EB104" s="677"/>
      <c r="EC104" s="145"/>
      <c r="ED104" s="145"/>
      <c r="EE104" s="145"/>
      <c r="EF104" s="145"/>
      <c r="EG104" s="145"/>
      <c r="EH104" s="145"/>
      <c r="EI104" s="84"/>
      <c r="EJ104" s="84"/>
      <c r="EK104" s="131"/>
      <c r="EL104" s="91" t="str">
        <f t="shared" si="19"/>
        <v>No aplica, no hay meta</v>
      </c>
      <c r="EM104" s="83" t="str">
        <f t="shared" si="20"/>
        <v>No se reportó avance</v>
      </c>
      <c r="EN104" s="153"/>
      <c r="EO104" s="93" t="str">
        <f t="shared" si="31"/>
        <v>Gestión</v>
      </c>
      <c r="EP104" s="93" t="str">
        <f t="shared" si="32"/>
        <v>2</v>
      </c>
    </row>
    <row r="105" spans="1:146" s="93" customFormat="1" ht="60" customHeight="1">
      <c r="A105" s="84" t="s">
        <v>995</v>
      </c>
      <c r="B105" s="85" t="s">
        <v>4684</v>
      </c>
      <c r="C105" s="84" t="s">
        <v>996</v>
      </c>
      <c r="D105" s="84" t="s">
        <v>997</v>
      </c>
      <c r="E105" s="84" t="s">
        <v>998</v>
      </c>
      <c r="F105" s="84" t="s">
        <v>999</v>
      </c>
      <c r="G105" s="84" t="s">
        <v>1000</v>
      </c>
      <c r="H105" s="84" t="s">
        <v>1001</v>
      </c>
      <c r="I105" s="84" t="s">
        <v>1002</v>
      </c>
      <c r="J105" s="84" t="s">
        <v>729</v>
      </c>
      <c r="K105" s="84" t="s">
        <v>1003</v>
      </c>
      <c r="L105" s="84">
        <v>1</v>
      </c>
      <c r="M105" s="84" t="s">
        <v>1004</v>
      </c>
      <c r="N105" s="84" t="s">
        <v>1005</v>
      </c>
      <c r="O105" s="84" t="s">
        <v>1006</v>
      </c>
      <c r="P105" s="84" t="s">
        <v>200</v>
      </c>
      <c r="Q105" s="84" t="s">
        <v>162</v>
      </c>
      <c r="R105" s="84" t="s">
        <v>182</v>
      </c>
      <c r="S105" s="84" t="s">
        <v>252</v>
      </c>
      <c r="T105" s="90">
        <v>45292</v>
      </c>
      <c r="U105" s="90" t="s">
        <v>1007</v>
      </c>
      <c r="V105" s="84"/>
      <c r="W105" s="84"/>
      <c r="X105" s="84"/>
      <c r="Y105" s="84"/>
      <c r="Z105" s="84"/>
      <c r="AA105" s="84"/>
      <c r="AB105" s="84"/>
      <c r="AC105" s="84"/>
      <c r="AD105" s="84"/>
      <c r="AE105" s="84"/>
      <c r="AF105" s="83"/>
      <c r="AG105" s="83"/>
      <c r="AH105" s="83"/>
      <c r="AI105" s="83"/>
      <c r="AJ105" s="83"/>
      <c r="AK105" s="84"/>
      <c r="AL105" s="145"/>
      <c r="AM105" s="145"/>
      <c r="AN105" s="145"/>
      <c r="AO105" s="145"/>
      <c r="AP105" s="84"/>
      <c r="AQ105" s="84"/>
      <c r="AR105" s="84"/>
      <c r="AS105" s="84"/>
      <c r="AT105" s="84"/>
      <c r="AU105" s="84"/>
      <c r="AV105" s="84"/>
      <c r="AW105" s="84"/>
      <c r="AX105" s="84"/>
      <c r="AY105" s="84"/>
      <c r="AZ105" s="86"/>
      <c r="BA105" s="84"/>
      <c r="BB105" s="84"/>
      <c r="BC105" s="84"/>
      <c r="BD105" s="84"/>
      <c r="BE105" s="84"/>
      <c r="BF105" s="84"/>
      <c r="BG105" s="84"/>
      <c r="BH105" s="84"/>
      <c r="BI105" s="84"/>
      <c r="BJ105" s="86"/>
      <c r="BK105" s="85"/>
      <c r="BL105" s="86"/>
      <c r="BM105" s="84"/>
      <c r="BN105" s="86"/>
      <c r="BO105" s="84"/>
      <c r="BP105" s="86"/>
      <c r="BQ105" s="84"/>
      <c r="BR105" s="84"/>
      <c r="BS105" s="84"/>
      <c r="BT105" s="84"/>
      <c r="BU105" s="84"/>
      <c r="BV105" s="84"/>
      <c r="BW105" s="84"/>
      <c r="BX105" s="84"/>
      <c r="BY105" s="84"/>
      <c r="BZ105" s="84"/>
      <c r="CA105" s="84"/>
      <c r="CB105" s="84"/>
      <c r="CC105" s="84"/>
      <c r="CD105" s="84"/>
      <c r="CE105" s="84"/>
      <c r="CF105" s="84"/>
      <c r="CG105" s="793"/>
      <c r="CH105" s="155"/>
      <c r="CI105" s="84"/>
      <c r="CJ105" s="83" t="str">
        <f t="shared" si="28"/>
        <v>No aplica</v>
      </c>
      <c r="CK105" s="83" t="str">
        <f t="shared" si="29"/>
        <v>No aplica</v>
      </c>
      <c r="CL105" s="83" t="str">
        <f t="shared" si="16"/>
        <v>No requiere reporte</v>
      </c>
      <c r="CM105" s="89" t="str">
        <f t="shared" si="17"/>
        <v>No requiere reporte</v>
      </c>
      <c r="CN105" s="89" t="str">
        <f t="shared" si="18"/>
        <v>No requiere reporte</v>
      </c>
      <c r="CO105" s="145">
        <v>1.3</v>
      </c>
      <c r="CP105" s="146" t="s">
        <v>1028</v>
      </c>
      <c r="CQ105" s="145" t="s">
        <v>1017</v>
      </c>
      <c r="CR105" s="145" t="s">
        <v>1029</v>
      </c>
      <c r="CS105" s="145" t="s">
        <v>1019</v>
      </c>
      <c r="CT105" s="145" t="s">
        <v>161</v>
      </c>
      <c r="CU105" s="145" t="s">
        <v>233</v>
      </c>
      <c r="CV105" s="145" t="s">
        <v>182</v>
      </c>
      <c r="CW105" s="145" t="s">
        <v>234</v>
      </c>
      <c r="CX105" s="663">
        <v>46037</v>
      </c>
      <c r="CY105" s="663">
        <v>46387</v>
      </c>
      <c r="CZ105" s="145">
        <v>1</v>
      </c>
      <c r="DA105" s="145">
        <v>0</v>
      </c>
      <c r="DB105" s="145">
        <v>0</v>
      </c>
      <c r="DC105" s="145">
        <v>0</v>
      </c>
      <c r="DD105" s="292">
        <f t="shared" si="30"/>
        <v>1</v>
      </c>
      <c r="DE105" s="145" t="s">
        <v>265</v>
      </c>
      <c r="DF105" s="725" t="s">
        <v>1020</v>
      </c>
      <c r="DG105" s="725" t="s">
        <v>1021</v>
      </c>
      <c r="DH105" s="800">
        <v>200023883</v>
      </c>
      <c r="DI105" s="725" t="s">
        <v>1022</v>
      </c>
      <c r="DJ105" s="725" t="s">
        <v>1023</v>
      </c>
      <c r="DK105" s="725" t="s">
        <v>1024</v>
      </c>
      <c r="DL105" s="725" t="s">
        <v>1025</v>
      </c>
      <c r="DM105" s="145"/>
      <c r="DN105" s="145"/>
      <c r="DO105" s="677"/>
      <c r="DP105" s="293"/>
      <c r="DQ105" s="677"/>
      <c r="DR105" s="677"/>
      <c r="DS105" s="145"/>
      <c r="DT105" s="677"/>
      <c r="DU105" s="145"/>
      <c r="DV105" s="677"/>
      <c r="DW105" s="677"/>
      <c r="DX105" s="145"/>
      <c r="DY105" s="677"/>
      <c r="DZ105" s="145"/>
      <c r="EA105" s="677"/>
      <c r="EB105" s="677"/>
      <c r="EC105" s="145"/>
      <c r="ED105" s="145"/>
      <c r="EE105" s="145"/>
      <c r="EF105" s="145"/>
      <c r="EG105" s="145"/>
      <c r="EH105" s="145"/>
      <c r="EI105" s="84"/>
      <c r="EJ105" s="84"/>
      <c r="EK105" s="131"/>
      <c r="EL105" s="91" t="str">
        <f t="shared" si="19"/>
        <v>No se reportó avance</v>
      </c>
      <c r="EM105" s="83" t="str">
        <f t="shared" si="20"/>
        <v>No se reportó avance</v>
      </c>
      <c r="EN105" s="153"/>
      <c r="EO105" s="93" t="str">
        <f t="shared" si="31"/>
        <v>Gestión</v>
      </c>
      <c r="EP105" s="93" t="str">
        <f t="shared" si="32"/>
        <v>2</v>
      </c>
    </row>
    <row r="106" spans="1:146" s="93" customFormat="1" ht="60" customHeight="1">
      <c r="A106" s="84" t="s">
        <v>995</v>
      </c>
      <c r="B106" s="85" t="s">
        <v>4684</v>
      </c>
      <c r="C106" s="84" t="s">
        <v>996</v>
      </c>
      <c r="D106" s="84" t="s">
        <v>997</v>
      </c>
      <c r="E106" s="84" t="s">
        <v>998</v>
      </c>
      <c r="F106" s="84" t="s">
        <v>999</v>
      </c>
      <c r="G106" s="84" t="s">
        <v>1000</v>
      </c>
      <c r="H106" s="84" t="s">
        <v>1001</v>
      </c>
      <c r="I106" s="84" t="s">
        <v>1002</v>
      </c>
      <c r="J106" s="84" t="s">
        <v>729</v>
      </c>
      <c r="K106" s="84" t="s">
        <v>1003</v>
      </c>
      <c r="L106" s="84">
        <v>1</v>
      </c>
      <c r="M106" s="84" t="s">
        <v>1004</v>
      </c>
      <c r="N106" s="84" t="s">
        <v>1005</v>
      </c>
      <c r="O106" s="84" t="s">
        <v>1006</v>
      </c>
      <c r="P106" s="84" t="s">
        <v>200</v>
      </c>
      <c r="Q106" s="84" t="s">
        <v>162</v>
      </c>
      <c r="R106" s="84" t="s">
        <v>182</v>
      </c>
      <c r="S106" s="84" t="s">
        <v>252</v>
      </c>
      <c r="T106" s="90">
        <v>45292</v>
      </c>
      <c r="U106" s="90" t="s">
        <v>1007</v>
      </c>
      <c r="V106" s="84"/>
      <c r="W106" s="84"/>
      <c r="X106" s="84"/>
      <c r="Y106" s="84"/>
      <c r="Z106" s="84"/>
      <c r="AA106" s="84"/>
      <c r="AB106" s="84"/>
      <c r="AC106" s="84"/>
      <c r="AD106" s="84"/>
      <c r="AE106" s="84"/>
      <c r="AF106" s="83"/>
      <c r="AG106" s="83"/>
      <c r="AH106" s="83"/>
      <c r="AI106" s="83"/>
      <c r="AJ106" s="83"/>
      <c r="AK106" s="84"/>
      <c r="AL106" s="145"/>
      <c r="AM106" s="145"/>
      <c r="AN106" s="145"/>
      <c r="AO106" s="145"/>
      <c r="AP106" s="84"/>
      <c r="AQ106" s="84"/>
      <c r="AR106" s="84"/>
      <c r="AS106" s="84"/>
      <c r="AT106" s="84"/>
      <c r="AU106" s="84"/>
      <c r="AV106" s="84"/>
      <c r="AW106" s="84"/>
      <c r="AX106" s="84"/>
      <c r="AY106" s="84"/>
      <c r="AZ106" s="86"/>
      <c r="BA106" s="84"/>
      <c r="BB106" s="84"/>
      <c r="BC106" s="84"/>
      <c r="BD106" s="84"/>
      <c r="BE106" s="84"/>
      <c r="BF106" s="84"/>
      <c r="BG106" s="84"/>
      <c r="BH106" s="84"/>
      <c r="BI106" s="84"/>
      <c r="BJ106" s="86"/>
      <c r="BK106" s="84"/>
      <c r="BL106" s="86"/>
      <c r="BM106" s="84"/>
      <c r="BN106" s="86"/>
      <c r="BO106" s="84"/>
      <c r="BP106" s="86"/>
      <c r="BQ106" s="84"/>
      <c r="BR106" s="84"/>
      <c r="BS106" s="84"/>
      <c r="BT106" s="84"/>
      <c r="BU106" s="84"/>
      <c r="BV106" s="84"/>
      <c r="BW106" s="84"/>
      <c r="BX106" s="84"/>
      <c r="BY106" s="84"/>
      <c r="BZ106" s="84"/>
      <c r="CA106" s="84"/>
      <c r="CB106" s="84"/>
      <c r="CC106" s="84"/>
      <c r="CD106" s="84"/>
      <c r="CE106" s="84"/>
      <c r="CF106" s="84"/>
      <c r="CG106" s="793"/>
      <c r="CH106" s="155"/>
      <c r="CI106" s="84"/>
      <c r="CJ106" s="83" t="str">
        <f t="shared" si="28"/>
        <v>No aplica</v>
      </c>
      <c r="CK106" s="83" t="str">
        <f t="shared" si="29"/>
        <v>No aplica</v>
      </c>
      <c r="CL106" s="83" t="str">
        <f t="shared" si="16"/>
        <v>No requiere reporte</v>
      </c>
      <c r="CM106" s="89" t="str">
        <f t="shared" si="17"/>
        <v>No requiere reporte</v>
      </c>
      <c r="CN106" s="89" t="str">
        <f t="shared" si="18"/>
        <v>No requiere reporte</v>
      </c>
      <c r="CO106" s="145">
        <v>1.4</v>
      </c>
      <c r="CP106" s="146" t="s">
        <v>1030</v>
      </c>
      <c r="CQ106" s="145" t="s">
        <v>1031</v>
      </c>
      <c r="CR106" s="178" t="s">
        <v>1032</v>
      </c>
      <c r="CS106" s="178" t="s">
        <v>1033</v>
      </c>
      <c r="CT106" s="145" t="s">
        <v>161</v>
      </c>
      <c r="CU106" s="145" t="s">
        <v>233</v>
      </c>
      <c r="CV106" s="145" t="s">
        <v>182</v>
      </c>
      <c r="CW106" s="145" t="s">
        <v>234</v>
      </c>
      <c r="CX106" s="663">
        <v>46037</v>
      </c>
      <c r="CY106" s="663">
        <v>46387</v>
      </c>
      <c r="CZ106" s="145">
        <v>2</v>
      </c>
      <c r="DA106" s="145">
        <v>3</v>
      </c>
      <c r="DB106" s="145">
        <v>3</v>
      </c>
      <c r="DC106" s="145">
        <v>4</v>
      </c>
      <c r="DD106" s="292">
        <f t="shared" si="30"/>
        <v>12</v>
      </c>
      <c r="DE106" s="145" t="s">
        <v>265</v>
      </c>
      <c r="DF106" s="725" t="s">
        <v>1020</v>
      </c>
      <c r="DG106" s="725" t="s">
        <v>1021</v>
      </c>
      <c r="DH106" s="147">
        <v>171998855.39999998</v>
      </c>
      <c r="DI106" s="725" t="s">
        <v>1022</v>
      </c>
      <c r="DJ106" s="725" t="s">
        <v>1023</v>
      </c>
      <c r="DK106" s="725" t="s">
        <v>1024</v>
      </c>
      <c r="DL106" s="725" t="s">
        <v>1025</v>
      </c>
      <c r="DM106" s="145"/>
      <c r="DN106" s="145"/>
      <c r="DO106" s="677"/>
      <c r="DP106" s="145"/>
      <c r="DQ106" s="677"/>
      <c r="DR106" s="677"/>
      <c r="DS106" s="145"/>
      <c r="DT106" s="677"/>
      <c r="DU106" s="145"/>
      <c r="DV106" s="677"/>
      <c r="DW106" s="677"/>
      <c r="DX106" s="145"/>
      <c r="DY106" s="677"/>
      <c r="DZ106" s="145"/>
      <c r="EA106" s="677"/>
      <c r="EB106" s="677"/>
      <c r="EC106" s="145"/>
      <c r="ED106" s="145"/>
      <c r="EE106" s="145"/>
      <c r="EF106" s="145"/>
      <c r="EG106" s="145"/>
      <c r="EH106" s="145"/>
      <c r="EI106" s="84"/>
      <c r="EJ106" s="84"/>
      <c r="EK106" s="131"/>
      <c r="EL106" s="91" t="str">
        <f t="shared" si="19"/>
        <v>No se reportó avance</v>
      </c>
      <c r="EM106" s="83" t="str">
        <f t="shared" si="20"/>
        <v>No se reportó avance</v>
      </c>
      <c r="EN106" s="153"/>
      <c r="EO106" s="93" t="str">
        <f t="shared" si="31"/>
        <v>Gestión</v>
      </c>
      <c r="EP106" s="93" t="str">
        <f t="shared" si="32"/>
        <v>2</v>
      </c>
    </row>
    <row r="107" spans="1:146" s="93" customFormat="1" ht="60" customHeight="1">
      <c r="A107" s="84" t="s">
        <v>995</v>
      </c>
      <c r="B107" s="85" t="s">
        <v>4684</v>
      </c>
      <c r="C107" s="84" t="s">
        <v>996</v>
      </c>
      <c r="D107" s="84" t="s">
        <v>997</v>
      </c>
      <c r="E107" s="84" t="s">
        <v>998</v>
      </c>
      <c r="F107" s="84" t="s">
        <v>999</v>
      </c>
      <c r="G107" s="84" t="s">
        <v>1000</v>
      </c>
      <c r="H107" s="84" t="s">
        <v>1001</v>
      </c>
      <c r="I107" s="84" t="s">
        <v>1002</v>
      </c>
      <c r="J107" s="84" t="s">
        <v>729</v>
      </c>
      <c r="K107" s="84" t="s">
        <v>1003</v>
      </c>
      <c r="L107" s="84">
        <v>1</v>
      </c>
      <c r="M107" s="84" t="s">
        <v>1004</v>
      </c>
      <c r="N107" s="84" t="s">
        <v>1005</v>
      </c>
      <c r="O107" s="84" t="s">
        <v>1006</v>
      </c>
      <c r="P107" s="84" t="s">
        <v>200</v>
      </c>
      <c r="Q107" s="84" t="s">
        <v>162</v>
      </c>
      <c r="R107" s="84" t="s">
        <v>182</v>
      </c>
      <c r="S107" s="84" t="s">
        <v>252</v>
      </c>
      <c r="T107" s="90">
        <v>45292</v>
      </c>
      <c r="U107" s="90" t="s">
        <v>1007</v>
      </c>
      <c r="V107" s="84"/>
      <c r="W107" s="84"/>
      <c r="X107" s="84"/>
      <c r="Y107" s="84"/>
      <c r="Z107" s="84"/>
      <c r="AA107" s="84"/>
      <c r="AB107" s="84"/>
      <c r="AC107" s="84"/>
      <c r="AD107" s="84"/>
      <c r="AE107" s="84"/>
      <c r="AF107" s="83"/>
      <c r="AG107" s="83"/>
      <c r="AH107" s="83"/>
      <c r="AI107" s="83"/>
      <c r="AJ107" s="83"/>
      <c r="AK107" s="84"/>
      <c r="AL107" s="145"/>
      <c r="AM107" s="145"/>
      <c r="AN107" s="145"/>
      <c r="AO107" s="145"/>
      <c r="AP107" s="84"/>
      <c r="AQ107" s="84"/>
      <c r="AR107" s="84"/>
      <c r="AS107" s="84"/>
      <c r="AT107" s="84"/>
      <c r="AU107" s="84"/>
      <c r="AV107" s="84"/>
      <c r="AW107" s="84"/>
      <c r="AX107" s="84"/>
      <c r="AY107" s="84"/>
      <c r="AZ107" s="86"/>
      <c r="BA107" s="84"/>
      <c r="BB107" s="84"/>
      <c r="BC107" s="84"/>
      <c r="BD107" s="84"/>
      <c r="BE107" s="84"/>
      <c r="BF107" s="84"/>
      <c r="BG107" s="84"/>
      <c r="BH107" s="84"/>
      <c r="BI107" s="84"/>
      <c r="BJ107" s="86"/>
      <c r="BK107" s="84"/>
      <c r="BL107" s="86"/>
      <c r="BM107" s="84"/>
      <c r="BN107" s="86"/>
      <c r="BO107" s="84"/>
      <c r="BP107" s="86"/>
      <c r="BQ107" s="84"/>
      <c r="BR107" s="84"/>
      <c r="BS107" s="84"/>
      <c r="BT107" s="84"/>
      <c r="BU107" s="84"/>
      <c r="BV107" s="84"/>
      <c r="BW107" s="84"/>
      <c r="BX107" s="84"/>
      <c r="BY107" s="84"/>
      <c r="BZ107" s="84"/>
      <c r="CA107" s="84"/>
      <c r="CB107" s="84"/>
      <c r="CC107" s="84"/>
      <c r="CD107" s="84"/>
      <c r="CE107" s="84"/>
      <c r="CF107" s="84"/>
      <c r="CG107" s="793"/>
      <c r="CH107" s="155"/>
      <c r="CI107" s="84"/>
      <c r="CJ107" s="83" t="str">
        <f t="shared" si="28"/>
        <v>No aplica</v>
      </c>
      <c r="CK107" s="83" t="str">
        <f t="shared" si="29"/>
        <v>No aplica</v>
      </c>
      <c r="CL107" s="83" t="str">
        <f t="shared" si="16"/>
        <v>No requiere reporte</v>
      </c>
      <c r="CM107" s="89" t="str">
        <f t="shared" si="17"/>
        <v>No requiere reporte</v>
      </c>
      <c r="CN107" s="89" t="str">
        <f t="shared" si="18"/>
        <v>No requiere reporte</v>
      </c>
      <c r="CO107" s="145">
        <v>1.5</v>
      </c>
      <c r="CP107" s="146" t="s">
        <v>1034</v>
      </c>
      <c r="CQ107" s="145" t="s">
        <v>1031</v>
      </c>
      <c r="CR107" s="178" t="s">
        <v>1035</v>
      </c>
      <c r="CS107" s="178" t="s">
        <v>1033</v>
      </c>
      <c r="CT107" s="145" t="s">
        <v>161</v>
      </c>
      <c r="CU107" s="145" t="s">
        <v>233</v>
      </c>
      <c r="CV107" s="145" t="s">
        <v>182</v>
      </c>
      <c r="CW107" s="145" t="s">
        <v>234</v>
      </c>
      <c r="CX107" s="663">
        <v>46037</v>
      </c>
      <c r="CY107" s="663">
        <v>46387</v>
      </c>
      <c r="CZ107" s="145">
        <v>2</v>
      </c>
      <c r="DA107" s="145">
        <v>3</v>
      </c>
      <c r="DB107" s="145">
        <v>3</v>
      </c>
      <c r="DC107" s="145">
        <v>2</v>
      </c>
      <c r="DD107" s="292">
        <f>SUM(CZ107:DC107)</f>
        <v>10</v>
      </c>
      <c r="DE107" s="145" t="s">
        <v>265</v>
      </c>
      <c r="DF107" s="725" t="s">
        <v>1020</v>
      </c>
      <c r="DG107" s="725" t="s">
        <v>1021</v>
      </c>
      <c r="DH107" s="147">
        <v>143332379.47916666</v>
      </c>
      <c r="DI107" s="725" t="s">
        <v>1022</v>
      </c>
      <c r="DJ107" s="725" t="s">
        <v>1023</v>
      </c>
      <c r="DK107" s="725" t="s">
        <v>1024</v>
      </c>
      <c r="DL107" s="725" t="s">
        <v>1025</v>
      </c>
      <c r="DM107" s="145"/>
      <c r="DN107" s="145"/>
      <c r="DO107" s="677"/>
      <c r="DP107" s="145"/>
      <c r="DQ107" s="677"/>
      <c r="DR107" s="677"/>
      <c r="DS107" s="145"/>
      <c r="DT107" s="708"/>
      <c r="DU107" s="145"/>
      <c r="DV107" s="677"/>
      <c r="DW107" s="677"/>
      <c r="DX107" s="145"/>
      <c r="DY107" s="708"/>
      <c r="DZ107" s="145"/>
      <c r="EA107" s="677"/>
      <c r="EB107" s="677"/>
      <c r="EC107" s="145"/>
      <c r="ED107" s="145"/>
      <c r="EE107" s="145"/>
      <c r="EF107" s="145"/>
      <c r="EG107" s="145"/>
      <c r="EH107" s="145"/>
      <c r="EI107" s="84"/>
      <c r="EJ107" s="84"/>
      <c r="EK107" s="131"/>
      <c r="EL107" s="91" t="str">
        <f t="shared" si="19"/>
        <v>No se reportó avance</v>
      </c>
      <c r="EM107" s="83" t="str">
        <f t="shared" si="20"/>
        <v>No se reportó avance</v>
      </c>
      <c r="EN107" s="153"/>
      <c r="EO107" s="93" t="str">
        <f t="shared" si="31"/>
        <v>Gestión</v>
      </c>
      <c r="EP107" s="93" t="str">
        <f t="shared" si="32"/>
        <v>2</v>
      </c>
    </row>
    <row r="108" spans="1:146" s="93" customFormat="1" ht="60" customHeight="1">
      <c r="A108" s="84" t="s">
        <v>995</v>
      </c>
      <c r="B108" s="85" t="s">
        <v>4684</v>
      </c>
      <c r="C108" s="84" t="s">
        <v>996</v>
      </c>
      <c r="D108" s="84" t="s">
        <v>997</v>
      </c>
      <c r="E108" s="84" t="s">
        <v>998</v>
      </c>
      <c r="F108" s="84" t="s">
        <v>999</v>
      </c>
      <c r="G108" s="84" t="s">
        <v>1000</v>
      </c>
      <c r="H108" s="84" t="s">
        <v>1001</v>
      </c>
      <c r="I108" s="84" t="s">
        <v>1002</v>
      </c>
      <c r="J108" s="84" t="s">
        <v>729</v>
      </c>
      <c r="K108" s="84" t="s">
        <v>1003</v>
      </c>
      <c r="L108" s="84">
        <v>1</v>
      </c>
      <c r="M108" s="84" t="s">
        <v>1004</v>
      </c>
      <c r="N108" s="84" t="s">
        <v>1005</v>
      </c>
      <c r="O108" s="84" t="s">
        <v>1006</v>
      </c>
      <c r="P108" s="84" t="s">
        <v>200</v>
      </c>
      <c r="Q108" s="84" t="s">
        <v>162</v>
      </c>
      <c r="R108" s="84" t="s">
        <v>182</v>
      </c>
      <c r="S108" s="84" t="s">
        <v>252</v>
      </c>
      <c r="T108" s="90">
        <v>45292</v>
      </c>
      <c r="U108" s="90" t="s">
        <v>1007</v>
      </c>
      <c r="V108" s="84"/>
      <c r="W108" s="84"/>
      <c r="X108" s="84"/>
      <c r="Y108" s="84"/>
      <c r="Z108" s="84"/>
      <c r="AA108" s="84"/>
      <c r="AB108" s="84"/>
      <c r="AC108" s="84"/>
      <c r="AD108" s="84"/>
      <c r="AE108" s="84"/>
      <c r="AF108" s="83"/>
      <c r="AG108" s="83"/>
      <c r="AH108" s="83"/>
      <c r="AI108" s="83"/>
      <c r="AJ108" s="83"/>
      <c r="AK108" s="84"/>
      <c r="AL108" s="145"/>
      <c r="AM108" s="145"/>
      <c r="AN108" s="145"/>
      <c r="AO108" s="145"/>
      <c r="AP108" s="84"/>
      <c r="AQ108" s="84"/>
      <c r="AR108" s="84"/>
      <c r="AS108" s="84"/>
      <c r="AT108" s="84"/>
      <c r="AU108" s="84"/>
      <c r="AV108" s="84"/>
      <c r="AW108" s="84"/>
      <c r="AX108" s="84"/>
      <c r="AY108" s="84"/>
      <c r="AZ108" s="86"/>
      <c r="BA108" s="84"/>
      <c r="BB108" s="84"/>
      <c r="BC108" s="84"/>
      <c r="BD108" s="84"/>
      <c r="BE108" s="84"/>
      <c r="BF108" s="84"/>
      <c r="BG108" s="84"/>
      <c r="BH108" s="84"/>
      <c r="BI108" s="84"/>
      <c r="BJ108" s="86"/>
      <c r="BK108" s="84"/>
      <c r="BL108" s="86"/>
      <c r="BM108" s="84"/>
      <c r="BN108" s="86"/>
      <c r="BO108" s="84"/>
      <c r="BP108" s="86"/>
      <c r="BQ108" s="84"/>
      <c r="BR108" s="84"/>
      <c r="BS108" s="84"/>
      <c r="BT108" s="84"/>
      <c r="BU108" s="84"/>
      <c r="BV108" s="84"/>
      <c r="BW108" s="84"/>
      <c r="BX108" s="84"/>
      <c r="BY108" s="84"/>
      <c r="BZ108" s="84"/>
      <c r="CA108" s="84"/>
      <c r="CB108" s="84"/>
      <c r="CC108" s="84"/>
      <c r="CD108" s="84"/>
      <c r="CE108" s="84"/>
      <c r="CF108" s="84"/>
      <c r="CG108" s="793"/>
      <c r="CH108" s="155"/>
      <c r="CI108" s="84"/>
      <c r="CJ108" s="83" t="str">
        <f t="shared" si="28"/>
        <v>No aplica</v>
      </c>
      <c r="CK108" s="83" t="str">
        <f t="shared" si="29"/>
        <v>No aplica</v>
      </c>
      <c r="CL108" s="83" t="str">
        <f t="shared" si="16"/>
        <v>No requiere reporte</v>
      </c>
      <c r="CM108" s="89" t="str">
        <f t="shared" si="17"/>
        <v>No requiere reporte</v>
      </c>
      <c r="CN108" s="89" t="str">
        <f t="shared" si="18"/>
        <v>No requiere reporte</v>
      </c>
      <c r="CO108" s="145">
        <v>1.6</v>
      </c>
      <c r="CP108" s="146" t="s">
        <v>1036</v>
      </c>
      <c r="CQ108" s="145" t="s">
        <v>1037</v>
      </c>
      <c r="CR108" s="178" t="s">
        <v>1038</v>
      </c>
      <c r="CS108" s="178" t="s">
        <v>1039</v>
      </c>
      <c r="CT108" s="145" t="s">
        <v>161</v>
      </c>
      <c r="CU108" s="145" t="s">
        <v>233</v>
      </c>
      <c r="CV108" s="145" t="s">
        <v>182</v>
      </c>
      <c r="CW108" s="145" t="s">
        <v>234</v>
      </c>
      <c r="CX108" s="663">
        <v>46037</v>
      </c>
      <c r="CY108" s="663">
        <v>46387</v>
      </c>
      <c r="CZ108" s="145">
        <v>0</v>
      </c>
      <c r="DA108" s="145">
        <v>3</v>
      </c>
      <c r="DB108" s="145">
        <v>4</v>
      </c>
      <c r="DC108" s="145">
        <v>5</v>
      </c>
      <c r="DD108" s="292">
        <f t="shared" ref="DD108:DD110" si="33">SUM(CZ108:DC108)</f>
        <v>12</v>
      </c>
      <c r="DE108" s="145" t="s">
        <v>265</v>
      </c>
      <c r="DF108" s="725" t="s">
        <v>1020</v>
      </c>
      <c r="DG108" s="725" t="s">
        <v>1021</v>
      </c>
      <c r="DH108" s="147">
        <v>186459405.84999999</v>
      </c>
      <c r="DI108" s="725" t="s">
        <v>1022</v>
      </c>
      <c r="DJ108" s="725" t="s">
        <v>1023</v>
      </c>
      <c r="DK108" s="725" t="s">
        <v>1024</v>
      </c>
      <c r="DL108" s="725" t="s">
        <v>1025</v>
      </c>
      <c r="DM108" s="145"/>
      <c r="DN108" s="145"/>
      <c r="DO108" s="677"/>
      <c r="DP108" s="145"/>
      <c r="DQ108" s="677"/>
      <c r="DR108" s="677"/>
      <c r="DS108" s="145"/>
      <c r="DT108" s="708"/>
      <c r="DU108" s="145"/>
      <c r="DV108" s="677"/>
      <c r="DW108" s="677"/>
      <c r="DX108" s="145"/>
      <c r="DY108" s="708"/>
      <c r="DZ108" s="145"/>
      <c r="EA108" s="677"/>
      <c r="EB108" s="677"/>
      <c r="EC108" s="145"/>
      <c r="ED108" s="145"/>
      <c r="EE108" s="145"/>
      <c r="EF108" s="145"/>
      <c r="EG108" s="145"/>
      <c r="EH108" s="145"/>
      <c r="EI108" s="84"/>
      <c r="EJ108" s="84"/>
      <c r="EK108" s="131"/>
      <c r="EL108" s="91" t="str">
        <f t="shared" si="19"/>
        <v>No aplica, no hay meta</v>
      </c>
      <c r="EM108" s="83" t="str">
        <f t="shared" si="20"/>
        <v>No se reportó avance</v>
      </c>
      <c r="EN108" s="153"/>
      <c r="EO108" s="93" t="str">
        <f t="shared" si="31"/>
        <v>Gestión</v>
      </c>
      <c r="EP108" s="93" t="str">
        <f t="shared" si="32"/>
        <v>2</v>
      </c>
    </row>
    <row r="109" spans="1:146" s="93" customFormat="1" ht="60" customHeight="1">
      <c r="A109" s="84" t="s">
        <v>995</v>
      </c>
      <c r="B109" s="85" t="s">
        <v>4684</v>
      </c>
      <c r="C109" s="84" t="s">
        <v>996</v>
      </c>
      <c r="D109" s="84" t="s">
        <v>997</v>
      </c>
      <c r="E109" s="84" t="s">
        <v>998</v>
      </c>
      <c r="F109" s="84" t="s">
        <v>999</v>
      </c>
      <c r="G109" s="84" t="s">
        <v>1000</v>
      </c>
      <c r="H109" s="84" t="s">
        <v>1001</v>
      </c>
      <c r="I109" s="84" t="s">
        <v>1002</v>
      </c>
      <c r="J109" s="84" t="s">
        <v>729</v>
      </c>
      <c r="K109" s="84" t="s">
        <v>1003</v>
      </c>
      <c r="L109" s="84">
        <v>1</v>
      </c>
      <c r="M109" s="84" t="s">
        <v>1004</v>
      </c>
      <c r="N109" s="84" t="s">
        <v>1005</v>
      </c>
      <c r="O109" s="84" t="s">
        <v>1006</v>
      </c>
      <c r="P109" s="84" t="s">
        <v>200</v>
      </c>
      <c r="Q109" s="84" t="s">
        <v>162</v>
      </c>
      <c r="R109" s="85" t="s">
        <v>182</v>
      </c>
      <c r="S109" s="84" t="s">
        <v>252</v>
      </c>
      <c r="T109" s="90">
        <v>45292</v>
      </c>
      <c r="U109" s="90" t="s">
        <v>1007</v>
      </c>
      <c r="V109" s="84"/>
      <c r="W109" s="84"/>
      <c r="X109" s="84"/>
      <c r="Y109" s="84"/>
      <c r="Z109" s="84"/>
      <c r="AA109" s="84"/>
      <c r="AB109" s="84"/>
      <c r="AC109" s="84"/>
      <c r="AD109" s="84"/>
      <c r="AE109" s="84"/>
      <c r="AF109" s="83"/>
      <c r="AG109" s="83"/>
      <c r="AH109" s="83"/>
      <c r="AI109" s="83"/>
      <c r="AJ109" s="83"/>
      <c r="AK109" s="84"/>
      <c r="AL109" s="145"/>
      <c r="AM109" s="145"/>
      <c r="AN109" s="145"/>
      <c r="AO109" s="145"/>
      <c r="AP109" s="84"/>
      <c r="AQ109" s="84"/>
      <c r="AR109" s="84"/>
      <c r="AS109" s="84"/>
      <c r="AT109" s="84"/>
      <c r="AU109" s="84"/>
      <c r="AV109" s="84"/>
      <c r="AW109" s="84"/>
      <c r="AX109" s="84"/>
      <c r="AY109" s="84"/>
      <c r="AZ109" s="86"/>
      <c r="BA109" s="84"/>
      <c r="BB109" s="84"/>
      <c r="BC109" s="84"/>
      <c r="BD109" s="84"/>
      <c r="BE109" s="84"/>
      <c r="BF109" s="84"/>
      <c r="BG109" s="84"/>
      <c r="BH109" s="84"/>
      <c r="BI109" s="84"/>
      <c r="BJ109" s="86"/>
      <c r="BK109" s="84"/>
      <c r="BL109" s="86"/>
      <c r="BM109" s="84"/>
      <c r="BN109" s="86"/>
      <c r="BO109" s="84"/>
      <c r="BP109" s="86"/>
      <c r="BQ109" s="84"/>
      <c r="BR109" s="84"/>
      <c r="BS109" s="84"/>
      <c r="BT109" s="84"/>
      <c r="BU109" s="84"/>
      <c r="BV109" s="84"/>
      <c r="BW109" s="84"/>
      <c r="BX109" s="84"/>
      <c r="BY109" s="84"/>
      <c r="BZ109" s="84"/>
      <c r="CA109" s="84"/>
      <c r="CB109" s="84"/>
      <c r="CC109" s="84"/>
      <c r="CD109" s="84"/>
      <c r="CE109" s="84"/>
      <c r="CF109" s="84"/>
      <c r="CG109" s="793"/>
      <c r="CH109" s="155"/>
      <c r="CI109" s="84"/>
      <c r="CJ109" s="83" t="str">
        <f t="shared" si="28"/>
        <v>No aplica</v>
      </c>
      <c r="CK109" s="83" t="str">
        <f t="shared" si="29"/>
        <v>No aplica</v>
      </c>
      <c r="CL109" s="83" t="str">
        <f t="shared" si="16"/>
        <v>No requiere reporte</v>
      </c>
      <c r="CM109" s="89" t="str">
        <f t="shared" si="17"/>
        <v>No requiere reporte</v>
      </c>
      <c r="CN109" s="89" t="str">
        <f t="shared" si="18"/>
        <v>No requiere reporte</v>
      </c>
      <c r="CO109" s="145">
        <v>1.7</v>
      </c>
      <c r="CP109" s="146" t="s">
        <v>1040</v>
      </c>
      <c r="CQ109" s="145" t="s">
        <v>1031</v>
      </c>
      <c r="CR109" s="178" t="s">
        <v>1032</v>
      </c>
      <c r="CS109" s="178" t="s">
        <v>1033</v>
      </c>
      <c r="CT109" s="145" t="s">
        <v>161</v>
      </c>
      <c r="CU109" s="145" t="s">
        <v>233</v>
      </c>
      <c r="CV109" s="145" t="s">
        <v>182</v>
      </c>
      <c r="CW109" s="145" t="s">
        <v>234</v>
      </c>
      <c r="CX109" s="663">
        <v>46037</v>
      </c>
      <c r="CY109" s="663">
        <v>46387</v>
      </c>
      <c r="CZ109" s="145">
        <v>2</v>
      </c>
      <c r="DA109" s="145">
        <v>4</v>
      </c>
      <c r="DB109" s="145">
        <v>3</v>
      </c>
      <c r="DC109" s="145">
        <v>3</v>
      </c>
      <c r="DD109" s="292">
        <f t="shared" si="33"/>
        <v>12</v>
      </c>
      <c r="DE109" s="145" t="s">
        <v>265</v>
      </c>
      <c r="DF109" s="725" t="s">
        <v>1020</v>
      </c>
      <c r="DG109" s="725" t="s">
        <v>1021</v>
      </c>
      <c r="DH109" s="147">
        <v>164975159.45142901</v>
      </c>
      <c r="DI109" s="725" t="s">
        <v>1022</v>
      </c>
      <c r="DJ109" s="725" t="s">
        <v>1023</v>
      </c>
      <c r="DK109" s="725" t="s">
        <v>1024</v>
      </c>
      <c r="DL109" s="725" t="s">
        <v>1025</v>
      </c>
      <c r="DM109" s="145"/>
      <c r="DN109" s="145"/>
      <c r="DO109" s="677"/>
      <c r="DP109" s="145"/>
      <c r="DQ109" s="677"/>
      <c r="DR109" s="677"/>
      <c r="DS109" s="145"/>
      <c r="DT109" s="677"/>
      <c r="DU109" s="145"/>
      <c r="DV109" s="677"/>
      <c r="DW109" s="677"/>
      <c r="DX109" s="145"/>
      <c r="DY109" s="677"/>
      <c r="DZ109" s="145"/>
      <c r="EA109" s="677"/>
      <c r="EB109" s="677"/>
      <c r="EC109" s="145"/>
      <c r="ED109" s="145"/>
      <c r="EE109" s="145"/>
      <c r="EF109" s="145"/>
      <c r="EG109" s="145"/>
      <c r="EH109" s="145"/>
      <c r="EI109" s="84"/>
      <c r="EJ109" s="84"/>
      <c r="EK109" s="131"/>
      <c r="EL109" s="91" t="str">
        <f t="shared" si="19"/>
        <v>No se reportó avance</v>
      </c>
      <c r="EM109" s="83" t="str">
        <f t="shared" si="20"/>
        <v>No se reportó avance</v>
      </c>
      <c r="EN109" s="153"/>
      <c r="EO109" s="93" t="str">
        <f t="shared" si="31"/>
        <v>Gestión</v>
      </c>
      <c r="EP109" s="93" t="str">
        <f t="shared" si="32"/>
        <v>2</v>
      </c>
    </row>
    <row r="110" spans="1:146" s="93" customFormat="1" ht="60" customHeight="1">
      <c r="A110" s="84" t="s">
        <v>995</v>
      </c>
      <c r="B110" s="85" t="s">
        <v>4684</v>
      </c>
      <c r="C110" s="84" t="s">
        <v>996</v>
      </c>
      <c r="D110" s="84" t="s">
        <v>997</v>
      </c>
      <c r="E110" s="84" t="s">
        <v>998</v>
      </c>
      <c r="F110" s="84" t="s">
        <v>999</v>
      </c>
      <c r="G110" s="84" t="s">
        <v>1000</v>
      </c>
      <c r="H110" s="84" t="s">
        <v>1001</v>
      </c>
      <c r="I110" s="84" t="s">
        <v>1002</v>
      </c>
      <c r="J110" s="84" t="s">
        <v>729</v>
      </c>
      <c r="K110" s="84" t="s">
        <v>1003</v>
      </c>
      <c r="L110" s="84">
        <v>1</v>
      </c>
      <c r="M110" s="84" t="s">
        <v>1004</v>
      </c>
      <c r="N110" s="84" t="s">
        <v>1005</v>
      </c>
      <c r="O110" s="84" t="s">
        <v>1006</v>
      </c>
      <c r="P110" s="84" t="s">
        <v>200</v>
      </c>
      <c r="Q110" s="84" t="s">
        <v>162</v>
      </c>
      <c r="R110" s="85" t="s">
        <v>182</v>
      </c>
      <c r="S110" s="84" t="s">
        <v>252</v>
      </c>
      <c r="T110" s="90">
        <v>45292</v>
      </c>
      <c r="U110" s="90" t="s">
        <v>1007</v>
      </c>
      <c r="V110" s="84"/>
      <c r="W110" s="84"/>
      <c r="X110" s="84"/>
      <c r="Y110" s="84"/>
      <c r="Z110" s="84"/>
      <c r="AA110" s="84"/>
      <c r="AB110" s="84"/>
      <c r="AC110" s="84"/>
      <c r="AD110" s="84"/>
      <c r="AE110" s="84"/>
      <c r="AF110" s="83"/>
      <c r="AG110" s="83"/>
      <c r="AH110" s="83"/>
      <c r="AI110" s="83"/>
      <c r="AJ110" s="83"/>
      <c r="AK110" s="84"/>
      <c r="AL110" s="145"/>
      <c r="AM110" s="145"/>
      <c r="AN110" s="145"/>
      <c r="AO110" s="145"/>
      <c r="AP110" s="84"/>
      <c r="AQ110" s="84"/>
      <c r="AR110" s="84"/>
      <c r="AS110" s="84"/>
      <c r="AT110" s="84"/>
      <c r="AU110" s="84"/>
      <c r="AV110" s="84"/>
      <c r="AW110" s="84"/>
      <c r="AX110" s="84"/>
      <c r="AY110" s="84"/>
      <c r="AZ110" s="86"/>
      <c r="BA110" s="84"/>
      <c r="BB110" s="84"/>
      <c r="BC110" s="84"/>
      <c r="BD110" s="84"/>
      <c r="BE110" s="84"/>
      <c r="BF110" s="84"/>
      <c r="BG110" s="84"/>
      <c r="BH110" s="84"/>
      <c r="BI110" s="84"/>
      <c r="BJ110" s="86"/>
      <c r="BK110" s="84"/>
      <c r="BL110" s="86"/>
      <c r="BM110" s="84"/>
      <c r="BN110" s="86"/>
      <c r="BO110" s="84"/>
      <c r="BP110" s="86"/>
      <c r="BQ110" s="84"/>
      <c r="BR110" s="84"/>
      <c r="BS110" s="84"/>
      <c r="BT110" s="84"/>
      <c r="BU110" s="84"/>
      <c r="BV110" s="84"/>
      <c r="BW110" s="84"/>
      <c r="BX110" s="84"/>
      <c r="BY110" s="84"/>
      <c r="BZ110" s="84"/>
      <c r="CA110" s="84"/>
      <c r="CB110" s="84"/>
      <c r="CC110" s="84"/>
      <c r="CD110" s="84"/>
      <c r="CE110" s="84"/>
      <c r="CF110" s="84"/>
      <c r="CG110" s="793"/>
      <c r="CH110" s="155"/>
      <c r="CI110" s="84"/>
      <c r="CJ110" s="83" t="str">
        <f t="shared" si="28"/>
        <v>No aplica</v>
      </c>
      <c r="CK110" s="83" t="str">
        <f t="shared" si="29"/>
        <v>No aplica</v>
      </c>
      <c r="CL110" s="83" t="str">
        <f t="shared" si="16"/>
        <v>No requiere reporte</v>
      </c>
      <c r="CM110" s="89" t="str">
        <f t="shared" si="17"/>
        <v>No requiere reporte</v>
      </c>
      <c r="CN110" s="89" t="str">
        <f t="shared" si="18"/>
        <v>No requiere reporte</v>
      </c>
      <c r="CO110" s="145">
        <v>1.8</v>
      </c>
      <c r="CP110" s="146" t="s">
        <v>1041</v>
      </c>
      <c r="CQ110" s="145" t="s">
        <v>1031</v>
      </c>
      <c r="CR110" s="178" t="s">
        <v>1042</v>
      </c>
      <c r="CS110" s="178" t="s">
        <v>1043</v>
      </c>
      <c r="CT110" s="145" t="s">
        <v>161</v>
      </c>
      <c r="CU110" s="145" t="s">
        <v>233</v>
      </c>
      <c r="CV110" s="145" t="s">
        <v>182</v>
      </c>
      <c r="CW110" s="145" t="s">
        <v>234</v>
      </c>
      <c r="CX110" s="663">
        <v>46037</v>
      </c>
      <c r="CY110" s="663">
        <v>46387</v>
      </c>
      <c r="CZ110" s="145">
        <v>2</v>
      </c>
      <c r="DA110" s="145">
        <v>4</v>
      </c>
      <c r="DB110" s="145">
        <v>3</v>
      </c>
      <c r="DC110" s="145">
        <v>3</v>
      </c>
      <c r="DD110" s="292">
        <f t="shared" si="33"/>
        <v>12</v>
      </c>
      <c r="DE110" s="145" t="s">
        <v>265</v>
      </c>
      <c r="DF110" s="725" t="s">
        <v>1020</v>
      </c>
      <c r="DG110" s="725" t="s">
        <v>1021</v>
      </c>
      <c r="DH110" s="147">
        <v>164975159.45142859</v>
      </c>
      <c r="DI110" s="725" t="s">
        <v>1022</v>
      </c>
      <c r="DJ110" s="725" t="s">
        <v>1023</v>
      </c>
      <c r="DK110" s="725" t="s">
        <v>1024</v>
      </c>
      <c r="DL110" s="725" t="s">
        <v>1025</v>
      </c>
      <c r="DM110" s="145"/>
      <c r="DN110" s="145"/>
      <c r="DO110" s="677"/>
      <c r="DP110" s="145"/>
      <c r="DQ110" s="677"/>
      <c r="DR110" s="677"/>
      <c r="DS110" s="145"/>
      <c r="DT110" s="677"/>
      <c r="DU110" s="145"/>
      <c r="DV110" s="677"/>
      <c r="DW110" s="677"/>
      <c r="DX110" s="145"/>
      <c r="DY110" s="677"/>
      <c r="DZ110" s="145"/>
      <c r="EA110" s="677"/>
      <c r="EB110" s="677"/>
      <c r="EC110" s="145"/>
      <c r="ED110" s="145"/>
      <c r="EE110" s="145"/>
      <c r="EF110" s="145"/>
      <c r="EG110" s="145"/>
      <c r="EH110" s="145"/>
      <c r="EI110" s="84"/>
      <c r="EJ110" s="84"/>
      <c r="EK110" s="131"/>
      <c r="EL110" s="91" t="str">
        <f t="shared" si="19"/>
        <v>No se reportó avance</v>
      </c>
      <c r="EM110" s="83" t="str">
        <f t="shared" si="20"/>
        <v>No se reportó avance</v>
      </c>
      <c r="EN110" s="153"/>
      <c r="EO110" s="93" t="str">
        <f t="shared" si="31"/>
        <v>Gestión</v>
      </c>
      <c r="EP110" s="93" t="str">
        <f t="shared" si="32"/>
        <v>2</v>
      </c>
    </row>
    <row r="111" spans="1:146" s="93" customFormat="1" ht="150" customHeight="1">
      <c r="A111" s="74" t="s">
        <v>1044</v>
      </c>
      <c r="B111" s="99" t="s">
        <v>1045</v>
      </c>
      <c r="C111" s="99" t="s">
        <v>1046</v>
      </c>
      <c r="D111" s="98" t="s">
        <v>1047</v>
      </c>
      <c r="E111" s="99" t="s">
        <v>182</v>
      </c>
      <c r="F111" s="99" t="s">
        <v>182</v>
      </c>
      <c r="G111" s="99" t="s">
        <v>182</v>
      </c>
      <c r="H111" s="98" t="s">
        <v>1048</v>
      </c>
      <c r="I111" s="74" t="s">
        <v>454</v>
      </c>
      <c r="J111" s="74" t="s">
        <v>455</v>
      </c>
      <c r="K111" s="98" t="s">
        <v>535</v>
      </c>
      <c r="L111" s="294">
        <v>1</v>
      </c>
      <c r="M111" s="78" t="s">
        <v>1049</v>
      </c>
      <c r="N111" s="78" t="s">
        <v>1050</v>
      </c>
      <c r="O111" s="78" t="s">
        <v>1051</v>
      </c>
      <c r="P111" s="78" t="s">
        <v>953</v>
      </c>
      <c r="Q111" s="78" t="s">
        <v>162</v>
      </c>
      <c r="R111" s="79">
        <v>1</v>
      </c>
      <c r="S111" s="78" t="s">
        <v>163</v>
      </c>
      <c r="T111" s="80">
        <v>44927</v>
      </c>
      <c r="U111" s="80">
        <v>46387</v>
      </c>
      <c r="V111" s="75">
        <v>1</v>
      </c>
      <c r="W111" s="75">
        <v>1</v>
      </c>
      <c r="X111" s="75">
        <v>1</v>
      </c>
      <c r="Y111" s="75">
        <v>1</v>
      </c>
      <c r="Z111" s="79">
        <v>1</v>
      </c>
      <c r="AA111" s="75">
        <v>1</v>
      </c>
      <c r="AB111" s="75">
        <v>1</v>
      </c>
      <c r="AC111" s="75">
        <v>1</v>
      </c>
      <c r="AD111" s="75">
        <v>1</v>
      </c>
      <c r="AE111" s="79">
        <v>1</v>
      </c>
      <c r="AF111" s="79">
        <v>1</v>
      </c>
      <c r="AG111" s="79">
        <v>1</v>
      </c>
      <c r="AH111" s="79">
        <v>1</v>
      </c>
      <c r="AI111" s="79">
        <v>1</v>
      </c>
      <c r="AJ111" s="79">
        <v>1</v>
      </c>
      <c r="AK111" s="142">
        <v>1</v>
      </c>
      <c r="AL111" s="142">
        <v>1</v>
      </c>
      <c r="AM111" s="142">
        <v>1</v>
      </c>
      <c r="AN111" s="142">
        <v>1</v>
      </c>
      <c r="AO111" s="177">
        <v>1</v>
      </c>
      <c r="AP111" s="177">
        <v>1</v>
      </c>
      <c r="AQ111" s="85">
        <f>10/12</f>
        <v>0.83333333333333337</v>
      </c>
      <c r="AR111" s="85" t="s">
        <v>1052</v>
      </c>
      <c r="AS111" s="85">
        <f>17/15</f>
        <v>1.1333333333333333</v>
      </c>
      <c r="AT111" s="85" t="s">
        <v>1053</v>
      </c>
      <c r="AU111" s="85">
        <f>19/19</f>
        <v>1</v>
      </c>
      <c r="AV111" s="85" t="s">
        <v>1054</v>
      </c>
      <c r="AW111" s="97">
        <f>17/17</f>
        <v>1</v>
      </c>
      <c r="AX111" s="97" t="s">
        <v>1055</v>
      </c>
      <c r="AY111" s="97">
        <f>63/63</f>
        <v>1</v>
      </c>
      <c r="AZ111" s="106" t="s">
        <v>1056</v>
      </c>
      <c r="BA111" s="83">
        <f>18/18</f>
        <v>1</v>
      </c>
      <c r="BB111" s="84" t="s">
        <v>1057</v>
      </c>
      <c r="BC111" s="83">
        <f>31/31</f>
        <v>1</v>
      </c>
      <c r="BD111" s="84" t="s">
        <v>1058</v>
      </c>
      <c r="BE111" s="83">
        <f>29/29</f>
        <v>1</v>
      </c>
      <c r="BF111" s="84" t="s">
        <v>1059</v>
      </c>
      <c r="BG111" s="83">
        <f>33/33</f>
        <v>1</v>
      </c>
      <c r="BH111" s="84" t="s">
        <v>1060</v>
      </c>
      <c r="BI111" s="83">
        <f>111/111</f>
        <v>1</v>
      </c>
      <c r="BJ111" s="86" t="s">
        <v>1061</v>
      </c>
      <c r="BK111" s="85">
        <f>31/31</f>
        <v>1</v>
      </c>
      <c r="BL111" s="86" t="s">
        <v>1062</v>
      </c>
      <c r="BM111" s="97">
        <f>26/26</f>
        <v>1</v>
      </c>
      <c r="BN111" s="106" t="s">
        <v>1063</v>
      </c>
      <c r="BO111" s="689">
        <f>86/86</f>
        <v>1</v>
      </c>
      <c r="BP111" s="794" t="s">
        <v>1064</v>
      </c>
      <c r="BQ111" s="126"/>
      <c r="BR111" s="84"/>
      <c r="BS111" s="146">
        <f>(143/143)/4*3</f>
        <v>0.75</v>
      </c>
      <c r="BT111" s="84"/>
      <c r="BU111" s="84"/>
      <c r="BV111" s="84"/>
      <c r="BW111" s="84"/>
      <c r="BX111" s="84"/>
      <c r="BY111" s="84"/>
      <c r="BZ111" s="84"/>
      <c r="CA111" s="84"/>
      <c r="CB111" s="84"/>
      <c r="CC111" s="83"/>
      <c r="CD111" s="84"/>
      <c r="CE111" s="146">
        <f>(+AY111+BI111+BS111+CC111)/4</f>
        <v>0.6875</v>
      </c>
      <c r="CF111" s="84"/>
      <c r="CG111" s="155" t="s">
        <v>182</v>
      </c>
      <c r="CH111" s="88" t="s">
        <v>182</v>
      </c>
      <c r="CI111" s="88" t="s">
        <v>182</v>
      </c>
      <c r="CJ111" s="83" t="str">
        <f t="shared" si="28"/>
        <v>No aplica</v>
      </c>
      <c r="CK111" s="83" t="str">
        <f t="shared" si="29"/>
        <v>No aplica</v>
      </c>
      <c r="CL111" s="83" t="str">
        <f t="shared" si="16"/>
        <v>No se reportó avance</v>
      </c>
      <c r="CM111" s="89" t="str">
        <f t="shared" si="17"/>
        <v>No se reportó avance</v>
      </c>
      <c r="CN111" s="89">
        <f t="shared" si="18"/>
        <v>0.6875</v>
      </c>
      <c r="CO111" s="178" t="s">
        <v>177</v>
      </c>
      <c r="CP111" s="178" t="s">
        <v>1065</v>
      </c>
      <c r="CQ111" s="178" t="s">
        <v>1066</v>
      </c>
      <c r="CR111" s="178" t="s">
        <v>1067</v>
      </c>
      <c r="CS111" s="178" t="s">
        <v>1068</v>
      </c>
      <c r="CT111" s="178" t="s">
        <v>953</v>
      </c>
      <c r="CU111" s="178" t="s">
        <v>162</v>
      </c>
      <c r="CV111" s="689">
        <v>1</v>
      </c>
      <c r="CW111" s="178" t="s">
        <v>252</v>
      </c>
      <c r="CX111" s="663">
        <v>46023</v>
      </c>
      <c r="CY111" s="663">
        <v>46387</v>
      </c>
      <c r="CZ111" s="146">
        <v>1</v>
      </c>
      <c r="DA111" s="146">
        <v>1</v>
      </c>
      <c r="DB111" s="146">
        <v>1</v>
      </c>
      <c r="DC111" s="146">
        <v>1</v>
      </c>
      <c r="DD111" s="146">
        <v>1</v>
      </c>
      <c r="DE111" s="145" t="s">
        <v>182</v>
      </c>
      <c r="DF111" s="145" t="s">
        <v>182</v>
      </c>
      <c r="DG111" s="145" t="s">
        <v>182</v>
      </c>
      <c r="DH111" s="295">
        <v>0</v>
      </c>
      <c r="DI111" s="145"/>
      <c r="DJ111" s="145"/>
      <c r="DK111" s="145"/>
      <c r="DL111" s="145"/>
      <c r="DM111" s="145"/>
      <c r="DN111" s="85"/>
      <c r="DO111" s="86"/>
      <c r="DP111" s="84"/>
      <c r="DQ111" s="86"/>
      <c r="DR111" s="86"/>
      <c r="DS111" s="85"/>
      <c r="DT111" s="86"/>
      <c r="DU111" s="678"/>
      <c r="DV111" s="86"/>
      <c r="DW111" s="86"/>
      <c r="DX111" s="157"/>
      <c r="DY111" s="794"/>
      <c r="DZ111" s="725"/>
      <c r="EA111" s="677"/>
      <c r="EB111" s="677"/>
      <c r="EC111" s="84"/>
      <c r="ED111" s="84"/>
      <c r="EE111" s="84"/>
      <c r="EF111" s="84"/>
      <c r="EG111" s="84"/>
      <c r="EH111" s="146"/>
      <c r="EI111" s="84"/>
      <c r="EJ111" s="84"/>
      <c r="EK111" s="131"/>
      <c r="EL111" s="91" t="str">
        <f t="shared" si="19"/>
        <v>No se reportó avance</v>
      </c>
      <c r="EM111" s="83" t="str">
        <f t="shared" si="20"/>
        <v>No se reportó avance</v>
      </c>
      <c r="EN111" s="86" t="s">
        <v>1069</v>
      </c>
    </row>
    <row r="112" spans="1:146" s="93" customFormat="1" ht="150" customHeight="1">
      <c r="A112" s="84" t="s">
        <v>1044</v>
      </c>
      <c r="B112" s="97" t="s">
        <v>1045</v>
      </c>
      <c r="C112" s="97" t="s">
        <v>1046</v>
      </c>
      <c r="D112" s="94" t="s">
        <v>1047</v>
      </c>
      <c r="E112" s="97" t="s">
        <v>182</v>
      </c>
      <c r="F112" s="97" t="s">
        <v>182</v>
      </c>
      <c r="G112" s="97" t="s">
        <v>182</v>
      </c>
      <c r="H112" s="94" t="s">
        <v>1070</v>
      </c>
      <c r="I112" s="84" t="s">
        <v>454</v>
      </c>
      <c r="J112" s="84" t="s">
        <v>455</v>
      </c>
      <c r="K112" s="94" t="s">
        <v>535</v>
      </c>
      <c r="L112" s="131">
        <v>1</v>
      </c>
      <c r="M112" s="84" t="s">
        <v>1049</v>
      </c>
      <c r="N112" s="84" t="s">
        <v>1050</v>
      </c>
      <c r="O112" s="84" t="s">
        <v>1071</v>
      </c>
      <c r="P112" s="84" t="s">
        <v>953</v>
      </c>
      <c r="Q112" s="84" t="s">
        <v>162</v>
      </c>
      <c r="R112" s="85">
        <v>1</v>
      </c>
      <c r="S112" s="84" t="s">
        <v>163</v>
      </c>
      <c r="T112" s="90">
        <v>44927</v>
      </c>
      <c r="U112" s="90">
        <v>46387</v>
      </c>
      <c r="V112" s="85">
        <v>1</v>
      </c>
      <c r="W112" s="85">
        <v>1</v>
      </c>
      <c r="X112" s="85">
        <v>1</v>
      </c>
      <c r="Y112" s="85">
        <v>1</v>
      </c>
      <c r="Z112" s="85">
        <v>1</v>
      </c>
      <c r="AA112" s="85">
        <v>1</v>
      </c>
      <c r="AB112" s="85">
        <v>1</v>
      </c>
      <c r="AC112" s="85">
        <v>1</v>
      </c>
      <c r="AD112" s="85">
        <v>1</v>
      </c>
      <c r="AE112" s="85">
        <v>1</v>
      </c>
      <c r="AF112" s="85">
        <v>1</v>
      </c>
      <c r="AG112" s="85">
        <v>1</v>
      </c>
      <c r="AH112" s="85">
        <v>1</v>
      </c>
      <c r="AI112" s="85">
        <v>1</v>
      </c>
      <c r="AJ112" s="85">
        <v>1</v>
      </c>
      <c r="AK112" s="157">
        <v>1</v>
      </c>
      <c r="AL112" s="157">
        <v>1</v>
      </c>
      <c r="AM112" s="157">
        <v>1</v>
      </c>
      <c r="AN112" s="157">
        <v>1</v>
      </c>
      <c r="AO112" s="157">
        <v>1</v>
      </c>
      <c r="AP112" s="157">
        <v>1</v>
      </c>
      <c r="AQ112" s="84"/>
      <c r="AR112" s="84"/>
      <c r="AS112" s="84"/>
      <c r="AT112" s="84"/>
      <c r="AU112" s="84"/>
      <c r="AV112" s="84"/>
      <c r="AW112" s="84"/>
      <c r="AX112" s="84"/>
      <c r="AY112" s="84"/>
      <c r="AZ112" s="86"/>
      <c r="BA112" s="84"/>
      <c r="BB112" s="84"/>
      <c r="BC112" s="84"/>
      <c r="BD112" s="84"/>
      <c r="BE112" s="84"/>
      <c r="BF112" s="84"/>
      <c r="BG112" s="84"/>
      <c r="BH112" s="84"/>
      <c r="BI112" s="84"/>
      <c r="BJ112" s="86"/>
      <c r="BK112" s="84"/>
      <c r="BL112" s="86"/>
      <c r="BM112" s="84"/>
      <c r="BN112" s="86"/>
      <c r="BO112" s="84"/>
      <c r="BP112" s="86"/>
      <c r="BQ112" s="84"/>
      <c r="BR112" s="84"/>
      <c r="BS112" s="84"/>
      <c r="BT112" s="84"/>
      <c r="BU112" s="84"/>
      <c r="BV112" s="84"/>
      <c r="BW112" s="84"/>
      <c r="BX112" s="84"/>
      <c r="BY112" s="84"/>
      <c r="BZ112" s="84"/>
      <c r="CA112" s="84"/>
      <c r="CB112" s="84"/>
      <c r="CC112" s="84"/>
      <c r="CD112" s="84"/>
      <c r="CE112" s="84"/>
      <c r="CF112" s="84"/>
      <c r="CG112" s="155" t="s">
        <v>182</v>
      </c>
      <c r="CH112" s="155" t="s">
        <v>182</v>
      </c>
      <c r="CI112" s="155" t="s">
        <v>182</v>
      </c>
      <c r="CJ112" s="83" t="str">
        <f t="shared" si="28"/>
        <v>No aplica</v>
      </c>
      <c r="CK112" s="83" t="str">
        <f t="shared" si="29"/>
        <v>No aplica</v>
      </c>
      <c r="CL112" s="83" t="str">
        <f t="shared" si="16"/>
        <v>No requiere reporte</v>
      </c>
      <c r="CM112" s="89" t="str">
        <f t="shared" si="17"/>
        <v>No requiere reporte</v>
      </c>
      <c r="CN112" s="89" t="str">
        <f t="shared" si="18"/>
        <v>No requiere reporte</v>
      </c>
      <c r="CO112" s="178" t="s">
        <v>185</v>
      </c>
      <c r="CP112" s="178" t="s">
        <v>1072</v>
      </c>
      <c r="CQ112" s="178" t="s">
        <v>1066</v>
      </c>
      <c r="CR112" s="178" t="s">
        <v>1073</v>
      </c>
      <c r="CS112" s="178" t="s">
        <v>1074</v>
      </c>
      <c r="CT112" s="178" t="s">
        <v>953</v>
      </c>
      <c r="CU112" s="178" t="s">
        <v>162</v>
      </c>
      <c r="CV112" s="689">
        <v>1</v>
      </c>
      <c r="CW112" s="178" t="s">
        <v>252</v>
      </c>
      <c r="CX112" s="663">
        <v>46023</v>
      </c>
      <c r="CY112" s="663">
        <v>46387</v>
      </c>
      <c r="CZ112" s="146">
        <v>1</v>
      </c>
      <c r="DA112" s="146">
        <v>1</v>
      </c>
      <c r="DB112" s="146">
        <v>1</v>
      </c>
      <c r="DC112" s="146">
        <v>1</v>
      </c>
      <c r="DD112" s="146">
        <v>1</v>
      </c>
      <c r="DE112" s="145" t="s">
        <v>182</v>
      </c>
      <c r="DF112" s="145" t="s">
        <v>182</v>
      </c>
      <c r="DG112" s="145" t="s">
        <v>182</v>
      </c>
      <c r="DH112" s="295">
        <v>0</v>
      </c>
      <c r="DI112" s="145"/>
      <c r="DJ112" s="145"/>
      <c r="DK112" s="145"/>
      <c r="DL112" s="145"/>
      <c r="DM112" s="145"/>
      <c r="DN112" s="85"/>
      <c r="DO112" s="86"/>
      <c r="DP112" s="84"/>
      <c r="DQ112" s="86"/>
      <c r="DR112" s="86"/>
      <c r="DS112" s="85"/>
      <c r="DT112" s="761"/>
      <c r="DU112" s="84"/>
      <c r="DV112" s="86"/>
      <c r="DW112" s="86"/>
      <c r="DX112" s="157"/>
      <c r="DY112" s="708"/>
      <c r="DZ112" s="145"/>
      <c r="EA112" s="677"/>
      <c r="EB112" s="677"/>
      <c r="EC112" s="84"/>
      <c r="ED112" s="84"/>
      <c r="EE112" s="84"/>
      <c r="EF112" s="84"/>
      <c r="EG112" s="84"/>
      <c r="EH112" s="146"/>
      <c r="EI112" s="84"/>
      <c r="EJ112" s="84"/>
      <c r="EK112" s="131"/>
      <c r="EL112" s="91" t="str">
        <f t="shared" si="19"/>
        <v>No se reportó avance</v>
      </c>
      <c r="EM112" s="83" t="str">
        <f t="shared" si="20"/>
        <v>No se reportó avance</v>
      </c>
      <c r="EN112" s="153"/>
    </row>
    <row r="113" spans="1:146" s="93" customFormat="1" ht="150" customHeight="1">
      <c r="A113" s="84" t="s">
        <v>1044</v>
      </c>
      <c r="B113" s="97" t="s">
        <v>1045</v>
      </c>
      <c r="C113" s="97" t="s">
        <v>1046</v>
      </c>
      <c r="D113" s="94" t="s">
        <v>1047</v>
      </c>
      <c r="E113" s="97" t="s">
        <v>182</v>
      </c>
      <c r="F113" s="97" t="s">
        <v>182</v>
      </c>
      <c r="G113" s="97" t="s">
        <v>182</v>
      </c>
      <c r="H113" s="94" t="s">
        <v>1075</v>
      </c>
      <c r="I113" s="84" t="s">
        <v>454</v>
      </c>
      <c r="J113" s="84" t="s">
        <v>455</v>
      </c>
      <c r="K113" s="94" t="s">
        <v>535</v>
      </c>
      <c r="L113" s="131">
        <v>1</v>
      </c>
      <c r="M113" s="84" t="s">
        <v>1049</v>
      </c>
      <c r="N113" s="84" t="s">
        <v>1050</v>
      </c>
      <c r="O113" s="84" t="s">
        <v>1076</v>
      </c>
      <c r="P113" s="84" t="s">
        <v>953</v>
      </c>
      <c r="Q113" s="84" t="s">
        <v>162</v>
      </c>
      <c r="R113" s="85">
        <v>1</v>
      </c>
      <c r="S113" s="84" t="s">
        <v>163</v>
      </c>
      <c r="T113" s="90">
        <v>44927</v>
      </c>
      <c r="U113" s="90">
        <v>46387</v>
      </c>
      <c r="V113" s="85">
        <v>1</v>
      </c>
      <c r="W113" s="85">
        <v>1</v>
      </c>
      <c r="X113" s="85">
        <v>1</v>
      </c>
      <c r="Y113" s="85">
        <v>1</v>
      </c>
      <c r="Z113" s="85">
        <v>1</v>
      </c>
      <c r="AA113" s="85">
        <v>1</v>
      </c>
      <c r="AB113" s="85">
        <v>1</v>
      </c>
      <c r="AC113" s="85">
        <v>1</v>
      </c>
      <c r="AD113" s="85">
        <v>1</v>
      </c>
      <c r="AE113" s="85">
        <v>1</v>
      </c>
      <c r="AF113" s="85">
        <v>1</v>
      </c>
      <c r="AG113" s="85">
        <v>1</v>
      </c>
      <c r="AH113" s="85">
        <v>1</v>
      </c>
      <c r="AI113" s="85">
        <v>1</v>
      </c>
      <c r="AJ113" s="85">
        <v>1</v>
      </c>
      <c r="AK113" s="157">
        <v>1</v>
      </c>
      <c r="AL113" s="157">
        <v>1</v>
      </c>
      <c r="AM113" s="157">
        <v>1</v>
      </c>
      <c r="AN113" s="157">
        <v>1</v>
      </c>
      <c r="AO113" s="157">
        <v>1</v>
      </c>
      <c r="AP113" s="157">
        <v>1</v>
      </c>
      <c r="AQ113" s="84"/>
      <c r="AR113" s="84"/>
      <c r="AS113" s="84"/>
      <c r="AT113" s="84"/>
      <c r="AU113" s="84"/>
      <c r="AV113" s="84"/>
      <c r="AW113" s="84"/>
      <c r="AX113" s="84"/>
      <c r="AY113" s="84"/>
      <c r="AZ113" s="86"/>
      <c r="BA113" s="84"/>
      <c r="BB113" s="84"/>
      <c r="BC113" s="84"/>
      <c r="BD113" s="84"/>
      <c r="BE113" s="84"/>
      <c r="BF113" s="84"/>
      <c r="BG113" s="84"/>
      <c r="BH113" s="84"/>
      <c r="BI113" s="84"/>
      <c r="BJ113" s="86"/>
      <c r="BK113" s="84"/>
      <c r="BL113" s="86"/>
      <c r="BM113" s="84"/>
      <c r="BN113" s="86"/>
      <c r="BO113" s="84"/>
      <c r="BP113" s="86"/>
      <c r="BQ113" s="84"/>
      <c r="BR113" s="84"/>
      <c r="BS113" s="84"/>
      <c r="BT113" s="84"/>
      <c r="BU113" s="84"/>
      <c r="BV113" s="84"/>
      <c r="BW113" s="84"/>
      <c r="BX113" s="84"/>
      <c r="BY113" s="84"/>
      <c r="BZ113" s="84"/>
      <c r="CA113" s="84"/>
      <c r="CB113" s="84"/>
      <c r="CC113" s="84"/>
      <c r="CD113" s="84"/>
      <c r="CE113" s="84"/>
      <c r="CF113" s="84"/>
      <c r="CG113" s="155" t="s">
        <v>182</v>
      </c>
      <c r="CH113" s="155" t="s">
        <v>182</v>
      </c>
      <c r="CI113" s="155" t="s">
        <v>182</v>
      </c>
      <c r="CJ113" s="83" t="str">
        <f t="shared" si="28"/>
        <v>No aplica</v>
      </c>
      <c r="CK113" s="83" t="str">
        <f t="shared" si="29"/>
        <v>No aplica</v>
      </c>
      <c r="CL113" s="83" t="str">
        <f t="shared" si="16"/>
        <v>No requiere reporte</v>
      </c>
      <c r="CM113" s="89" t="str">
        <f t="shared" si="17"/>
        <v>No requiere reporte</v>
      </c>
      <c r="CN113" s="89" t="str">
        <f t="shared" si="18"/>
        <v>No requiere reporte</v>
      </c>
      <c r="CO113" s="178" t="s">
        <v>190</v>
      </c>
      <c r="CP113" s="178" t="s">
        <v>1077</v>
      </c>
      <c r="CQ113" s="178" t="s">
        <v>1066</v>
      </c>
      <c r="CR113" s="178" t="s">
        <v>1078</v>
      </c>
      <c r="CS113" s="178" t="s">
        <v>1079</v>
      </c>
      <c r="CT113" s="178" t="s">
        <v>953</v>
      </c>
      <c r="CU113" s="178" t="s">
        <v>162</v>
      </c>
      <c r="CV113" s="689">
        <v>1</v>
      </c>
      <c r="CW113" s="178" t="s">
        <v>252</v>
      </c>
      <c r="CX113" s="663">
        <v>46023</v>
      </c>
      <c r="CY113" s="663">
        <v>46387</v>
      </c>
      <c r="CZ113" s="146">
        <v>1</v>
      </c>
      <c r="DA113" s="146">
        <v>1</v>
      </c>
      <c r="DB113" s="146">
        <v>1</v>
      </c>
      <c r="DC113" s="146">
        <v>1</v>
      </c>
      <c r="DD113" s="146">
        <v>1</v>
      </c>
      <c r="DE113" s="145" t="s">
        <v>182</v>
      </c>
      <c r="DF113" s="145" t="s">
        <v>182</v>
      </c>
      <c r="DG113" s="145" t="s">
        <v>182</v>
      </c>
      <c r="DH113" s="295">
        <v>0</v>
      </c>
      <c r="DI113" s="145"/>
      <c r="DJ113" s="145"/>
      <c r="DK113" s="145"/>
      <c r="DL113" s="145"/>
      <c r="DM113" s="145"/>
      <c r="DN113" s="85"/>
      <c r="DO113" s="86"/>
      <c r="DP113" s="84"/>
      <c r="DQ113" s="86"/>
      <c r="DR113" s="86"/>
      <c r="DS113" s="85"/>
      <c r="DT113" s="86"/>
      <c r="DU113" s="84"/>
      <c r="DV113" s="86"/>
      <c r="DW113" s="86"/>
      <c r="DX113" s="157"/>
      <c r="DY113" s="677"/>
      <c r="DZ113" s="145"/>
      <c r="EA113" s="677"/>
      <c r="EB113" s="677"/>
      <c r="EC113" s="84"/>
      <c r="ED113" s="84"/>
      <c r="EE113" s="84"/>
      <c r="EF113" s="84"/>
      <c r="EG113" s="84"/>
      <c r="EH113" s="146"/>
      <c r="EI113" s="84"/>
      <c r="EJ113" s="84"/>
      <c r="EK113" s="131"/>
      <c r="EL113" s="91" t="str">
        <f t="shared" si="19"/>
        <v>No se reportó avance</v>
      </c>
      <c r="EM113" s="83" t="str">
        <f t="shared" si="20"/>
        <v>No se reportó avance</v>
      </c>
      <c r="EN113" s="153"/>
    </row>
    <row r="114" spans="1:146" s="93" customFormat="1" ht="150" customHeight="1">
      <c r="A114" s="84" t="s">
        <v>1044</v>
      </c>
      <c r="B114" s="97" t="s">
        <v>1045</v>
      </c>
      <c r="C114" s="97" t="s">
        <v>1046</v>
      </c>
      <c r="D114" s="94" t="s">
        <v>1047</v>
      </c>
      <c r="E114" s="97" t="s">
        <v>182</v>
      </c>
      <c r="F114" s="97" t="s">
        <v>182</v>
      </c>
      <c r="G114" s="97" t="s">
        <v>182</v>
      </c>
      <c r="H114" s="94" t="s">
        <v>1080</v>
      </c>
      <c r="I114" s="84" t="s">
        <v>454</v>
      </c>
      <c r="J114" s="84" t="s">
        <v>455</v>
      </c>
      <c r="K114" s="94" t="s">
        <v>535</v>
      </c>
      <c r="L114" s="131">
        <v>1</v>
      </c>
      <c r="M114" s="84" t="s">
        <v>1049</v>
      </c>
      <c r="N114" s="84" t="s">
        <v>1050</v>
      </c>
      <c r="O114" s="84" t="s">
        <v>1081</v>
      </c>
      <c r="P114" s="84" t="s">
        <v>953</v>
      </c>
      <c r="Q114" s="84" t="s">
        <v>162</v>
      </c>
      <c r="R114" s="85">
        <v>1</v>
      </c>
      <c r="S114" s="84" t="s">
        <v>163</v>
      </c>
      <c r="T114" s="90">
        <v>44927</v>
      </c>
      <c r="U114" s="90">
        <v>46387</v>
      </c>
      <c r="V114" s="85">
        <v>1</v>
      </c>
      <c r="W114" s="85">
        <v>1</v>
      </c>
      <c r="X114" s="85">
        <v>1</v>
      </c>
      <c r="Y114" s="85">
        <v>1</v>
      </c>
      <c r="Z114" s="85">
        <v>1</v>
      </c>
      <c r="AA114" s="85">
        <v>1</v>
      </c>
      <c r="AB114" s="85">
        <v>1</v>
      </c>
      <c r="AC114" s="85">
        <v>1</v>
      </c>
      <c r="AD114" s="85">
        <v>1</v>
      </c>
      <c r="AE114" s="85">
        <v>1</v>
      </c>
      <c r="AF114" s="85">
        <v>1</v>
      </c>
      <c r="AG114" s="85">
        <v>1</v>
      </c>
      <c r="AH114" s="85">
        <v>1</v>
      </c>
      <c r="AI114" s="85">
        <v>1</v>
      </c>
      <c r="AJ114" s="85">
        <v>1</v>
      </c>
      <c r="AK114" s="157">
        <v>1</v>
      </c>
      <c r="AL114" s="157">
        <v>1</v>
      </c>
      <c r="AM114" s="157">
        <v>1</v>
      </c>
      <c r="AN114" s="157">
        <v>1</v>
      </c>
      <c r="AO114" s="157">
        <v>1</v>
      </c>
      <c r="AP114" s="157">
        <v>1</v>
      </c>
      <c r="AQ114" s="84"/>
      <c r="AR114" s="84"/>
      <c r="AS114" s="84"/>
      <c r="AT114" s="84"/>
      <c r="AU114" s="84"/>
      <c r="AV114" s="84"/>
      <c r="AW114" s="84"/>
      <c r="AX114" s="84"/>
      <c r="AY114" s="84"/>
      <c r="AZ114" s="86"/>
      <c r="BA114" s="84"/>
      <c r="BB114" s="84"/>
      <c r="BC114" s="84"/>
      <c r="BD114" s="84"/>
      <c r="BE114" s="84"/>
      <c r="BF114" s="84"/>
      <c r="BG114" s="84"/>
      <c r="BH114" s="84"/>
      <c r="BI114" s="84"/>
      <c r="BJ114" s="86"/>
      <c r="BK114" s="84"/>
      <c r="BL114" s="86"/>
      <c r="BM114" s="84"/>
      <c r="BN114" s="86"/>
      <c r="BO114" s="84"/>
      <c r="BP114" s="86"/>
      <c r="BQ114" s="84"/>
      <c r="BR114" s="84"/>
      <c r="BS114" s="84"/>
      <c r="BT114" s="84"/>
      <c r="BU114" s="84"/>
      <c r="BV114" s="84"/>
      <c r="BW114" s="84"/>
      <c r="BX114" s="84"/>
      <c r="BY114" s="84"/>
      <c r="BZ114" s="84"/>
      <c r="CA114" s="84"/>
      <c r="CB114" s="84"/>
      <c r="CC114" s="84"/>
      <c r="CD114" s="84"/>
      <c r="CE114" s="84"/>
      <c r="CF114" s="84"/>
      <c r="CG114" s="155" t="s">
        <v>182</v>
      </c>
      <c r="CH114" s="155" t="s">
        <v>182</v>
      </c>
      <c r="CI114" s="155" t="s">
        <v>182</v>
      </c>
      <c r="CJ114" s="83" t="str">
        <f t="shared" si="28"/>
        <v>No aplica</v>
      </c>
      <c r="CK114" s="83" t="str">
        <f t="shared" si="29"/>
        <v>No aplica</v>
      </c>
      <c r="CL114" s="83" t="str">
        <f t="shared" si="16"/>
        <v>No requiere reporte</v>
      </c>
      <c r="CM114" s="89" t="str">
        <f t="shared" si="17"/>
        <v>No requiere reporte</v>
      </c>
      <c r="CN114" s="89" t="str">
        <f t="shared" si="18"/>
        <v>No requiere reporte</v>
      </c>
      <c r="CO114" s="178" t="s">
        <v>195</v>
      </c>
      <c r="CP114" s="178" t="s">
        <v>1082</v>
      </c>
      <c r="CQ114" s="178" t="s">
        <v>1066</v>
      </c>
      <c r="CR114" s="178" t="s">
        <v>1083</v>
      </c>
      <c r="CS114" s="178" t="s">
        <v>1084</v>
      </c>
      <c r="CT114" s="178" t="s">
        <v>953</v>
      </c>
      <c r="CU114" s="178" t="s">
        <v>162</v>
      </c>
      <c r="CV114" s="689">
        <v>1</v>
      </c>
      <c r="CW114" s="178" t="s">
        <v>252</v>
      </c>
      <c r="CX114" s="663">
        <v>46023</v>
      </c>
      <c r="CY114" s="663">
        <v>46387</v>
      </c>
      <c r="CZ114" s="146">
        <v>1</v>
      </c>
      <c r="DA114" s="146">
        <v>1</v>
      </c>
      <c r="DB114" s="146">
        <v>1</v>
      </c>
      <c r="DC114" s="146">
        <v>1</v>
      </c>
      <c r="DD114" s="146">
        <v>1</v>
      </c>
      <c r="DE114" s="145" t="s">
        <v>182</v>
      </c>
      <c r="DF114" s="145" t="s">
        <v>182</v>
      </c>
      <c r="DG114" s="145" t="s">
        <v>182</v>
      </c>
      <c r="DH114" s="295">
        <v>0</v>
      </c>
      <c r="DI114" s="145"/>
      <c r="DJ114" s="145"/>
      <c r="DK114" s="145"/>
      <c r="DL114" s="145"/>
      <c r="DM114" s="145"/>
      <c r="DN114" s="85"/>
      <c r="DO114" s="86"/>
      <c r="DP114" s="84"/>
      <c r="DQ114" s="86"/>
      <c r="DR114" s="86"/>
      <c r="DS114" s="97"/>
      <c r="DT114" s="106"/>
      <c r="DU114" s="84"/>
      <c r="DV114" s="86"/>
      <c r="DW114" s="86"/>
      <c r="DX114" s="689"/>
      <c r="DY114" s="734"/>
      <c r="DZ114" s="145"/>
      <c r="EA114" s="677"/>
      <c r="EB114" s="677"/>
      <c r="EC114" s="84"/>
      <c r="ED114" s="84"/>
      <c r="EE114" s="84"/>
      <c r="EF114" s="84"/>
      <c r="EG114" s="84"/>
      <c r="EH114" s="146"/>
      <c r="EI114" s="84"/>
      <c r="EJ114" s="84"/>
      <c r="EK114" s="131"/>
      <c r="EL114" s="91" t="str">
        <f t="shared" si="19"/>
        <v>No se reportó avance</v>
      </c>
      <c r="EM114" s="83" t="str">
        <f t="shared" si="20"/>
        <v>No se reportó avance</v>
      </c>
      <c r="EN114" s="153"/>
    </row>
    <row r="115" spans="1:146" s="93" customFormat="1" ht="150" customHeight="1">
      <c r="A115" s="84" t="s">
        <v>1044</v>
      </c>
      <c r="B115" s="97" t="s">
        <v>1045</v>
      </c>
      <c r="C115" s="97" t="s">
        <v>1046</v>
      </c>
      <c r="D115" s="94" t="s">
        <v>1047</v>
      </c>
      <c r="E115" s="97" t="s">
        <v>182</v>
      </c>
      <c r="F115" s="97" t="s">
        <v>182</v>
      </c>
      <c r="G115" s="97" t="s">
        <v>182</v>
      </c>
      <c r="H115" s="94" t="s">
        <v>1085</v>
      </c>
      <c r="I115" s="84" t="s">
        <v>454</v>
      </c>
      <c r="J115" s="84" t="s">
        <v>455</v>
      </c>
      <c r="K115" s="94" t="s">
        <v>535</v>
      </c>
      <c r="L115" s="131">
        <v>1</v>
      </c>
      <c r="M115" s="84" t="s">
        <v>1049</v>
      </c>
      <c r="N115" s="84" t="s">
        <v>1050</v>
      </c>
      <c r="O115" s="84" t="s">
        <v>1086</v>
      </c>
      <c r="P115" s="84" t="s">
        <v>953</v>
      </c>
      <c r="Q115" s="84" t="s">
        <v>162</v>
      </c>
      <c r="R115" s="85">
        <v>1</v>
      </c>
      <c r="S115" s="84" t="s">
        <v>163</v>
      </c>
      <c r="T115" s="90">
        <v>44927</v>
      </c>
      <c r="U115" s="90">
        <v>46387</v>
      </c>
      <c r="V115" s="85">
        <v>1</v>
      </c>
      <c r="W115" s="85">
        <v>1</v>
      </c>
      <c r="X115" s="85">
        <v>1</v>
      </c>
      <c r="Y115" s="85">
        <v>1</v>
      </c>
      <c r="Z115" s="85">
        <v>1</v>
      </c>
      <c r="AA115" s="85">
        <v>1</v>
      </c>
      <c r="AB115" s="85">
        <v>1</v>
      </c>
      <c r="AC115" s="85">
        <v>1</v>
      </c>
      <c r="AD115" s="85">
        <v>1</v>
      </c>
      <c r="AE115" s="85">
        <v>1</v>
      </c>
      <c r="AF115" s="85">
        <v>1</v>
      </c>
      <c r="AG115" s="85">
        <v>1</v>
      </c>
      <c r="AH115" s="85">
        <v>1</v>
      </c>
      <c r="AI115" s="85">
        <v>1</v>
      </c>
      <c r="AJ115" s="85">
        <v>1</v>
      </c>
      <c r="AK115" s="157">
        <v>1</v>
      </c>
      <c r="AL115" s="157">
        <v>1</v>
      </c>
      <c r="AM115" s="157">
        <v>1</v>
      </c>
      <c r="AN115" s="157">
        <v>1</v>
      </c>
      <c r="AO115" s="157">
        <v>1</v>
      </c>
      <c r="AP115" s="157">
        <v>1</v>
      </c>
      <c r="AQ115" s="84"/>
      <c r="AR115" s="84"/>
      <c r="AS115" s="84"/>
      <c r="AT115" s="84"/>
      <c r="AU115" s="84"/>
      <c r="AV115" s="84"/>
      <c r="AW115" s="84"/>
      <c r="AX115" s="84"/>
      <c r="AY115" s="84"/>
      <c r="AZ115" s="86"/>
      <c r="BA115" s="84"/>
      <c r="BB115" s="84"/>
      <c r="BC115" s="84"/>
      <c r="BD115" s="84"/>
      <c r="BE115" s="84"/>
      <c r="BF115" s="84"/>
      <c r="BG115" s="84"/>
      <c r="BH115" s="84"/>
      <c r="BI115" s="84"/>
      <c r="BJ115" s="86"/>
      <c r="BK115" s="84"/>
      <c r="BL115" s="86"/>
      <c r="BM115" s="84"/>
      <c r="BN115" s="86"/>
      <c r="BO115" s="84"/>
      <c r="BP115" s="86"/>
      <c r="BQ115" s="84"/>
      <c r="BR115" s="84"/>
      <c r="BS115" s="84"/>
      <c r="BT115" s="84"/>
      <c r="BU115" s="84"/>
      <c r="BV115" s="84"/>
      <c r="BW115" s="84"/>
      <c r="BX115" s="84"/>
      <c r="BY115" s="84"/>
      <c r="BZ115" s="84"/>
      <c r="CA115" s="84"/>
      <c r="CB115" s="84"/>
      <c r="CC115" s="84"/>
      <c r="CD115" s="84"/>
      <c r="CE115" s="84"/>
      <c r="CF115" s="84"/>
      <c r="CG115" s="155" t="s">
        <v>182</v>
      </c>
      <c r="CH115" s="155" t="s">
        <v>182</v>
      </c>
      <c r="CI115" s="155" t="s">
        <v>182</v>
      </c>
      <c r="CJ115" s="83" t="str">
        <f t="shared" si="28"/>
        <v>No aplica</v>
      </c>
      <c r="CK115" s="83" t="str">
        <f t="shared" si="29"/>
        <v>No aplica</v>
      </c>
      <c r="CL115" s="83" t="str">
        <f t="shared" si="16"/>
        <v>No requiere reporte</v>
      </c>
      <c r="CM115" s="89" t="str">
        <f t="shared" si="17"/>
        <v>No requiere reporte</v>
      </c>
      <c r="CN115" s="89" t="str">
        <f t="shared" si="18"/>
        <v>No requiere reporte</v>
      </c>
      <c r="CO115" s="178" t="s">
        <v>202</v>
      </c>
      <c r="CP115" s="178" t="s">
        <v>1087</v>
      </c>
      <c r="CQ115" s="178" t="s">
        <v>1066</v>
      </c>
      <c r="CR115" s="178" t="s">
        <v>1088</v>
      </c>
      <c r="CS115" s="178" t="s">
        <v>1089</v>
      </c>
      <c r="CT115" s="178" t="s">
        <v>953</v>
      </c>
      <c r="CU115" s="178" t="s">
        <v>162</v>
      </c>
      <c r="CV115" s="689">
        <v>1</v>
      </c>
      <c r="CW115" s="178" t="s">
        <v>252</v>
      </c>
      <c r="CX115" s="663">
        <v>46023</v>
      </c>
      <c r="CY115" s="663">
        <v>46387</v>
      </c>
      <c r="CZ115" s="146">
        <v>1</v>
      </c>
      <c r="DA115" s="146">
        <v>1</v>
      </c>
      <c r="DB115" s="146">
        <v>1</v>
      </c>
      <c r="DC115" s="146">
        <v>1</v>
      </c>
      <c r="DD115" s="146">
        <v>1</v>
      </c>
      <c r="DE115" s="145" t="s">
        <v>182</v>
      </c>
      <c r="DF115" s="145" t="s">
        <v>182</v>
      </c>
      <c r="DG115" s="145" t="s">
        <v>182</v>
      </c>
      <c r="DH115" s="295">
        <v>0</v>
      </c>
      <c r="DI115" s="145"/>
      <c r="DJ115" s="145"/>
      <c r="DK115" s="145"/>
      <c r="DL115" s="145"/>
      <c r="DM115" s="145"/>
      <c r="DN115" s="85"/>
      <c r="DO115" s="86"/>
      <c r="DP115" s="84"/>
      <c r="DQ115" s="86"/>
      <c r="DR115" s="86"/>
      <c r="DS115" s="85"/>
      <c r="DT115" s="86"/>
      <c r="DU115" s="84"/>
      <c r="DV115" s="86"/>
      <c r="DW115" s="86"/>
      <c r="DX115" s="157"/>
      <c r="DY115" s="708"/>
      <c r="DZ115" s="145"/>
      <c r="EA115" s="677"/>
      <c r="EB115" s="677"/>
      <c r="EC115" s="84"/>
      <c r="ED115" s="84"/>
      <c r="EE115" s="84"/>
      <c r="EF115" s="84"/>
      <c r="EG115" s="84"/>
      <c r="EH115" s="146"/>
      <c r="EI115" s="84"/>
      <c r="EJ115" s="84"/>
      <c r="EK115" s="131"/>
      <c r="EL115" s="91" t="str">
        <f t="shared" si="19"/>
        <v>No se reportó avance</v>
      </c>
      <c r="EM115" s="83" t="str">
        <f t="shared" si="20"/>
        <v>No se reportó avance</v>
      </c>
      <c r="EN115" s="153"/>
    </row>
    <row r="116" spans="1:146" s="93" customFormat="1" ht="150" customHeight="1">
      <c r="A116" s="84" t="s">
        <v>1044</v>
      </c>
      <c r="B116" s="97" t="s">
        <v>1045</v>
      </c>
      <c r="C116" s="97" t="s">
        <v>1046</v>
      </c>
      <c r="D116" s="94" t="s">
        <v>1047</v>
      </c>
      <c r="E116" s="97" t="s">
        <v>182</v>
      </c>
      <c r="F116" s="97" t="s">
        <v>182</v>
      </c>
      <c r="G116" s="97" t="s">
        <v>182</v>
      </c>
      <c r="H116" s="94" t="s">
        <v>1090</v>
      </c>
      <c r="I116" s="84" t="s">
        <v>454</v>
      </c>
      <c r="J116" s="84" t="s">
        <v>455</v>
      </c>
      <c r="K116" s="94" t="s">
        <v>535</v>
      </c>
      <c r="L116" s="131">
        <v>1</v>
      </c>
      <c r="M116" s="84" t="s">
        <v>1049</v>
      </c>
      <c r="N116" s="84" t="s">
        <v>1050</v>
      </c>
      <c r="O116" s="84" t="s">
        <v>1091</v>
      </c>
      <c r="P116" s="84" t="s">
        <v>953</v>
      </c>
      <c r="Q116" s="84" t="s">
        <v>162</v>
      </c>
      <c r="R116" s="85">
        <v>1</v>
      </c>
      <c r="S116" s="84" t="s">
        <v>163</v>
      </c>
      <c r="T116" s="90">
        <v>44927</v>
      </c>
      <c r="U116" s="90">
        <v>46387</v>
      </c>
      <c r="V116" s="85">
        <v>1</v>
      </c>
      <c r="W116" s="85">
        <v>1</v>
      </c>
      <c r="X116" s="85">
        <v>1</v>
      </c>
      <c r="Y116" s="85">
        <v>1</v>
      </c>
      <c r="Z116" s="85">
        <v>1</v>
      </c>
      <c r="AA116" s="85">
        <v>1</v>
      </c>
      <c r="AB116" s="85">
        <v>1</v>
      </c>
      <c r="AC116" s="85">
        <v>1</v>
      </c>
      <c r="AD116" s="85">
        <v>1</v>
      </c>
      <c r="AE116" s="85">
        <v>1</v>
      </c>
      <c r="AF116" s="85">
        <v>1</v>
      </c>
      <c r="AG116" s="85">
        <v>1</v>
      </c>
      <c r="AH116" s="85">
        <v>1</v>
      </c>
      <c r="AI116" s="85">
        <v>1</v>
      </c>
      <c r="AJ116" s="85">
        <v>1</v>
      </c>
      <c r="AK116" s="157">
        <v>1</v>
      </c>
      <c r="AL116" s="157">
        <v>1</v>
      </c>
      <c r="AM116" s="157">
        <v>1</v>
      </c>
      <c r="AN116" s="157">
        <v>1</v>
      </c>
      <c r="AO116" s="157">
        <v>1</v>
      </c>
      <c r="AP116" s="157">
        <v>1</v>
      </c>
      <c r="AQ116" s="84"/>
      <c r="AR116" s="84"/>
      <c r="AS116" s="84"/>
      <c r="AT116" s="84"/>
      <c r="AU116" s="84"/>
      <c r="AV116" s="84"/>
      <c r="AW116" s="84"/>
      <c r="AX116" s="84"/>
      <c r="AY116" s="84"/>
      <c r="AZ116" s="86"/>
      <c r="BA116" s="84"/>
      <c r="BB116" s="84"/>
      <c r="BC116" s="84"/>
      <c r="BD116" s="84"/>
      <c r="BE116" s="84"/>
      <c r="BF116" s="84"/>
      <c r="BG116" s="84"/>
      <c r="BH116" s="84"/>
      <c r="BI116" s="84"/>
      <c r="BJ116" s="86"/>
      <c r="BK116" s="84"/>
      <c r="BL116" s="86"/>
      <c r="BM116" s="84"/>
      <c r="BN116" s="86"/>
      <c r="BO116" s="84"/>
      <c r="BP116" s="86"/>
      <c r="BQ116" s="84"/>
      <c r="BR116" s="84"/>
      <c r="BS116" s="84"/>
      <c r="BT116" s="84"/>
      <c r="BU116" s="84"/>
      <c r="BV116" s="84"/>
      <c r="BW116" s="84"/>
      <c r="BX116" s="84"/>
      <c r="BY116" s="84"/>
      <c r="BZ116" s="84"/>
      <c r="CA116" s="84"/>
      <c r="CB116" s="84"/>
      <c r="CC116" s="84"/>
      <c r="CD116" s="84"/>
      <c r="CE116" s="84"/>
      <c r="CF116" s="84"/>
      <c r="CG116" s="155" t="s">
        <v>182</v>
      </c>
      <c r="CH116" s="155" t="s">
        <v>182</v>
      </c>
      <c r="CI116" s="155" t="s">
        <v>182</v>
      </c>
      <c r="CJ116" s="83" t="str">
        <f t="shared" si="28"/>
        <v>No aplica</v>
      </c>
      <c r="CK116" s="83" t="str">
        <f t="shared" si="29"/>
        <v>No aplica</v>
      </c>
      <c r="CL116" s="83" t="str">
        <f t="shared" si="16"/>
        <v>No requiere reporte</v>
      </c>
      <c r="CM116" s="89" t="str">
        <f t="shared" si="17"/>
        <v>No requiere reporte</v>
      </c>
      <c r="CN116" s="89" t="str">
        <f t="shared" si="18"/>
        <v>No requiere reporte</v>
      </c>
      <c r="CO116" s="178" t="s">
        <v>775</v>
      </c>
      <c r="CP116" s="178" t="s">
        <v>1092</v>
      </c>
      <c r="CQ116" s="178" t="s">
        <v>1066</v>
      </c>
      <c r="CR116" s="178" t="s">
        <v>1093</v>
      </c>
      <c r="CS116" s="178" t="s">
        <v>1094</v>
      </c>
      <c r="CT116" s="178" t="s">
        <v>953</v>
      </c>
      <c r="CU116" s="178" t="s">
        <v>162</v>
      </c>
      <c r="CV116" s="689">
        <v>1</v>
      </c>
      <c r="CW116" s="178" t="s">
        <v>252</v>
      </c>
      <c r="CX116" s="663">
        <v>46023</v>
      </c>
      <c r="CY116" s="663">
        <v>46387</v>
      </c>
      <c r="CZ116" s="146">
        <v>1</v>
      </c>
      <c r="DA116" s="146">
        <v>1</v>
      </c>
      <c r="DB116" s="146">
        <v>1</v>
      </c>
      <c r="DC116" s="146">
        <v>1</v>
      </c>
      <c r="DD116" s="146">
        <v>1</v>
      </c>
      <c r="DE116" s="145" t="s">
        <v>182</v>
      </c>
      <c r="DF116" s="145" t="s">
        <v>182</v>
      </c>
      <c r="DG116" s="145" t="s">
        <v>182</v>
      </c>
      <c r="DH116" s="295">
        <v>0</v>
      </c>
      <c r="DI116" s="145"/>
      <c r="DJ116" s="145"/>
      <c r="DK116" s="145"/>
      <c r="DL116" s="145"/>
      <c r="DM116" s="145"/>
      <c r="DN116" s="85"/>
      <c r="DO116" s="86"/>
      <c r="DP116" s="84"/>
      <c r="DQ116" s="86"/>
      <c r="DR116" s="86"/>
      <c r="DS116" s="85"/>
      <c r="DT116" s="761"/>
      <c r="DU116" s="84"/>
      <c r="DV116" s="86"/>
      <c r="DW116" s="86"/>
      <c r="DX116" s="157"/>
      <c r="DY116" s="708"/>
      <c r="DZ116" s="145"/>
      <c r="EA116" s="677"/>
      <c r="EB116" s="677"/>
      <c r="EC116" s="84"/>
      <c r="ED116" s="84"/>
      <c r="EE116" s="84"/>
      <c r="EF116" s="84"/>
      <c r="EG116" s="84"/>
      <c r="EH116" s="146"/>
      <c r="EI116" s="84"/>
      <c r="EJ116" s="84"/>
      <c r="EK116" s="131"/>
      <c r="EL116" s="91" t="str">
        <f t="shared" si="19"/>
        <v>No se reportó avance</v>
      </c>
      <c r="EM116" s="83" t="str">
        <f t="shared" si="20"/>
        <v>No se reportó avance</v>
      </c>
      <c r="EN116" s="153"/>
    </row>
    <row r="117" spans="1:146" s="93" customFormat="1" ht="150" customHeight="1">
      <c r="A117" s="84" t="s">
        <v>1044</v>
      </c>
      <c r="B117" s="97" t="s">
        <v>1045</v>
      </c>
      <c r="C117" s="97" t="s">
        <v>1046</v>
      </c>
      <c r="D117" s="94" t="s">
        <v>1047</v>
      </c>
      <c r="E117" s="97" t="s">
        <v>182</v>
      </c>
      <c r="F117" s="97" t="s">
        <v>182</v>
      </c>
      <c r="G117" s="97" t="s">
        <v>182</v>
      </c>
      <c r="H117" s="94" t="s">
        <v>1095</v>
      </c>
      <c r="I117" s="84" t="s">
        <v>454</v>
      </c>
      <c r="J117" s="84" t="s">
        <v>455</v>
      </c>
      <c r="K117" s="94" t="s">
        <v>535</v>
      </c>
      <c r="L117" s="131">
        <v>1</v>
      </c>
      <c r="M117" s="84" t="s">
        <v>1049</v>
      </c>
      <c r="N117" s="84" t="s">
        <v>1050</v>
      </c>
      <c r="O117" s="84" t="s">
        <v>1096</v>
      </c>
      <c r="P117" s="84" t="s">
        <v>953</v>
      </c>
      <c r="Q117" s="84" t="s">
        <v>162</v>
      </c>
      <c r="R117" s="85">
        <v>1</v>
      </c>
      <c r="S117" s="84" t="s">
        <v>163</v>
      </c>
      <c r="T117" s="90">
        <v>44927</v>
      </c>
      <c r="U117" s="90">
        <v>46387</v>
      </c>
      <c r="V117" s="85">
        <v>1</v>
      </c>
      <c r="W117" s="85">
        <v>1</v>
      </c>
      <c r="X117" s="85">
        <v>1</v>
      </c>
      <c r="Y117" s="85">
        <v>1</v>
      </c>
      <c r="Z117" s="85">
        <v>1</v>
      </c>
      <c r="AA117" s="85">
        <v>1</v>
      </c>
      <c r="AB117" s="85">
        <v>1</v>
      </c>
      <c r="AC117" s="85">
        <v>1</v>
      </c>
      <c r="AD117" s="85">
        <v>1</v>
      </c>
      <c r="AE117" s="85">
        <v>1</v>
      </c>
      <c r="AF117" s="85">
        <v>1</v>
      </c>
      <c r="AG117" s="85">
        <v>1</v>
      </c>
      <c r="AH117" s="85">
        <v>1</v>
      </c>
      <c r="AI117" s="85">
        <v>1</v>
      </c>
      <c r="AJ117" s="85">
        <v>1</v>
      </c>
      <c r="AK117" s="157">
        <v>1</v>
      </c>
      <c r="AL117" s="157">
        <v>1</v>
      </c>
      <c r="AM117" s="157">
        <v>1</v>
      </c>
      <c r="AN117" s="157">
        <v>1</v>
      </c>
      <c r="AO117" s="157">
        <v>1</v>
      </c>
      <c r="AP117" s="157">
        <v>1</v>
      </c>
      <c r="AQ117" s="84"/>
      <c r="AR117" s="84"/>
      <c r="AS117" s="84"/>
      <c r="AT117" s="84"/>
      <c r="AU117" s="84"/>
      <c r="AV117" s="84"/>
      <c r="AW117" s="84"/>
      <c r="AX117" s="84"/>
      <c r="AY117" s="84"/>
      <c r="AZ117" s="86"/>
      <c r="BA117" s="84"/>
      <c r="BB117" s="84"/>
      <c r="BC117" s="84"/>
      <c r="BD117" s="84"/>
      <c r="BE117" s="84"/>
      <c r="BF117" s="84"/>
      <c r="BG117" s="84"/>
      <c r="BH117" s="84"/>
      <c r="BI117" s="84"/>
      <c r="BJ117" s="86"/>
      <c r="BK117" s="84"/>
      <c r="BL117" s="86"/>
      <c r="BM117" s="84"/>
      <c r="BN117" s="86"/>
      <c r="BO117" s="84"/>
      <c r="BP117" s="86"/>
      <c r="BQ117" s="84"/>
      <c r="BR117" s="84"/>
      <c r="BS117" s="84"/>
      <c r="BT117" s="84"/>
      <c r="BU117" s="84"/>
      <c r="BV117" s="84"/>
      <c r="BW117" s="84"/>
      <c r="BX117" s="84"/>
      <c r="BY117" s="84"/>
      <c r="BZ117" s="84"/>
      <c r="CA117" s="84"/>
      <c r="CB117" s="84"/>
      <c r="CC117" s="84"/>
      <c r="CD117" s="84"/>
      <c r="CE117" s="84"/>
      <c r="CF117" s="84"/>
      <c r="CG117" s="155" t="s">
        <v>182</v>
      </c>
      <c r="CH117" s="155" t="s">
        <v>182</v>
      </c>
      <c r="CI117" s="155" t="s">
        <v>182</v>
      </c>
      <c r="CJ117" s="83" t="str">
        <f t="shared" si="28"/>
        <v>No aplica</v>
      </c>
      <c r="CK117" s="83" t="str">
        <f t="shared" si="29"/>
        <v>No aplica</v>
      </c>
      <c r="CL117" s="83" t="str">
        <f t="shared" si="16"/>
        <v>No requiere reporte</v>
      </c>
      <c r="CM117" s="89" t="str">
        <f t="shared" si="17"/>
        <v>No requiere reporte</v>
      </c>
      <c r="CN117" s="89" t="str">
        <f t="shared" si="18"/>
        <v>No requiere reporte</v>
      </c>
      <c r="CO117" s="178">
        <v>1.7</v>
      </c>
      <c r="CP117" s="178" t="s">
        <v>1097</v>
      </c>
      <c r="CQ117" s="178" t="s">
        <v>1066</v>
      </c>
      <c r="CR117" s="178" t="s">
        <v>1098</v>
      </c>
      <c r="CS117" s="178" t="s">
        <v>1099</v>
      </c>
      <c r="CT117" s="178" t="s">
        <v>953</v>
      </c>
      <c r="CU117" s="178" t="s">
        <v>162</v>
      </c>
      <c r="CV117" s="689">
        <v>1</v>
      </c>
      <c r="CW117" s="178" t="s">
        <v>252</v>
      </c>
      <c r="CX117" s="663">
        <v>46023</v>
      </c>
      <c r="CY117" s="663">
        <v>46387</v>
      </c>
      <c r="CZ117" s="146">
        <v>1</v>
      </c>
      <c r="DA117" s="146">
        <v>1</v>
      </c>
      <c r="DB117" s="146">
        <v>1</v>
      </c>
      <c r="DC117" s="146">
        <v>1</v>
      </c>
      <c r="DD117" s="146">
        <v>1</v>
      </c>
      <c r="DE117" s="145" t="s">
        <v>182</v>
      </c>
      <c r="DF117" s="145" t="s">
        <v>182</v>
      </c>
      <c r="DG117" s="145" t="s">
        <v>182</v>
      </c>
      <c r="DH117" s="295">
        <v>0</v>
      </c>
      <c r="DI117" s="145"/>
      <c r="DJ117" s="145"/>
      <c r="DK117" s="145"/>
      <c r="DL117" s="145"/>
      <c r="DM117" s="145"/>
      <c r="DN117" s="85"/>
      <c r="DO117" s="761"/>
      <c r="DP117" s="84"/>
      <c r="DQ117" s="86"/>
      <c r="DR117" s="86"/>
      <c r="DS117" s="85"/>
      <c r="DT117" s="86"/>
      <c r="DU117" s="84"/>
      <c r="DV117" s="86"/>
      <c r="DW117" s="86"/>
      <c r="DX117" s="157"/>
      <c r="DY117" s="708"/>
      <c r="DZ117" s="145"/>
      <c r="EA117" s="677"/>
      <c r="EB117" s="677"/>
      <c r="EC117" s="84"/>
      <c r="ED117" s="84"/>
      <c r="EE117" s="84"/>
      <c r="EF117" s="84"/>
      <c r="EG117" s="84"/>
      <c r="EH117" s="146"/>
      <c r="EI117" s="84"/>
      <c r="EJ117" s="84"/>
      <c r="EK117" s="131"/>
      <c r="EL117" s="91" t="str">
        <f t="shared" si="19"/>
        <v>No se reportó avance</v>
      </c>
      <c r="EM117" s="83" t="str">
        <f t="shared" si="20"/>
        <v>No se reportó avance</v>
      </c>
      <c r="EN117" s="153"/>
    </row>
    <row r="118" spans="1:146" s="93" customFormat="1" ht="150" customHeight="1">
      <c r="A118" s="74" t="s">
        <v>1044</v>
      </c>
      <c r="B118" s="99" t="s">
        <v>1045</v>
      </c>
      <c r="C118" s="99" t="s">
        <v>1046</v>
      </c>
      <c r="D118" s="98" t="s">
        <v>1047</v>
      </c>
      <c r="E118" s="99" t="s">
        <v>182</v>
      </c>
      <c r="F118" s="99" t="s">
        <v>182</v>
      </c>
      <c r="G118" s="99" t="s">
        <v>182</v>
      </c>
      <c r="H118" s="98" t="s">
        <v>1100</v>
      </c>
      <c r="I118" s="74" t="s">
        <v>454</v>
      </c>
      <c r="J118" s="74" t="s">
        <v>455</v>
      </c>
      <c r="K118" s="98" t="s">
        <v>1101</v>
      </c>
      <c r="L118" s="294">
        <v>2</v>
      </c>
      <c r="M118" s="78" t="s">
        <v>1102</v>
      </c>
      <c r="N118" s="78" t="s">
        <v>1103</v>
      </c>
      <c r="O118" s="78" t="s">
        <v>1104</v>
      </c>
      <c r="P118" s="78" t="s">
        <v>200</v>
      </c>
      <c r="Q118" s="78" t="s">
        <v>233</v>
      </c>
      <c r="R118" s="176">
        <v>4</v>
      </c>
      <c r="S118" s="78" t="s">
        <v>402</v>
      </c>
      <c r="T118" s="80">
        <v>44927</v>
      </c>
      <c r="U118" s="80">
        <v>46387</v>
      </c>
      <c r="V118" s="192">
        <v>1</v>
      </c>
      <c r="W118" s="192">
        <v>1</v>
      </c>
      <c r="X118" s="192">
        <v>1</v>
      </c>
      <c r="Y118" s="192">
        <v>1</v>
      </c>
      <c r="Z118" s="176">
        <v>4</v>
      </c>
      <c r="AA118" s="192">
        <v>1</v>
      </c>
      <c r="AB118" s="192">
        <v>1</v>
      </c>
      <c r="AC118" s="192">
        <v>1</v>
      </c>
      <c r="AD118" s="192">
        <v>1</v>
      </c>
      <c r="AE118" s="176">
        <f>+AA118+AB118+AC118+AD118</f>
        <v>4</v>
      </c>
      <c r="AF118" s="176">
        <v>1</v>
      </c>
      <c r="AG118" s="176">
        <v>1</v>
      </c>
      <c r="AH118" s="176">
        <v>1</v>
      </c>
      <c r="AI118" s="176">
        <v>1</v>
      </c>
      <c r="AJ118" s="176">
        <v>4</v>
      </c>
      <c r="AK118" s="296">
        <v>1</v>
      </c>
      <c r="AL118" s="296">
        <v>1</v>
      </c>
      <c r="AM118" s="296">
        <v>1</v>
      </c>
      <c r="AN118" s="296">
        <v>1</v>
      </c>
      <c r="AO118" s="297">
        <v>4</v>
      </c>
      <c r="AP118" s="297">
        <v>16</v>
      </c>
      <c r="AQ118" s="122">
        <v>1</v>
      </c>
      <c r="AR118" s="84" t="s">
        <v>1105</v>
      </c>
      <c r="AS118" s="710">
        <v>1</v>
      </c>
      <c r="AT118" s="84" t="s">
        <v>1106</v>
      </c>
      <c r="AU118" s="710">
        <v>1</v>
      </c>
      <c r="AV118" s="84" t="s">
        <v>1107</v>
      </c>
      <c r="AW118" s="710">
        <v>1</v>
      </c>
      <c r="AX118" s="94" t="s">
        <v>1108</v>
      </c>
      <c r="AY118" s="710">
        <f>+AQ118+AS118+AU118+AW118</f>
        <v>4</v>
      </c>
      <c r="AZ118" s="106" t="s">
        <v>1109</v>
      </c>
      <c r="BA118" s="710">
        <v>1</v>
      </c>
      <c r="BB118" s="710" t="s">
        <v>1110</v>
      </c>
      <c r="BC118" s="710">
        <v>1</v>
      </c>
      <c r="BD118" s="710" t="s">
        <v>1111</v>
      </c>
      <c r="BE118" s="710">
        <v>1</v>
      </c>
      <c r="BF118" s="710" t="s">
        <v>1112</v>
      </c>
      <c r="BG118" s="710">
        <v>1</v>
      </c>
      <c r="BH118" s="710" t="s">
        <v>1113</v>
      </c>
      <c r="BI118" s="710">
        <f>+BA118+BC118+BE118+BG118</f>
        <v>4</v>
      </c>
      <c r="BJ118" s="106" t="s">
        <v>1114</v>
      </c>
      <c r="BK118" s="84">
        <v>1</v>
      </c>
      <c r="BL118" s="86" t="s">
        <v>1115</v>
      </c>
      <c r="BM118" s="84">
        <v>1</v>
      </c>
      <c r="BN118" s="86" t="s">
        <v>1116</v>
      </c>
      <c r="BO118" s="145">
        <v>1</v>
      </c>
      <c r="BP118" s="677" t="s">
        <v>1117</v>
      </c>
      <c r="BQ118" s="84"/>
      <c r="BR118" s="84"/>
      <c r="BS118" s="145">
        <v>3</v>
      </c>
      <c r="BT118" s="84"/>
      <c r="BU118" s="84"/>
      <c r="BV118" s="84"/>
      <c r="BW118" s="84"/>
      <c r="BX118" s="84"/>
      <c r="BY118" s="84"/>
      <c r="BZ118" s="84"/>
      <c r="CA118" s="84"/>
      <c r="CB118" s="84"/>
      <c r="CC118" s="84"/>
      <c r="CD118" s="84"/>
      <c r="CE118" s="154">
        <f>+AY118+BI118+BS118+CC118</f>
        <v>11</v>
      </c>
      <c r="CF118" s="84"/>
      <c r="CG118" s="155" t="s">
        <v>182</v>
      </c>
      <c r="CH118" s="300" t="s">
        <v>182</v>
      </c>
      <c r="CI118" s="300" t="s">
        <v>182</v>
      </c>
      <c r="CJ118" s="301" t="str">
        <f t="shared" si="28"/>
        <v>No aplica</v>
      </c>
      <c r="CK118" s="301" t="str">
        <f t="shared" si="29"/>
        <v>No aplica</v>
      </c>
      <c r="CL118" s="83" t="str">
        <f t="shared" si="16"/>
        <v>No se reportó avance</v>
      </c>
      <c r="CM118" s="89" t="str">
        <f t="shared" si="17"/>
        <v>No se reportó avance</v>
      </c>
      <c r="CN118" s="89">
        <f t="shared" si="18"/>
        <v>0.6875</v>
      </c>
      <c r="CO118" s="178">
        <v>2.1</v>
      </c>
      <c r="CP118" s="178" t="s">
        <v>1118</v>
      </c>
      <c r="CQ118" s="178" t="s">
        <v>1119</v>
      </c>
      <c r="CR118" s="178" t="s">
        <v>1120</v>
      </c>
      <c r="CS118" s="178" t="s">
        <v>669</v>
      </c>
      <c r="CT118" s="178" t="s">
        <v>953</v>
      </c>
      <c r="CU118" s="178" t="s">
        <v>233</v>
      </c>
      <c r="CV118" s="178">
        <v>4</v>
      </c>
      <c r="CW118" s="178" t="s">
        <v>234</v>
      </c>
      <c r="CX118" s="663">
        <v>46023</v>
      </c>
      <c r="CY118" s="663">
        <v>46387</v>
      </c>
      <c r="CZ118" s="178">
        <v>1</v>
      </c>
      <c r="DA118" s="178">
        <v>1</v>
      </c>
      <c r="DB118" s="178">
        <v>1</v>
      </c>
      <c r="DC118" s="178">
        <v>1</v>
      </c>
      <c r="DD118" s="178">
        <v>4</v>
      </c>
      <c r="DE118" s="145" t="s">
        <v>182</v>
      </c>
      <c r="DF118" s="145" t="s">
        <v>182</v>
      </c>
      <c r="DG118" s="145" t="s">
        <v>182</v>
      </c>
      <c r="DH118" s="295">
        <v>0</v>
      </c>
      <c r="DI118" s="145"/>
      <c r="DJ118" s="145"/>
      <c r="DK118" s="145"/>
      <c r="DL118" s="145"/>
      <c r="DM118" s="145"/>
      <c r="DN118" s="84"/>
      <c r="DO118" s="86"/>
      <c r="DP118" s="150"/>
      <c r="DQ118" s="86"/>
      <c r="DR118" s="86"/>
      <c r="DS118" s="84"/>
      <c r="DT118" s="86"/>
      <c r="DU118" s="84"/>
      <c r="DV118" s="86"/>
      <c r="DW118" s="86"/>
      <c r="DX118" s="145"/>
      <c r="DY118" s="708"/>
      <c r="DZ118" s="711"/>
      <c r="EA118" s="709"/>
      <c r="EB118" s="677"/>
      <c r="EC118" s="84"/>
      <c r="ED118" s="84"/>
      <c r="EE118" s="84"/>
      <c r="EF118" s="84"/>
      <c r="EG118" s="84"/>
      <c r="EH118" s="145"/>
      <c r="EI118" s="84"/>
      <c r="EJ118" s="84"/>
      <c r="EK118" s="131"/>
      <c r="EL118" s="91" t="str">
        <f t="shared" si="19"/>
        <v>No se reportó avance</v>
      </c>
      <c r="EM118" s="83" t="str">
        <f t="shared" si="20"/>
        <v>No se reportó avance</v>
      </c>
      <c r="EN118" s="86" t="s">
        <v>1121</v>
      </c>
    </row>
    <row r="119" spans="1:146" s="93" customFormat="1" ht="150" customHeight="1">
      <c r="A119" s="74" t="s">
        <v>1044</v>
      </c>
      <c r="B119" s="99" t="s">
        <v>1045</v>
      </c>
      <c r="C119" s="99" t="s">
        <v>1046</v>
      </c>
      <c r="D119" s="98" t="s">
        <v>1047</v>
      </c>
      <c r="E119" s="99" t="s">
        <v>182</v>
      </c>
      <c r="F119" s="99" t="s">
        <v>182</v>
      </c>
      <c r="G119" s="99" t="s">
        <v>182</v>
      </c>
      <c r="H119" s="98" t="s">
        <v>1122</v>
      </c>
      <c r="I119" s="74" t="s">
        <v>454</v>
      </c>
      <c r="J119" s="74" t="s">
        <v>455</v>
      </c>
      <c r="K119" s="98" t="s">
        <v>1101</v>
      </c>
      <c r="L119" s="294">
        <v>3</v>
      </c>
      <c r="M119" s="78" t="s">
        <v>1123</v>
      </c>
      <c r="N119" s="302" t="s">
        <v>1124</v>
      </c>
      <c r="O119" s="302" t="s">
        <v>1125</v>
      </c>
      <c r="P119" s="78" t="s">
        <v>200</v>
      </c>
      <c r="Q119" s="78" t="s">
        <v>233</v>
      </c>
      <c r="R119" s="176">
        <v>16</v>
      </c>
      <c r="S119" s="78" t="s">
        <v>402</v>
      </c>
      <c r="T119" s="80">
        <v>44927</v>
      </c>
      <c r="U119" s="80">
        <v>46387</v>
      </c>
      <c r="V119" s="192">
        <v>4</v>
      </c>
      <c r="W119" s="192">
        <v>4</v>
      </c>
      <c r="X119" s="192">
        <v>4</v>
      </c>
      <c r="Y119" s="192">
        <v>4</v>
      </c>
      <c r="Z119" s="176">
        <f>+V119+W119+X119+Y119</f>
        <v>16</v>
      </c>
      <c r="AA119" s="192">
        <v>4</v>
      </c>
      <c r="AB119" s="192">
        <v>4</v>
      </c>
      <c r="AC119" s="192">
        <v>4</v>
      </c>
      <c r="AD119" s="192">
        <v>4</v>
      </c>
      <c r="AE119" s="176">
        <f>+AA119+AB119+AC119+AD119</f>
        <v>16</v>
      </c>
      <c r="AF119" s="176">
        <v>4</v>
      </c>
      <c r="AG119" s="176">
        <v>4</v>
      </c>
      <c r="AH119" s="176">
        <v>4</v>
      </c>
      <c r="AI119" s="176">
        <v>4</v>
      </c>
      <c r="AJ119" s="176">
        <f>+AF119+AG119+AH119+AI119</f>
        <v>16</v>
      </c>
      <c r="AK119" s="296">
        <v>4</v>
      </c>
      <c r="AL119" s="296">
        <v>4</v>
      </c>
      <c r="AM119" s="296">
        <v>4</v>
      </c>
      <c r="AN119" s="296">
        <v>4</v>
      </c>
      <c r="AO119" s="297">
        <v>16</v>
      </c>
      <c r="AP119" s="297">
        <v>64</v>
      </c>
      <c r="AQ119" s="122">
        <v>4</v>
      </c>
      <c r="AR119" s="84" t="s">
        <v>1126</v>
      </c>
      <c r="AS119" s="710">
        <v>4</v>
      </c>
      <c r="AT119" s="84" t="s">
        <v>1127</v>
      </c>
      <c r="AU119" s="710">
        <v>4</v>
      </c>
      <c r="AV119" s="84" t="s">
        <v>1128</v>
      </c>
      <c r="AW119" s="710">
        <v>4</v>
      </c>
      <c r="AX119" s="97" t="s">
        <v>1129</v>
      </c>
      <c r="AY119" s="710">
        <f>+AQ119+AS119+AU119+AW119</f>
        <v>16</v>
      </c>
      <c r="AZ119" s="106" t="s">
        <v>1130</v>
      </c>
      <c r="BA119" s="710">
        <v>4</v>
      </c>
      <c r="BB119" s="710" t="s">
        <v>1131</v>
      </c>
      <c r="BC119" s="710">
        <v>4</v>
      </c>
      <c r="BD119" s="710" t="s">
        <v>1132</v>
      </c>
      <c r="BE119" s="710">
        <v>4</v>
      </c>
      <c r="BF119" s="710" t="s">
        <v>1133</v>
      </c>
      <c r="BG119" s="710">
        <v>4</v>
      </c>
      <c r="BH119" s="710" t="s">
        <v>1134</v>
      </c>
      <c r="BI119" s="710">
        <f>+BG119+BE119+BC119+BA119</f>
        <v>16</v>
      </c>
      <c r="BJ119" s="106" t="s">
        <v>1135</v>
      </c>
      <c r="BK119" s="122">
        <v>4</v>
      </c>
      <c r="BL119" s="86" t="s">
        <v>1136</v>
      </c>
      <c r="BM119" s="84">
        <v>4</v>
      </c>
      <c r="BN119" s="86" t="s">
        <v>1137</v>
      </c>
      <c r="BO119" s="145">
        <v>4</v>
      </c>
      <c r="BP119" s="708" t="s">
        <v>1138</v>
      </c>
      <c r="BQ119" s="84"/>
      <c r="BR119" s="84"/>
      <c r="BS119" s="154">
        <v>12</v>
      </c>
      <c r="BT119" s="84"/>
      <c r="BU119" s="84"/>
      <c r="BV119" s="84"/>
      <c r="BW119" s="84"/>
      <c r="BX119" s="84"/>
      <c r="BY119" s="84"/>
      <c r="BZ119" s="84"/>
      <c r="CA119" s="84"/>
      <c r="CB119" s="84"/>
      <c r="CC119" s="84"/>
      <c r="CD119" s="122"/>
      <c r="CE119" s="154">
        <f>+AY119+BI119+BS119+CC119</f>
        <v>44</v>
      </c>
      <c r="CF119" s="84"/>
      <c r="CG119" s="155" t="s">
        <v>182</v>
      </c>
      <c r="CH119" s="300" t="s">
        <v>182</v>
      </c>
      <c r="CI119" s="300" t="s">
        <v>182</v>
      </c>
      <c r="CJ119" s="301" t="str">
        <f t="shared" si="28"/>
        <v>No aplica</v>
      </c>
      <c r="CK119" s="301" t="str">
        <f t="shared" si="29"/>
        <v>No aplica</v>
      </c>
      <c r="CL119" s="83" t="str">
        <f t="shared" si="16"/>
        <v>No se reportó avance</v>
      </c>
      <c r="CM119" s="89" t="str">
        <f t="shared" si="17"/>
        <v>No se reportó avance</v>
      </c>
      <c r="CN119" s="89">
        <f t="shared" si="18"/>
        <v>0.6875</v>
      </c>
      <c r="CO119" s="178">
        <v>3.1</v>
      </c>
      <c r="CP119" s="178" t="s">
        <v>1139</v>
      </c>
      <c r="CQ119" s="178" t="s">
        <v>1140</v>
      </c>
      <c r="CR119" s="178" t="s">
        <v>1141</v>
      </c>
      <c r="CS119" s="178" t="s">
        <v>1142</v>
      </c>
      <c r="CT119" s="178" t="s">
        <v>953</v>
      </c>
      <c r="CU119" s="178" t="s">
        <v>233</v>
      </c>
      <c r="CV119" s="707">
        <v>16</v>
      </c>
      <c r="CW119" s="178" t="s">
        <v>234</v>
      </c>
      <c r="CX119" s="663">
        <v>46023</v>
      </c>
      <c r="CY119" s="663">
        <v>46387</v>
      </c>
      <c r="CZ119" s="178">
        <v>4</v>
      </c>
      <c r="DA119" s="178">
        <v>4</v>
      </c>
      <c r="DB119" s="178">
        <v>4</v>
      </c>
      <c r="DC119" s="178">
        <v>4</v>
      </c>
      <c r="DD119" s="178">
        <v>16</v>
      </c>
      <c r="DE119" s="145" t="s">
        <v>182</v>
      </c>
      <c r="DF119" s="145" t="s">
        <v>182</v>
      </c>
      <c r="DG119" s="145" t="s">
        <v>182</v>
      </c>
      <c r="DH119" s="295">
        <v>0</v>
      </c>
      <c r="DI119" s="145"/>
      <c r="DJ119" s="145"/>
      <c r="DK119" s="145"/>
      <c r="DL119" s="145"/>
      <c r="DM119" s="145"/>
      <c r="DN119" s="84"/>
      <c r="DO119" s="86"/>
      <c r="DP119" s="150"/>
      <c r="DQ119" s="303"/>
      <c r="DR119" s="303"/>
      <c r="DS119" s="84"/>
      <c r="DT119" s="86"/>
      <c r="DU119" s="94"/>
      <c r="DV119" s="86"/>
      <c r="DW119" s="86"/>
      <c r="DX119" s="145"/>
      <c r="DY119" s="708"/>
      <c r="DZ119" s="178"/>
      <c r="EA119" s="709"/>
      <c r="EB119" s="677"/>
      <c r="EC119" s="84"/>
      <c r="ED119" s="84"/>
      <c r="EE119" s="84"/>
      <c r="EF119" s="84"/>
      <c r="EG119" s="84"/>
      <c r="EH119" s="145"/>
      <c r="EI119" s="84"/>
      <c r="EJ119" s="84"/>
      <c r="EK119" s="131"/>
      <c r="EL119" s="91" t="str">
        <f t="shared" si="19"/>
        <v>No se reportó avance</v>
      </c>
      <c r="EM119" s="83" t="str">
        <f t="shared" si="20"/>
        <v>No se reportó avance</v>
      </c>
      <c r="EN119" s="86" t="s">
        <v>1143</v>
      </c>
    </row>
    <row r="120" spans="1:146" s="306" customFormat="1" ht="150" customHeight="1">
      <c r="A120" s="74" t="s">
        <v>1044</v>
      </c>
      <c r="B120" s="99" t="s">
        <v>1045</v>
      </c>
      <c r="C120" s="99" t="s">
        <v>1046</v>
      </c>
      <c r="D120" s="98" t="s">
        <v>1047</v>
      </c>
      <c r="E120" s="99" t="s">
        <v>182</v>
      </c>
      <c r="F120" s="99" t="s">
        <v>182</v>
      </c>
      <c r="G120" s="99" t="s">
        <v>182</v>
      </c>
      <c r="H120" s="98" t="s">
        <v>1144</v>
      </c>
      <c r="I120" s="74" t="s">
        <v>454</v>
      </c>
      <c r="J120" s="74" t="s">
        <v>455</v>
      </c>
      <c r="K120" s="98" t="s">
        <v>1101</v>
      </c>
      <c r="L120" s="182">
        <v>4</v>
      </c>
      <c r="M120" s="78" t="s">
        <v>1145</v>
      </c>
      <c r="N120" s="304" t="s">
        <v>1146</v>
      </c>
      <c r="O120" s="302" t="s">
        <v>1147</v>
      </c>
      <c r="P120" s="305" t="s">
        <v>200</v>
      </c>
      <c r="Q120" s="78" t="s">
        <v>233</v>
      </c>
      <c r="R120" s="176">
        <v>4</v>
      </c>
      <c r="S120" s="78" t="s">
        <v>402</v>
      </c>
      <c r="T120" s="80">
        <v>46023</v>
      </c>
      <c r="U120" s="80">
        <v>46387</v>
      </c>
      <c r="V120" s="176"/>
      <c r="W120" s="176"/>
      <c r="X120" s="176"/>
      <c r="Y120" s="176"/>
      <c r="Z120" s="176"/>
      <c r="AA120" s="176"/>
      <c r="AB120" s="176"/>
      <c r="AC120" s="176"/>
      <c r="AD120" s="176"/>
      <c r="AE120" s="176"/>
      <c r="AF120" s="176"/>
      <c r="AG120" s="176"/>
      <c r="AH120" s="176"/>
      <c r="AI120" s="176"/>
      <c r="AJ120" s="176"/>
      <c r="AK120" s="297">
        <v>1</v>
      </c>
      <c r="AL120" s="297">
        <v>1</v>
      </c>
      <c r="AM120" s="297">
        <v>1</v>
      </c>
      <c r="AN120" s="297">
        <v>1</v>
      </c>
      <c r="AO120" s="297">
        <v>4</v>
      </c>
      <c r="AP120" s="297">
        <v>4</v>
      </c>
      <c r="AQ120" s="84"/>
      <c r="AR120" s="84"/>
      <c r="AS120" s="84"/>
      <c r="AT120" s="84"/>
      <c r="AU120" s="84"/>
      <c r="AV120" s="84"/>
      <c r="AW120" s="84"/>
      <c r="AX120" s="84"/>
      <c r="AY120" s="84"/>
      <c r="AZ120" s="86"/>
      <c r="BA120" s="84"/>
      <c r="BB120" s="84"/>
      <c r="BC120" s="84"/>
      <c r="BD120" s="84"/>
      <c r="BE120" s="84"/>
      <c r="BF120" s="84"/>
      <c r="BG120" s="84"/>
      <c r="BH120" s="84"/>
      <c r="BI120" s="84"/>
      <c r="BJ120" s="86"/>
      <c r="BK120" s="84"/>
      <c r="BL120" s="86"/>
      <c r="BM120" s="84"/>
      <c r="BN120" s="86"/>
      <c r="BO120" s="84"/>
      <c r="BP120" s="86"/>
      <c r="BQ120" s="84"/>
      <c r="BR120" s="84"/>
      <c r="BS120" s="84"/>
      <c r="BT120" s="84"/>
      <c r="BU120" s="84">
        <v>1</v>
      </c>
      <c r="BV120" s="84"/>
      <c r="BW120" s="84">
        <v>1</v>
      </c>
      <c r="BX120" s="84"/>
      <c r="BY120" s="84">
        <v>1</v>
      </c>
      <c r="BZ120" s="84"/>
      <c r="CA120" s="84">
        <v>1</v>
      </c>
      <c r="CB120" s="84"/>
      <c r="CC120" s="84">
        <v>4</v>
      </c>
      <c r="CD120" s="84"/>
      <c r="CE120" s="84">
        <v>4</v>
      </c>
      <c r="CF120" s="84">
        <v>4</v>
      </c>
      <c r="CG120" s="155" t="s">
        <v>182</v>
      </c>
      <c r="CH120" s="299" t="s">
        <v>182</v>
      </c>
      <c r="CI120" s="298" t="s">
        <v>182</v>
      </c>
      <c r="CJ120" s="301" t="str">
        <f t="shared" si="28"/>
        <v>No aplica</v>
      </c>
      <c r="CK120" s="301" t="str">
        <f t="shared" si="29"/>
        <v>No aplica</v>
      </c>
      <c r="CL120" s="83">
        <f t="shared" si="16"/>
        <v>1</v>
      </c>
      <c r="CM120" s="89">
        <f t="shared" si="17"/>
        <v>1</v>
      </c>
      <c r="CN120" s="89">
        <f t="shared" si="18"/>
        <v>1</v>
      </c>
      <c r="CO120" s="178">
        <v>4.0999999999999996</v>
      </c>
      <c r="CP120" s="705" t="s">
        <v>1148</v>
      </c>
      <c r="CQ120" s="705" t="s">
        <v>1149</v>
      </c>
      <c r="CR120" s="705" t="s">
        <v>1150</v>
      </c>
      <c r="CS120" s="706" t="s">
        <v>1151</v>
      </c>
      <c r="CT120" s="178" t="s">
        <v>953</v>
      </c>
      <c r="CU120" s="178" t="s">
        <v>233</v>
      </c>
      <c r="CV120" s="707">
        <v>4</v>
      </c>
      <c r="CW120" s="178" t="s">
        <v>234</v>
      </c>
      <c r="CX120" s="663">
        <v>46023</v>
      </c>
      <c r="CY120" s="663">
        <v>46387</v>
      </c>
      <c r="CZ120" s="178">
        <v>1</v>
      </c>
      <c r="DA120" s="178">
        <v>1</v>
      </c>
      <c r="DB120" s="178">
        <v>1</v>
      </c>
      <c r="DC120" s="178">
        <v>1</v>
      </c>
      <c r="DD120" s="178">
        <v>4</v>
      </c>
      <c r="DE120" s="145" t="s">
        <v>182</v>
      </c>
      <c r="DF120" s="145" t="s">
        <v>182</v>
      </c>
      <c r="DG120" s="145" t="s">
        <v>182</v>
      </c>
      <c r="DH120" s="295">
        <v>1</v>
      </c>
      <c r="DI120" s="145"/>
      <c r="DJ120" s="145"/>
      <c r="DK120" s="145"/>
      <c r="DL120" s="145"/>
      <c r="DM120" s="145"/>
      <c r="DN120" s="84"/>
      <c r="DO120" s="86"/>
      <c r="DP120" s="150"/>
      <c r="DQ120" s="303"/>
      <c r="DR120" s="303"/>
      <c r="DS120" s="84"/>
      <c r="DT120" s="86"/>
      <c r="DU120" s="94"/>
      <c r="DV120" s="86"/>
      <c r="DW120" s="86"/>
      <c r="DX120" s="145"/>
      <c r="DY120" s="708"/>
      <c r="DZ120" s="178"/>
      <c r="EA120" s="709"/>
      <c r="EB120" s="677"/>
      <c r="EC120" s="84"/>
      <c r="ED120" s="84"/>
      <c r="EE120" s="84"/>
      <c r="EF120" s="84"/>
      <c r="EG120" s="84"/>
      <c r="EH120" s="145"/>
      <c r="EI120" s="84"/>
      <c r="EJ120" s="84"/>
      <c r="EK120" s="131"/>
      <c r="EL120" s="91" t="str">
        <f t="shared" si="19"/>
        <v>No se reportó avance</v>
      </c>
      <c r="EM120" s="83" t="str">
        <f t="shared" si="20"/>
        <v>No se reportó avance</v>
      </c>
      <c r="EN120" s="86"/>
    </row>
    <row r="121" spans="1:146" ht="150" customHeight="1">
      <c r="A121" s="307" t="s">
        <v>1152</v>
      </c>
      <c r="B121" s="307" t="s">
        <v>1153</v>
      </c>
      <c r="C121" s="307" t="s">
        <v>1154</v>
      </c>
      <c r="D121" s="307" t="s">
        <v>1155</v>
      </c>
      <c r="E121" s="307" t="s">
        <v>1156</v>
      </c>
      <c r="F121" s="307" t="s">
        <v>182</v>
      </c>
      <c r="G121" s="307" t="s">
        <v>182</v>
      </c>
      <c r="H121" s="307" t="s">
        <v>182</v>
      </c>
      <c r="I121" s="307" t="s">
        <v>454</v>
      </c>
      <c r="J121" s="203" t="s">
        <v>156</v>
      </c>
      <c r="K121" s="307" t="s">
        <v>1157</v>
      </c>
      <c r="L121" s="260">
        <v>1</v>
      </c>
      <c r="M121" s="255" t="s">
        <v>1158</v>
      </c>
      <c r="N121" s="255" t="s">
        <v>1159</v>
      </c>
      <c r="O121" s="255" t="s">
        <v>1160</v>
      </c>
      <c r="P121" s="255" t="s">
        <v>1161</v>
      </c>
      <c r="Q121" s="260" t="s">
        <v>162</v>
      </c>
      <c r="R121" s="255" t="s">
        <v>182</v>
      </c>
      <c r="S121" s="255" t="s">
        <v>163</v>
      </c>
      <c r="T121" s="308">
        <v>45293</v>
      </c>
      <c r="U121" s="308">
        <v>45657</v>
      </c>
      <c r="V121" s="309">
        <v>1</v>
      </c>
      <c r="W121" s="309">
        <v>1</v>
      </c>
      <c r="X121" s="309">
        <v>1</v>
      </c>
      <c r="Y121" s="309">
        <v>1</v>
      </c>
      <c r="Z121" s="310">
        <v>1</v>
      </c>
      <c r="AA121" s="309">
        <v>1</v>
      </c>
      <c r="AB121" s="309">
        <v>1</v>
      </c>
      <c r="AC121" s="309">
        <v>1</v>
      </c>
      <c r="AD121" s="309">
        <v>1</v>
      </c>
      <c r="AE121" s="310">
        <v>1</v>
      </c>
      <c r="AF121" s="311">
        <v>1</v>
      </c>
      <c r="AG121" s="311">
        <v>1</v>
      </c>
      <c r="AH121" s="311">
        <v>1</v>
      </c>
      <c r="AI121" s="311">
        <v>1</v>
      </c>
      <c r="AJ121" s="310">
        <v>1</v>
      </c>
      <c r="AK121" s="312">
        <v>1</v>
      </c>
      <c r="AL121" s="312">
        <v>1</v>
      </c>
      <c r="AM121" s="312">
        <v>1</v>
      </c>
      <c r="AN121" s="312">
        <v>1</v>
      </c>
      <c r="AO121" s="313">
        <v>1</v>
      </c>
      <c r="AP121" s="314">
        <v>1</v>
      </c>
      <c r="AQ121" s="175">
        <f>(3/5)*100%</f>
        <v>0.6</v>
      </c>
      <c r="AR121" s="175"/>
      <c r="AS121" s="175">
        <f>(2/2)*100%</f>
        <v>1</v>
      </c>
      <c r="AT121" s="175"/>
      <c r="AU121" s="175">
        <f>(2/4)*100%</f>
        <v>0.5</v>
      </c>
      <c r="AV121" s="175"/>
      <c r="AW121" s="175">
        <f>(6/7)*100%</f>
        <v>0.8571428571428571</v>
      </c>
      <c r="AX121" s="175"/>
      <c r="AY121" s="175">
        <f>AVERAGE(AQ121:AW121)</f>
        <v>0.73928571428571432</v>
      </c>
      <c r="AZ121" s="692" t="s">
        <v>1162</v>
      </c>
      <c r="BA121" s="175">
        <f>(3/4)*100%</f>
        <v>0.75</v>
      </c>
      <c r="BB121" s="175" t="s">
        <v>1163</v>
      </c>
      <c r="BC121" s="175">
        <f>(2/2)*100%</f>
        <v>1</v>
      </c>
      <c r="BD121" s="175" t="s">
        <v>1164</v>
      </c>
      <c r="BE121" s="175">
        <f>(4/6)*100%</f>
        <v>0.66666666666666663</v>
      </c>
      <c r="BF121" s="175" t="s">
        <v>1165</v>
      </c>
      <c r="BG121" s="175"/>
      <c r="BH121" s="175"/>
      <c r="BI121" s="175">
        <f>AVERAGE(BA121,BC121,BE121)</f>
        <v>0.80555555555555547</v>
      </c>
      <c r="BJ121" s="315" t="s">
        <v>1166</v>
      </c>
      <c r="BK121" s="175">
        <f>2/2</f>
        <v>1</v>
      </c>
      <c r="BL121" s="315" t="s">
        <v>1167</v>
      </c>
      <c r="BM121" s="175">
        <f>3/4</f>
        <v>0.75</v>
      </c>
      <c r="BN121" s="315" t="s">
        <v>1168</v>
      </c>
      <c r="BO121" s="175">
        <f>3/3</f>
        <v>1</v>
      </c>
      <c r="BP121" s="315" t="s">
        <v>1169</v>
      </c>
      <c r="BQ121" s="175"/>
      <c r="BR121" s="175"/>
      <c r="BS121" s="175"/>
      <c r="BT121" s="175"/>
      <c r="BU121" s="175"/>
      <c r="BV121" s="175"/>
      <c r="BW121" s="175"/>
      <c r="BX121" s="175"/>
      <c r="BY121" s="175"/>
      <c r="BZ121" s="175"/>
      <c r="CA121" s="175"/>
      <c r="CB121" s="175"/>
      <c r="CC121" s="175"/>
      <c r="CD121" s="175"/>
      <c r="CE121" s="83"/>
      <c r="CF121" s="175" t="s">
        <v>1170</v>
      </c>
      <c r="CG121" s="316">
        <f>+DH121+DH123</f>
        <v>11840000</v>
      </c>
      <c r="CH121" s="213"/>
      <c r="CI121" s="213"/>
      <c r="CJ121" s="83">
        <f t="shared" si="28"/>
        <v>0</v>
      </c>
      <c r="CK121" s="83">
        <f t="shared" si="29"/>
        <v>0</v>
      </c>
      <c r="CL121" s="83" t="str">
        <f t="shared" si="16"/>
        <v>No se reportó avance</v>
      </c>
      <c r="CM121" s="89" t="str">
        <f t="shared" si="17"/>
        <v>No se reportó avance</v>
      </c>
      <c r="CN121" s="89" t="str">
        <f t="shared" si="18"/>
        <v>No se reportó avance</v>
      </c>
      <c r="CO121" s="665" t="s">
        <v>177</v>
      </c>
      <c r="CP121" s="801" t="s">
        <v>1171</v>
      </c>
      <c r="CQ121" s="665" t="s">
        <v>1172</v>
      </c>
      <c r="CR121" s="686" t="s">
        <v>1173</v>
      </c>
      <c r="CS121" s="686" t="s">
        <v>1174</v>
      </c>
      <c r="CT121" s="686" t="s">
        <v>931</v>
      </c>
      <c r="CU121" s="686" t="s">
        <v>162</v>
      </c>
      <c r="CV121" s="780">
        <v>1</v>
      </c>
      <c r="CW121" s="686" t="s">
        <v>163</v>
      </c>
      <c r="CX121" s="681">
        <v>46054</v>
      </c>
      <c r="CY121" s="681">
        <v>46356</v>
      </c>
      <c r="CZ121" s="146">
        <v>1</v>
      </c>
      <c r="DA121" s="146">
        <v>1</v>
      </c>
      <c r="DB121" s="146">
        <v>1</v>
      </c>
      <c r="DC121" s="146">
        <v>1</v>
      </c>
      <c r="DD121" s="146">
        <v>1</v>
      </c>
      <c r="DE121" s="665" t="s">
        <v>514</v>
      </c>
      <c r="DF121" s="665" t="s">
        <v>1175</v>
      </c>
      <c r="DG121" s="665" t="s">
        <v>1176</v>
      </c>
      <c r="DH121" s="316">
        <v>1100000</v>
      </c>
      <c r="DI121" s="665" t="s">
        <v>1177</v>
      </c>
      <c r="DJ121" s="665" t="s">
        <v>1178</v>
      </c>
      <c r="DK121" s="665" t="s">
        <v>1179</v>
      </c>
      <c r="DL121" s="665" t="s">
        <v>201</v>
      </c>
      <c r="DM121" s="802"/>
      <c r="DN121" s="175"/>
      <c r="DO121" s="692"/>
      <c r="DP121" s="170"/>
      <c r="DQ121" s="692"/>
      <c r="DR121" s="692"/>
      <c r="DS121" s="173"/>
      <c r="DT121" s="803"/>
      <c r="DU121" s="804"/>
      <c r="DV121" s="805"/>
      <c r="DW121" s="692"/>
      <c r="DX121" s="173"/>
      <c r="DY121" s="803"/>
      <c r="DZ121" s="804"/>
      <c r="EA121" s="805"/>
      <c r="EB121" s="692"/>
      <c r="EC121" s="712"/>
      <c r="ED121" s="170"/>
      <c r="EE121" s="170"/>
      <c r="EF121" s="170"/>
      <c r="EG121" s="170"/>
      <c r="EH121" s="175"/>
      <c r="EI121" s="170"/>
      <c r="EJ121" s="170"/>
      <c r="EK121" s="262"/>
      <c r="EL121" s="91" t="str">
        <f t="shared" si="19"/>
        <v>No se reportó avance</v>
      </c>
      <c r="EM121" s="83" t="str">
        <f t="shared" si="20"/>
        <v>No se reportó avance</v>
      </c>
      <c r="EN121" s="646" t="s">
        <v>1180</v>
      </c>
      <c r="EO121" s="93" t="str">
        <f t="shared" ref="EO121:EO164" si="34">+IF(OR(P121="Producto",P121="Resultado",P121="Impacto"),"Producto",P121)</f>
        <v>Producto</v>
      </c>
      <c r="EP121" s="93" t="str">
        <f t="shared" ref="EP121:EP164" si="35">+MID(J121,1,1)</f>
        <v>7</v>
      </c>
    </row>
    <row r="122" spans="1:146" ht="150" customHeight="1">
      <c r="A122" s="317" t="s">
        <v>1152</v>
      </c>
      <c r="B122" s="173" t="s">
        <v>1153</v>
      </c>
      <c r="C122" s="317" t="s">
        <v>1181</v>
      </c>
      <c r="D122" s="317" t="s">
        <v>1182</v>
      </c>
      <c r="E122" s="317" t="s">
        <v>1183</v>
      </c>
      <c r="F122" s="317" t="s">
        <v>182</v>
      </c>
      <c r="G122" s="317" t="s">
        <v>182</v>
      </c>
      <c r="H122" s="317" t="s">
        <v>182</v>
      </c>
      <c r="I122" s="317" t="s">
        <v>454</v>
      </c>
      <c r="J122" s="170" t="s">
        <v>156</v>
      </c>
      <c r="K122" s="317" t="s">
        <v>1157</v>
      </c>
      <c r="L122" s="262">
        <v>1</v>
      </c>
      <c r="M122" s="170" t="s">
        <v>1158</v>
      </c>
      <c r="N122" s="170" t="s">
        <v>1159</v>
      </c>
      <c r="O122" s="170" t="s">
        <v>1160</v>
      </c>
      <c r="P122" s="170" t="s">
        <v>1161</v>
      </c>
      <c r="Q122" s="262" t="s">
        <v>162</v>
      </c>
      <c r="R122" s="170" t="s">
        <v>182</v>
      </c>
      <c r="S122" s="170" t="s">
        <v>163</v>
      </c>
      <c r="T122" s="217">
        <v>45293</v>
      </c>
      <c r="U122" s="217">
        <v>45657</v>
      </c>
      <c r="V122" s="219">
        <v>1</v>
      </c>
      <c r="W122" s="219">
        <v>1</v>
      </c>
      <c r="X122" s="219">
        <v>1</v>
      </c>
      <c r="Y122" s="219">
        <v>1</v>
      </c>
      <c r="Z122" s="219">
        <v>1</v>
      </c>
      <c r="AA122" s="219">
        <v>1</v>
      </c>
      <c r="AB122" s="219">
        <v>1</v>
      </c>
      <c r="AC122" s="219">
        <v>1</v>
      </c>
      <c r="AD122" s="219">
        <v>1</v>
      </c>
      <c r="AE122" s="219">
        <v>1</v>
      </c>
      <c r="AF122" s="219">
        <v>1</v>
      </c>
      <c r="AG122" s="219">
        <v>1</v>
      </c>
      <c r="AH122" s="219">
        <v>1</v>
      </c>
      <c r="AI122" s="219">
        <v>1</v>
      </c>
      <c r="AJ122" s="219">
        <v>1</v>
      </c>
      <c r="AK122" s="218"/>
      <c r="AL122" s="218"/>
      <c r="AM122" s="218"/>
      <c r="AN122" s="218"/>
      <c r="AO122" s="318"/>
      <c r="AP122" s="218">
        <v>1</v>
      </c>
      <c r="AQ122" s="170"/>
      <c r="AR122" s="170"/>
      <c r="AS122" s="170"/>
      <c r="AT122" s="170"/>
      <c r="AU122" s="170"/>
      <c r="AV122" s="170"/>
      <c r="AW122" s="170"/>
      <c r="AX122" s="170"/>
      <c r="AY122" s="170" t="s">
        <v>182</v>
      </c>
      <c r="AZ122" s="692" t="s">
        <v>182</v>
      </c>
      <c r="BA122" s="175"/>
      <c r="BB122" s="175"/>
      <c r="BC122" s="175"/>
      <c r="BD122" s="175"/>
      <c r="BE122" s="175"/>
      <c r="BF122" s="175"/>
      <c r="BG122" s="175"/>
      <c r="BH122" s="175"/>
      <c r="BI122" s="170" t="s">
        <v>182</v>
      </c>
      <c r="BJ122" s="692" t="s">
        <v>182</v>
      </c>
      <c r="BK122" s="170" t="s">
        <v>182</v>
      </c>
      <c r="BL122" s="692" t="s">
        <v>182</v>
      </c>
      <c r="BM122" s="175"/>
      <c r="BN122" s="315"/>
      <c r="BO122" s="175"/>
      <c r="BP122" s="315"/>
      <c r="BQ122" s="175"/>
      <c r="BR122" s="175"/>
      <c r="BS122" s="173"/>
      <c r="BT122" s="170"/>
      <c r="BU122" s="175"/>
      <c r="BV122" s="175"/>
      <c r="BW122" s="175"/>
      <c r="BX122" s="175"/>
      <c r="BY122" s="175"/>
      <c r="BZ122" s="175"/>
      <c r="CA122" s="175"/>
      <c r="CB122" s="175"/>
      <c r="CC122" s="175"/>
      <c r="CD122" s="175"/>
      <c r="CE122" s="170"/>
      <c r="CF122" s="170" t="s">
        <v>182</v>
      </c>
      <c r="CG122" s="170"/>
      <c r="CH122" s="170"/>
      <c r="CI122" s="170"/>
      <c r="CJ122" s="83" t="str">
        <f t="shared" si="28"/>
        <v>No aplica</v>
      </c>
      <c r="CK122" s="83" t="str">
        <f t="shared" si="29"/>
        <v>No aplica</v>
      </c>
      <c r="CL122" s="83" t="str">
        <f t="shared" si="16"/>
        <v>No requiere reporte</v>
      </c>
      <c r="CM122" s="89" t="str">
        <f t="shared" si="17"/>
        <v>No requiere reporte</v>
      </c>
      <c r="CN122" s="89" t="str">
        <f t="shared" si="18"/>
        <v>No requiere reporte</v>
      </c>
      <c r="CO122" s="665" t="s">
        <v>185</v>
      </c>
      <c r="CP122" s="801" t="s">
        <v>1184</v>
      </c>
      <c r="CQ122" s="665" t="s">
        <v>1172</v>
      </c>
      <c r="CR122" s="686" t="s">
        <v>1185</v>
      </c>
      <c r="CS122" s="686" t="s">
        <v>1186</v>
      </c>
      <c r="CT122" s="686" t="s">
        <v>200</v>
      </c>
      <c r="CU122" s="686" t="s">
        <v>233</v>
      </c>
      <c r="CV122" s="686">
        <v>86</v>
      </c>
      <c r="CW122" s="686" t="s">
        <v>234</v>
      </c>
      <c r="CX122" s="681">
        <v>46024</v>
      </c>
      <c r="CY122" s="681">
        <v>46371</v>
      </c>
      <c r="CZ122" s="806">
        <v>5</v>
      </c>
      <c r="DA122" s="685">
        <v>69</v>
      </c>
      <c r="DB122" s="685">
        <v>6</v>
      </c>
      <c r="DC122" s="685">
        <v>6</v>
      </c>
      <c r="DD122" s="685">
        <f>+CZ122+DA122+DB122+DC122</f>
        <v>86</v>
      </c>
      <c r="DE122" s="665" t="s">
        <v>201</v>
      </c>
      <c r="DF122" s="665" t="s">
        <v>201</v>
      </c>
      <c r="DG122" s="665" t="s">
        <v>182</v>
      </c>
      <c r="DH122" s="319" t="s">
        <v>182</v>
      </c>
      <c r="DI122" s="665" t="s">
        <v>1177</v>
      </c>
      <c r="DJ122" s="665" t="s">
        <v>1178</v>
      </c>
      <c r="DK122" s="665" t="s">
        <v>1179</v>
      </c>
      <c r="DL122" s="665" t="s">
        <v>1187</v>
      </c>
      <c r="DM122" s="802"/>
      <c r="DN122" s="170"/>
      <c r="DO122" s="692"/>
      <c r="DP122" s="170"/>
      <c r="DQ122" s="692"/>
      <c r="DR122" s="692"/>
      <c r="DS122" s="807"/>
      <c r="DT122" s="803"/>
      <c r="DU122" s="804"/>
      <c r="DV122" s="692"/>
      <c r="DW122" s="692"/>
      <c r="DX122" s="807"/>
      <c r="DY122" s="803"/>
      <c r="DZ122" s="804"/>
      <c r="EA122" s="692"/>
      <c r="EB122" s="692"/>
      <c r="EC122" s="170"/>
      <c r="ED122" s="170"/>
      <c r="EE122" s="170"/>
      <c r="EF122" s="170"/>
      <c r="EG122" s="170"/>
      <c r="EH122" s="170"/>
      <c r="EI122" s="170"/>
      <c r="EJ122" s="170"/>
      <c r="EK122" s="262"/>
      <c r="EL122" s="91" t="str">
        <f t="shared" si="19"/>
        <v>No se reportó avance</v>
      </c>
      <c r="EM122" s="83" t="str">
        <f t="shared" si="20"/>
        <v>No se reportó avance</v>
      </c>
      <c r="EN122" s="808"/>
      <c r="EO122" s="93" t="str">
        <f t="shared" si="34"/>
        <v>Producto</v>
      </c>
      <c r="EP122" s="93" t="str">
        <f t="shared" si="35"/>
        <v>7</v>
      </c>
    </row>
    <row r="123" spans="1:146" ht="150" customHeight="1">
      <c r="A123" s="317" t="s">
        <v>1152</v>
      </c>
      <c r="B123" s="173" t="s">
        <v>1153</v>
      </c>
      <c r="C123" s="317" t="s">
        <v>1181</v>
      </c>
      <c r="D123" s="317" t="s">
        <v>1182</v>
      </c>
      <c r="E123" s="317" t="s">
        <v>1183</v>
      </c>
      <c r="F123" s="317" t="s">
        <v>182</v>
      </c>
      <c r="G123" s="317" t="s">
        <v>182</v>
      </c>
      <c r="H123" s="317" t="s">
        <v>182</v>
      </c>
      <c r="I123" s="317" t="s">
        <v>454</v>
      </c>
      <c r="J123" s="170" t="s">
        <v>156</v>
      </c>
      <c r="K123" s="317" t="s">
        <v>1157</v>
      </c>
      <c r="L123" s="262">
        <v>1</v>
      </c>
      <c r="M123" s="170" t="s">
        <v>1158</v>
      </c>
      <c r="N123" s="170" t="s">
        <v>1159</v>
      </c>
      <c r="O123" s="170" t="s">
        <v>1160</v>
      </c>
      <c r="P123" s="170" t="s">
        <v>1161</v>
      </c>
      <c r="Q123" s="262" t="s">
        <v>162</v>
      </c>
      <c r="R123" s="170" t="s">
        <v>182</v>
      </c>
      <c r="S123" s="170" t="s">
        <v>163</v>
      </c>
      <c r="T123" s="217">
        <v>45293</v>
      </c>
      <c r="U123" s="217">
        <v>45657</v>
      </c>
      <c r="V123" s="219">
        <v>1</v>
      </c>
      <c r="W123" s="219">
        <v>1</v>
      </c>
      <c r="X123" s="219">
        <v>1</v>
      </c>
      <c r="Y123" s="219">
        <v>1</v>
      </c>
      <c r="Z123" s="219">
        <v>1</v>
      </c>
      <c r="AA123" s="219">
        <v>1</v>
      </c>
      <c r="AB123" s="219">
        <v>1</v>
      </c>
      <c r="AC123" s="219">
        <v>1</v>
      </c>
      <c r="AD123" s="219">
        <v>1</v>
      </c>
      <c r="AE123" s="219">
        <v>1</v>
      </c>
      <c r="AF123" s="219">
        <v>1</v>
      </c>
      <c r="AG123" s="219">
        <v>1</v>
      </c>
      <c r="AH123" s="219">
        <v>1</v>
      </c>
      <c r="AI123" s="219">
        <v>1</v>
      </c>
      <c r="AJ123" s="219">
        <v>1</v>
      </c>
      <c r="AK123" s="218"/>
      <c r="AL123" s="218"/>
      <c r="AM123" s="218"/>
      <c r="AN123" s="218"/>
      <c r="AO123" s="318"/>
      <c r="AP123" s="218">
        <v>1</v>
      </c>
      <c r="AQ123" s="170"/>
      <c r="AR123" s="170"/>
      <c r="AS123" s="170"/>
      <c r="AT123" s="170"/>
      <c r="AU123" s="170"/>
      <c r="AV123" s="170"/>
      <c r="AW123" s="170"/>
      <c r="AX123" s="170"/>
      <c r="AY123" s="170" t="s">
        <v>182</v>
      </c>
      <c r="AZ123" s="692" t="s">
        <v>182</v>
      </c>
      <c r="BA123" s="175"/>
      <c r="BB123" s="175"/>
      <c r="BC123" s="175"/>
      <c r="BD123" s="175"/>
      <c r="BE123" s="175"/>
      <c r="BF123" s="175"/>
      <c r="BG123" s="175"/>
      <c r="BH123" s="175"/>
      <c r="BI123" s="170" t="s">
        <v>182</v>
      </c>
      <c r="BJ123" s="692" t="s">
        <v>182</v>
      </c>
      <c r="BK123" s="170" t="s">
        <v>182</v>
      </c>
      <c r="BL123" s="692" t="s">
        <v>182</v>
      </c>
      <c r="BM123" s="175"/>
      <c r="BN123" s="315"/>
      <c r="BO123" s="175"/>
      <c r="BP123" s="315"/>
      <c r="BQ123" s="175"/>
      <c r="BR123" s="175"/>
      <c r="BS123" s="173"/>
      <c r="BT123" s="170"/>
      <c r="BU123" s="175"/>
      <c r="BV123" s="175"/>
      <c r="BW123" s="175"/>
      <c r="BX123" s="175"/>
      <c r="BY123" s="175"/>
      <c r="BZ123" s="175"/>
      <c r="CA123" s="175"/>
      <c r="CB123" s="175"/>
      <c r="CC123" s="175"/>
      <c r="CD123" s="175"/>
      <c r="CE123" s="170"/>
      <c r="CF123" s="170" t="s">
        <v>182</v>
      </c>
      <c r="CG123" s="319"/>
      <c r="CH123" s="170"/>
      <c r="CI123" s="170"/>
      <c r="CJ123" s="83" t="str">
        <f t="shared" si="28"/>
        <v>No aplica</v>
      </c>
      <c r="CK123" s="83" t="str">
        <f t="shared" si="29"/>
        <v>No aplica</v>
      </c>
      <c r="CL123" s="83" t="str">
        <f t="shared" si="16"/>
        <v>No requiere reporte</v>
      </c>
      <c r="CM123" s="89" t="str">
        <f t="shared" si="17"/>
        <v>No requiere reporte</v>
      </c>
      <c r="CN123" s="89" t="str">
        <f t="shared" si="18"/>
        <v>No requiere reporte</v>
      </c>
      <c r="CO123" s="665" t="s">
        <v>190</v>
      </c>
      <c r="CP123" s="801" t="s">
        <v>1188</v>
      </c>
      <c r="CQ123" s="686" t="s">
        <v>1189</v>
      </c>
      <c r="CR123" s="686" t="s">
        <v>1190</v>
      </c>
      <c r="CS123" s="686" t="s">
        <v>1191</v>
      </c>
      <c r="CT123" s="686" t="s">
        <v>161</v>
      </c>
      <c r="CU123" s="686" t="s">
        <v>162</v>
      </c>
      <c r="CV123" s="323">
        <v>1</v>
      </c>
      <c r="CW123" s="686" t="s">
        <v>163</v>
      </c>
      <c r="CX123" s="809">
        <v>46024</v>
      </c>
      <c r="CY123" s="809">
        <v>46387</v>
      </c>
      <c r="CZ123" s="146">
        <v>1</v>
      </c>
      <c r="DA123" s="146">
        <v>1</v>
      </c>
      <c r="DB123" s="146">
        <v>1</v>
      </c>
      <c r="DC123" s="146">
        <v>1</v>
      </c>
      <c r="DD123" s="146">
        <v>1</v>
      </c>
      <c r="DE123" s="665" t="s">
        <v>514</v>
      </c>
      <c r="DF123" s="665" t="s">
        <v>1192</v>
      </c>
      <c r="DG123" s="665" t="s">
        <v>1193</v>
      </c>
      <c r="DH123" s="319">
        <v>10740000</v>
      </c>
      <c r="DI123" s="665" t="s">
        <v>1177</v>
      </c>
      <c r="DJ123" s="665" t="s">
        <v>1178</v>
      </c>
      <c r="DK123" s="665" t="s">
        <v>1179</v>
      </c>
      <c r="DL123" s="665" t="s">
        <v>1187</v>
      </c>
      <c r="DM123" s="802"/>
      <c r="DN123" s="175"/>
      <c r="DO123" s="692"/>
      <c r="DP123" s="170"/>
      <c r="DQ123" s="692"/>
      <c r="DR123" s="692"/>
      <c r="DS123" s="173"/>
      <c r="DT123" s="692"/>
      <c r="DU123" s="173"/>
      <c r="DV123" s="803"/>
      <c r="DW123" s="803"/>
      <c r="DX123" s="173"/>
      <c r="DY123" s="692"/>
      <c r="DZ123" s="173"/>
      <c r="EA123" s="803"/>
      <c r="EB123" s="803"/>
      <c r="EC123" s="712"/>
      <c r="ED123" s="170"/>
      <c r="EE123" s="170"/>
      <c r="EF123" s="170"/>
      <c r="EG123" s="170"/>
      <c r="EH123" s="175"/>
      <c r="EI123" s="170"/>
      <c r="EJ123" s="170"/>
      <c r="EK123" s="262"/>
      <c r="EL123" s="91" t="str">
        <f t="shared" si="19"/>
        <v>No se reportó avance</v>
      </c>
      <c r="EM123" s="83" t="str">
        <f t="shared" si="20"/>
        <v>No se reportó avance</v>
      </c>
      <c r="EN123" s="654"/>
      <c r="EO123" s="93" t="str">
        <f t="shared" si="34"/>
        <v>Producto</v>
      </c>
      <c r="EP123" s="93" t="str">
        <f t="shared" si="35"/>
        <v>7</v>
      </c>
    </row>
    <row r="124" spans="1:146" ht="150" customHeight="1">
      <c r="A124" s="307" t="s">
        <v>1152</v>
      </c>
      <c r="B124" s="307" t="s">
        <v>1153</v>
      </c>
      <c r="C124" s="307" t="s">
        <v>1181</v>
      </c>
      <c r="D124" s="307" t="s">
        <v>1182</v>
      </c>
      <c r="E124" s="307" t="s">
        <v>1194</v>
      </c>
      <c r="F124" s="307" t="s">
        <v>182</v>
      </c>
      <c r="G124" s="307" t="s">
        <v>182</v>
      </c>
      <c r="H124" s="307" t="s">
        <v>182</v>
      </c>
      <c r="I124" s="307" t="s">
        <v>454</v>
      </c>
      <c r="J124" s="203" t="s">
        <v>156</v>
      </c>
      <c r="K124" s="307" t="s">
        <v>1157</v>
      </c>
      <c r="L124" s="260">
        <v>2</v>
      </c>
      <c r="M124" s="255" t="s">
        <v>1195</v>
      </c>
      <c r="N124" s="255" t="s">
        <v>1196</v>
      </c>
      <c r="O124" s="255" t="s">
        <v>1197</v>
      </c>
      <c r="P124" s="255" t="s">
        <v>200</v>
      </c>
      <c r="Q124" s="260" t="s">
        <v>233</v>
      </c>
      <c r="R124" s="639">
        <v>1</v>
      </c>
      <c r="S124" s="255" t="s">
        <v>252</v>
      </c>
      <c r="T124" s="308">
        <v>45292</v>
      </c>
      <c r="U124" s="308">
        <v>45657</v>
      </c>
      <c r="V124" s="309" t="s">
        <v>1198</v>
      </c>
      <c r="W124" s="309" t="s">
        <v>1199</v>
      </c>
      <c r="X124" s="309">
        <v>0.27</v>
      </c>
      <c r="Y124" s="309" t="s">
        <v>1200</v>
      </c>
      <c r="Z124" s="310">
        <v>1</v>
      </c>
      <c r="AA124" s="320">
        <v>0.20799999999999999</v>
      </c>
      <c r="AB124" s="320">
        <v>0.308</v>
      </c>
      <c r="AC124" s="321">
        <v>0.27</v>
      </c>
      <c r="AD124" s="322">
        <v>0.214</v>
      </c>
      <c r="AE124" s="310">
        <v>1</v>
      </c>
      <c r="AF124" s="310">
        <v>0.21</v>
      </c>
      <c r="AG124" s="310">
        <v>0.31</v>
      </c>
      <c r="AH124" s="310">
        <v>0.27</v>
      </c>
      <c r="AI124" s="310">
        <v>0.214</v>
      </c>
      <c r="AJ124" s="310">
        <f>+AI124+AH124+AG124+AF124</f>
        <v>1.004</v>
      </c>
      <c r="AK124" s="312">
        <v>0.21</v>
      </c>
      <c r="AL124" s="312">
        <v>0.31</v>
      </c>
      <c r="AM124" s="312">
        <v>0.27</v>
      </c>
      <c r="AN124" s="312">
        <v>0.21</v>
      </c>
      <c r="AO124" s="313">
        <v>1</v>
      </c>
      <c r="AP124" s="313">
        <v>1</v>
      </c>
      <c r="AQ124" s="175">
        <f>(8/9)*0.208</f>
        <v>0.18488888888888888</v>
      </c>
      <c r="AR124" s="175"/>
      <c r="AS124" s="175">
        <f>(8/8)*0.308</f>
        <v>0.308</v>
      </c>
      <c r="AT124" s="175"/>
      <c r="AU124" s="175">
        <f>(8/8)*0.27</f>
        <v>0.27</v>
      </c>
      <c r="AV124" s="175"/>
      <c r="AW124" s="175">
        <f>(35/33)*0.214</f>
        <v>0.22696969696969696</v>
      </c>
      <c r="AX124" s="175"/>
      <c r="AY124" s="175">
        <f>+AQ124+AS124+AU124+AW124</f>
        <v>0.98985858585858588</v>
      </c>
      <c r="AZ124" s="692" t="s">
        <v>1201</v>
      </c>
      <c r="BA124" s="175">
        <f>(9/10)*20.8%</f>
        <v>0.18720000000000003</v>
      </c>
      <c r="BB124" s="175" t="s">
        <v>1202</v>
      </c>
      <c r="BC124" s="175">
        <f>(7/7)*30.8%</f>
        <v>0.308</v>
      </c>
      <c r="BD124" s="175" t="s">
        <v>1203</v>
      </c>
      <c r="BE124" s="175">
        <f>(8/8)*27%</f>
        <v>0.27</v>
      </c>
      <c r="BF124" s="175" t="s">
        <v>1204</v>
      </c>
      <c r="BG124" s="175"/>
      <c r="BH124" s="175"/>
      <c r="BI124" s="175">
        <f>10/11</f>
        <v>0.90909090909090906</v>
      </c>
      <c r="BJ124" s="315" t="s">
        <v>1205</v>
      </c>
      <c r="BK124" s="175">
        <f>(10/10)*AF124</f>
        <v>0.21</v>
      </c>
      <c r="BL124" s="315" t="s">
        <v>1206</v>
      </c>
      <c r="BM124" s="175">
        <f>(7/9)*AG124</f>
        <v>0.24111111111111111</v>
      </c>
      <c r="BN124" s="315" t="s">
        <v>1207</v>
      </c>
      <c r="BO124" s="175"/>
      <c r="BP124" s="315"/>
      <c r="BQ124" s="175"/>
      <c r="BR124" s="175"/>
      <c r="BS124" s="175"/>
      <c r="BT124" s="175"/>
      <c r="BU124" s="175"/>
      <c r="BV124" s="175"/>
      <c r="BW124" s="175"/>
      <c r="BX124" s="175"/>
      <c r="BY124" s="175"/>
      <c r="BZ124" s="175"/>
      <c r="CA124" s="175"/>
      <c r="CB124" s="175"/>
      <c r="CC124" s="175"/>
      <c r="CD124" s="175"/>
      <c r="CE124" s="175"/>
      <c r="CF124" s="175" t="s">
        <v>1208</v>
      </c>
      <c r="CG124" s="319">
        <f>+DH124+DH125+DH126+DH127+DH129</f>
        <v>788338050</v>
      </c>
      <c r="CH124" s="213"/>
      <c r="CI124" s="213"/>
      <c r="CJ124" s="83">
        <f t="shared" si="28"/>
        <v>0</v>
      </c>
      <c r="CK124" s="83">
        <f t="shared" si="29"/>
        <v>0</v>
      </c>
      <c r="CL124" s="83" t="str">
        <f t="shared" si="16"/>
        <v>No se reportó avance</v>
      </c>
      <c r="CM124" s="89" t="str">
        <f t="shared" si="17"/>
        <v>No se reportó avance</v>
      </c>
      <c r="CN124" s="89" t="str">
        <f t="shared" si="18"/>
        <v>No se reportó avance</v>
      </c>
      <c r="CO124" s="665" t="s">
        <v>225</v>
      </c>
      <c r="CP124" s="801" t="s">
        <v>1209</v>
      </c>
      <c r="CQ124" s="665" t="s">
        <v>1189</v>
      </c>
      <c r="CR124" s="686" t="s">
        <v>1210</v>
      </c>
      <c r="CS124" s="686" t="s">
        <v>1211</v>
      </c>
      <c r="CT124" s="686" t="s">
        <v>161</v>
      </c>
      <c r="CU124" s="686" t="s">
        <v>162</v>
      </c>
      <c r="CV124" s="323">
        <v>1</v>
      </c>
      <c r="CW124" s="686" t="s">
        <v>163</v>
      </c>
      <c r="CX124" s="809">
        <v>46024</v>
      </c>
      <c r="CY124" s="681">
        <v>46387</v>
      </c>
      <c r="CZ124" s="146">
        <v>1</v>
      </c>
      <c r="DA124" s="146">
        <v>1</v>
      </c>
      <c r="DB124" s="146">
        <v>1</v>
      </c>
      <c r="DC124" s="146">
        <v>1</v>
      </c>
      <c r="DD124" s="146">
        <v>1</v>
      </c>
      <c r="DE124" s="665" t="s">
        <v>514</v>
      </c>
      <c r="DF124" s="665" t="s">
        <v>1212</v>
      </c>
      <c r="DG124" s="665" t="s">
        <v>1213</v>
      </c>
      <c r="DH124" s="795">
        <v>4060000</v>
      </c>
      <c r="DI124" s="665" t="s">
        <v>1177</v>
      </c>
      <c r="DJ124" s="665" t="s">
        <v>1178</v>
      </c>
      <c r="DK124" s="665" t="s">
        <v>1179</v>
      </c>
      <c r="DL124" s="665" t="s">
        <v>201</v>
      </c>
      <c r="DM124" s="802"/>
      <c r="DN124" s="173"/>
      <c r="DO124" s="692"/>
      <c r="DP124" s="170"/>
      <c r="DQ124" s="692"/>
      <c r="DR124" s="692"/>
      <c r="DS124" s="173"/>
      <c r="DT124" s="692"/>
      <c r="DU124" s="804"/>
      <c r="DV124" s="692"/>
      <c r="DW124" s="692"/>
      <c r="DX124" s="173"/>
      <c r="DY124" s="692"/>
      <c r="DZ124" s="804"/>
      <c r="EA124" s="692"/>
      <c r="EB124" s="692"/>
      <c r="EC124" s="712"/>
      <c r="ED124" s="170"/>
      <c r="EE124" s="170"/>
      <c r="EF124" s="170"/>
      <c r="EG124" s="170"/>
      <c r="EH124" s="175"/>
      <c r="EI124" s="170"/>
      <c r="EJ124" s="170"/>
      <c r="EK124" s="262"/>
      <c r="EL124" s="91" t="str">
        <f t="shared" si="19"/>
        <v>No se reportó avance</v>
      </c>
      <c r="EM124" s="83" t="str">
        <f t="shared" si="20"/>
        <v>No se reportó avance</v>
      </c>
      <c r="EN124" s="654" t="s">
        <v>1214</v>
      </c>
      <c r="EO124" s="93" t="str">
        <f t="shared" si="34"/>
        <v>Gestión</v>
      </c>
      <c r="EP124" s="93" t="str">
        <f t="shared" si="35"/>
        <v>7</v>
      </c>
    </row>
    <row r="125" spans="1:146" ht="184.5" customHeight="1">
      <c r="A125" s="317" t="s">
        <v>1152</v>
      </c>
      <c r="B125" s="173" t="s">
        <v>1153</v>
      </c>
      <c r="C125" s="317" t="s">
        <v>1181</v>
      </c>
      <c r="D125" s="317" t="s">
        <v>1182</v>
      </c>
      <c r="E125" s="317" t="s">
        <v>1194</v>
      </c>
      <c r="F125" s="317" t="s">
        <v>182</v>
      </c>
      <c r="G125" s="317" t="s">
        <v>182</v>
      </c>
      <c r="H125" s="317" t="s">
        <v>182</v>
      </c>
      <c r="I125" s="317" t="s">
        <v>454</v>
      </c>
      <c r="J125" s="170" t="s">
        <v>156</v>
      </c>
      <c r="K125" s="317" t="s">
        <v>1157</v>
      </c>
      <c r="L125" s="262">
        <v>2</v>
      </c>
      <c r="M125" s="170" t="s">
        <v>1195</v>
      </c>
      <c r="N125" s="170" t="s">
        <v>1196</v>
      </c>
      <c r="O125" s="170" t="s">
        <v>1197</v>
      </c>
      <c r="P125" s="170" t="s">
        <v>200</v>
      </c>
      <c r="Q125" s="262" t="s">
        <v>233</v>
      </c>
      <c r="R125" s="170">
        <v>1</v>
      </c>
      <c r="S125" s="170" t="s">
        <v>252</v>
      </c>
      <c r="T125" s="217">
        <v>45292</v>
      </c>
      <c r="U125" s="217">
        <v>45657</v>
      </c>
      <c r="V125" s="219" t="s">
        <v>1198</v>
      </c>
      <c r="W125" s="219" t="s">
        <v>1199</v>
      </c>
      <c r="X125" s="219">
        <v>0.27</v>
      </c>
      <c r="Y125" s="219" t="s">
        <v>1200</v>
      </c>
      <c r="Z125" s="219">
        <v>1</v>
      </c>
      <c r="AA125" s="170" t="s">
        <v>1198</v>
      </c>
      <c r="AB125" s="170" t="s">
        <v>1199</v>
      </c>
      <c r="AC125" s="173">
        <v>0.27</v>
      </c>
      <c r="AD125" s="324">
        <v>0.214</v>
      </c>
      <c r="AE125" s="219">
        <v>1</v>
      </c>
      <c r="AF125" s="219">
        <v>0.21</v>
      </c>
      <c r="AG125" s="219">
        <v>0.31</v>
      </c>
      <c r="AH125" s="219">
        <v>0.27</v>
      </c>
      <c r="AI125" s="219">
        <v>0.214</v>
      </c>
      <c r="AJ125" s="219">
        <v>1</v>
      </c>
      <c r="AK125" s="218"/>
      <c r="AL125" s="218"/>
      <c r="AM125" s="218"/>
      <c r="AN125" s="218"/>
      <c r="AO125" s="318"/>
      <c r="AP125" s="318">
        <v>1</v>
      </c>
      <c r="AQ125" s="170"/>
      <c r="AR125" s="170"/>
      <c r="AS125" s="170"/>
      <c r="AT125" s="170"/>
      <c r="AU125" s="170"/>
      <c r="AV125" s="170"/>
      <c r="AW125" s="170"/>
      <c r="AX125" s="170"/>
      <c r="AY125" s="170" t="s">
        <v>182</v>
      </c>
      <c r="AZ125" s="692" t="s">
        <v>182</v>
      </c>
      <c r="BA125" s="175"/>
      <c r="BB125" s="175"/>
      <c r="BC125" s="175"/>
      <c r="BD125" s="175"/>
      <c r="BE125" s="175"/>
      <c r="BF125" s="175"/>
      <c r="BG125" s="175"/>
      <c r="BH125" s="175"/>
      <c r="BI125" s="170" t="s">
        <v>182</v>
      </c>
      <c r="BJ125" s="692" t="s">
        <v>182</v>
      </c>
      <c r="BK125" s="170" t="s">
        <v>182</v>
      </c>
      <c r="BL125" s="692" t="s">
        <v>182</v>
      </c>
      <c r="BM125" s="175"/>
      <c r="BN125" s="315"/>
      <c r="BO125" s="175"/>
      <c r="BP125" s="315"/>
      <c r="BQ125" s="175"/>
      <c r="BR125" s="175"/>
      <c r="BS125" s="173"/>
      <c r="BT125" s="170"/>
      <c r="BU125" s="175"/>
      <c r="BV125" s="175"/>
      <c r="BW125" s="175"/>
      <c r="BX125" s="175"/>
      <c r="BY125" s="175"/>
      <c r="BZ125" s="175"/>
      <c r="CA125" s="175"/>
      <c r="CB125" s="175"/>
      <c r="CC125" s="175"/>
      <c r="CD125" s="175"/>
      <c r="CE125" s="170"/>
      <c r="CF125" s="170" t="s">
        <v>182</v>
      </c>
      <c r="CG125" s="795"/>
      <c r="CH125" s="170"/>
      <c r="CI125" s="170"/>
      <c r="CJ125" s="83" t="str">
        <f t="shared" si="28"/>
        <v>No aplica</v>
      </c>
      <c r="CK125" s="83" t="str">
        <f t="shared" si="29"/>
        <v>No aplica</v>
      </c>
      <c r="CL125" s="83" t="str">
        <f t="shared" si="16"/>
        <v>No requiere reporte</v>
      </c>
      <c r="CM125" s="89" t="str">
        <f t="shared" si="17"/>
        <v>No requiere reporte</v>
      </c>
      <c r="CN125" s="89" t="str">
        <f t="shared" si="18"/>
        <v>No requiere reporte</v>
      </c>
      <c r="CO125" s="665" t="s">
        <v>313</v>
      </c>
      <c r="CP125" s="801" t="s">
        <v>1215</v>
      </c>
      <c r="CQ125" s="686" t="s">
        <v>1216</v>
      </c>
      <c r="CR125" s="686" t="s">
        <v>1217</v>
      </c>
      <c r="CS125" s="686" t="s">
        <v>1218</v>
      </c>
      <c r="CT125" s="686" t="s">
        <v>1219</v>
      </c>
      <c r="CU125" s="686" t="s">
        <v>233</v>
      </c>
      <c r="CV125" s="686">
        <v>22</v>
      </c>
      <c r="CW125" s="686" t="s">
        <v>402</v>
      </c>
      <c r="CX125" s="681">
        <v>46023</v>
      </c>
      <c r="CY125" s="681">
        <v>46387</v>
      </c>
      <c r="CZ125" s="686">
        <v>4</v>
      </c>
      <c r="DA125" s="686">
        <v>8</v>
      </c>
      <c r="DB125" s="686">
        <v>4</v>
      </c>
      <c r="DC125" s="686">
        <v>6</v>
      </c>
      <c r="DD125" s="686">
        <v>22</v>
      </c>
      <c r="DE125" s="720" t="s">
        <v>1220</v>
      </c>
      <c r="DF125" s="720" t="s">
        <v>1221</v>
      </c>
      <c r="DG125" s="720" t="s">
        <v>1222</v>
      </c>
      <c r="DH125" s="795">
        <v>311230000</v>
      </c>
      <c r="DI125" s="665" t="s">
        <v>1177</v>
      </c>
      <c r="DJ125" s="665" t="s">
        <v>1178</v>
      </c>
      <c r="DK125" s="665" t="s">
        <v>1179</v>
      </c>
      <c r="DL125" s="665" t="s">
        <v>201</v>
      </c>
      <c r="DM125" s="802"/>
      <c r="DN125" s="170"/>
      <c r="DO125" s="692"/>
      <c r="DP125" s="170"/>
      <c r="DQ125" s="692"/>
      <c r="DR125" s="692"/>
      <c r="DS125" s="170"/>
      <c r="DT125" s="692"/>
      <c r="DU125" s="804"/>
      <c r="DV125" s="692"/>
      <c r="DW125" s="692"/>
      <c r="DX125" s="170"/>
      <c r="DY125" s="692"/>
      <c r="DZ125" s="804"/>
      <c r="EA125" s="692"/>
      <c r="EB125" s="692"/>
      <c r="EC125" s="170"/>
      <c r="ED125" s="170"/>
      <c r="EE125" s="170"/>
      <c r="EF125" s="170"/>
      <c r="EG125" s="170"/>
      <c r="EH125" s="170"/>
      <c r="EI125" s="170"/>
      <c r="EJ125" s="170"/>
      <c r="EK125" s="262"/>
      <c r="EL125" s="91" t="str">
        <f t="shared" si="19"/>
        <v>No se reportó avance</v>
      </c>
      <c r="EM125" s="83" t="str">
        <f t="shared" si="20"/>
        <v>No se reportó avance</v>
      </c>
      <c r="EN125" s="654"/>
      <c r="EO125" s="93" t="str">
        <f t="shared" si="34"/>
        <v>Gestión</v>
      </c>
      <c r="EP125" s="93" t="str">
        <f t="shared" si="35"/>
        <v>7</v>
      </c>
    </row>
    <row r="126" spans="1:146" ht="191.25" customHeight="1">
      <c r="A126" s="317" t="s">
        <v>1152</v>
      </c>
      <c r="B126" s="173" t="s">
        <v>1153</v>
      </c>
      <c r="C126" s="317" t="s">
        <v>1181</v>
      </c>
      <c r="D126" s="317" t="s">
        <v>1182</v>
      </c>
      <c r="E126" s="317" t="s">
        <v>1194</v>
      </c>
      <c r="F126" s="317" t="s">
        <v>182</v>
      </c>
      <c r="G126" s="317" t="s">
        <v>182</v>
      </c>
      <c r="H126" s="317" t="s">
        <v>182</v>
      </c>
      <c r="I126" s="317" t="s">
        <v>454</v>
      </c>
      <c r="J126" s="170" t="s">
        <v>156</v>
      </c>
      <c r="K126" s="317" t="s">
        <v>1157</v>
      </c>
      <c r="L126" s="262">
        <v>2</v>
      </c>
      <c r="M126" s="170" t="s">
        <v>1195</v>
      </c>
      <c r="N126" s="170" t="s">
        <v>1196</v>
      </c>
      <c r="O126" s="170" t="s">
        <v>1197</v>
      </c>
      <c r="P126" s="170" t="s">
        <v>200</v>
      </c>
      <c r="Q126" s="262" t="s">
        <v>233</v>
      </c>
      <c r="R126" s="170">
        <v>1</v>
      </c>
      <c r="S126" s="170" t="s">
        <v>252</v>
      </c>
      <c r="T126" s="217">
        <v>45292</v>
      </c>
      <c r="U126" s="217">
        <v>45657</v>
      </c>
      <c r="V126" s="219" t="s">
        <v>1198</v>
      </c>
      <c r="W126" s="219" t="s">
        <v>1199</v>
      </c>
      <c r="X126" s="219">
        <v>0.27</v>
      </c>
      <c r="Y126" s="219" t="s">
        <v>1200</v>
      </c>
      <c r="Z126" s="219">
        <v>1</v>
      </c>
      <c r="AA126" s="170" t="s">
        <v>1198</v>
      </c>
      <c r="AB126" s="170" t="s">
        <v>1199</v>
      </c>
      <c r="AC126" s="173">
        <v>0.27</v>
      </c>
      <c r="AD126" s="324">
        <v>0.214</v>
      </c>
      <c r="AE126" s="219">
        <v>1</v>
      </c>
      <c r="AF126" s="219">
        <v>0.21</v>
      </c>
      <c r="AG126" s="219">
        <v>0.31</v>
      </c>
      <c r="AH126" s="219">
        <v>0.27</v>
      </c>
      <c r="AI126" s="219">
        <v>0.214</v>
      </c>
      <c r="AJ126" s="219">
        <v>1</v>
      </c>
      <c r="AK126" s="218"/>
      <c r="AL126" s="218"/>
      <c r="AM126" s="218"/>
      <c r="AN126" s="218"/>
      <c r="AO126" s="318"/>
      <c r="AP126" s="318">
        <v>1</v>
      </c>
      <c r="AQ126" s="170"/>
      <c r="AR126" s="170"/>
      <c r="AS126" s="170"/>
      <c r="AT126" s="170"/>
      <c r="AU126" s="170"/>
      <c r="AV126" s="170"/>
      <c r="AW126" s="170"/>
      <c r="AX126" s="170"/>
      <c r="AY126" s="170" t="s">
        <v>182</v>
      </c>
      <c r="AZ126" s="692" t="s">
        <v>182</v>
      </c>
      <c r="BA126" s="175"/>
      <c r="BB126" s="175"/>
      <c r="BC126" s="175"/>
      <c r="BD126" s="175"/>
      <c r="BE126" s="175"/>
      <c r="BF126" s="175"/>
      <c r="BG126" s="175"/>
      <c r="BH126" s="175"/>
      <c r="BI126" s="170" t="s">
        <v>182</v>
      </c>
      <c r="BJ126" s="692" t="s">
        <v>182</v>
      </c>
      <c r="BK126" s="170" t="s">
        <v>182</v>
      </c>
      <c r="BL126" s="692" t="s">
        <v>182</v>
      </c>
      <c r="BM126" s="175"/>
      <c r="BN126" s="315"/>
      <c r="BO126" s="175"/>
      <c r="BP126" s="315"/>
      <c r="BQ126" s="175"/>
      <c r="BR126" s="175"/>
      <c r="BS126" s="173"/>
      <c r="BT126" s="170"/>
      <c r="BU126" s="175"/>
      <c r="BV126" s="175"/>
      <c r="BW126" s="175"/>
      <c r="BX126" s="175"/>
      <c r="BY126" s="175"/>
      <c r="BZ126" s="175"/>
      <c r="CA126" s="175"/>
      <c r="CB126" s="175"/>
      <c r="CC126" s="175"/>
      <c r="CD126" s="175"/>
      <c r="CE126" s="170"/>
      <c r="CF126" s="170" t="s">
        <v>182</v>
      </c>
      <c r="CG126" s="795"/>
      <c r="CH126" s="170"/>
      <c r="CI126" s="170"/>
      <c r="CJ126" s="83" t="str">
        <f t="shared" si="28"/>
        <v>No aplica</v>
      </c>
      <c r="CK126" s="83" t="str">
        <f t="shared" si="29"/>
        <v>No aplica</v>
      </c>
      <c r="CL126" s="83" t="str">
        <f t="shared" si="16"/>
        <v>No requiere reporte</v>
      </c>
      <c r="CM126" s="89" t="str">
        <f t="shared" si="17"/>
        <v>No requiere reporte</v>
      </c>
      <c r="CN126" s="89" t="str">
        <f t="shared" si="18"/>
        <v>No requiere reporte</v>
      </c>
      <c r="CO126" s="720" t="s">
        <v>318</v>
      </c>
      <c r="CP126" s="801" t="s">
        <v>1223</v>
      </c>
      <c r="CQ126" s="686" t="s">
        <v>1224</v>
      </c>
      <c r="CR126" s="686" t="s">
        <v>1225</v>
      </c>
      <c r="CS126" s="686" t="s">
        <v>1226</v>
      </c>
      <c r="CT126" s="686" t="s">
        <v>1219</v>
      </c>
      <c r="CU126" s="686" t="s">
        <v>233</v>
      </c>
      <c r="CV126" s="686">
        <v>31</v>
      </c>
      <c r="CW126" s="686" t="s">
        <v>402</v>
      </c>
      <c r="CX126" s="681">
        <v>46023</v>
      </c>
      <c r="CY126" s="681">
        <v>46387</v>
      </c>
      <c r="CZ126" s="686">
        <v>7</v>
      </c>
      <c r="DA126" s="686">
        <v>11</v>
      </c>
      <c r="DB126" s="686">
        <v>8</v>
      </c>
      <c r="DC126" s="686">
        <v>5</v>
      </c>
      <c r="DD126" s="686">
        <v>31</v>
      </c>
      <c r="DE126" s="720" t="s">
        <v>1220</v>
      </c>
      <c r="DF126" s="720" t="s">
        <v>1227</v>
      </c>
      <c r="DG126" s="720" t="s">
        <v>1228</v>
      </c>
      <c r="DH126" s="795">
        <v>124000000</v>
      </c>
      <c r="DI126" s="665" t="s">
        <v>1177</v>
      </c>
      <c r="DJ126" s="665" t="s">
        <v>1178</v>
      </c>
      <c r="DK126" s="665" t="s">
        <v>1179</v>
      </c>
      <c r="DL126" s="665" t="s">
        <v>1229</v>
      </c>
      <c r="DM126" s="802"/>
      <c r="DN126" s="170"/>
      <c r="DO126" s="692"/>
      <c r="DP126" s="170"/>
      <c r="DQ126" s="692"/>
      <c r="DR126" s="692"/>
      <c r="DS126" s="170"/>
      <c r="DT126" s="810"/>
      <c r="DU126" s="804"/>
      <c r="DV126" s="692"/>
      <c r="DW126" s="692"/>
      <c r="DX126" s="170"/>
      <c r="DY126" s="810"/>
      <c r="DZ126" s="804"/>
      <c r="EA126" s="692"/>
      <c r="EB126" s="692"/>
      <c r="EC126" s="170"/>
      <c r="ED126" s="170"/>
      <c r="EE126" s="170"/>
      <c r="EF126" s="170"/>
      <c r="EG126" s="170"/>
      <c r="EH126" s="170"/>
      <c r="EI126" s="170"/>
      <c r="EJ126" s="170"/>
      <c r="EK126" s="262"/>
      <c r="EL126" s="91" t="str">
        <f t="shared" si="19"/>
        <v>No se reportó avance</v>
      </c>
      <c r="EM126" s="83" t="str">
        <f t="shared" si="20"/>
        <v>No se reportó avance</v>
      </c>
      <c r="EN126" s="808"/>
      <c r="EO126" s="93" t="str">
        <f t="shared" si="34"/>
        <v>Gestión</v>
      </c>
      <c r="EP126" s="93" t="str">
        <f t="shared" si="35"/>
        <v>7</v>
      </c>
    </row>
    <row r="127" spans="1:146" ht="150" customHeight="1">
      <c r="A127" s="317" t="s">
        <v>1152</v>
      </c>
      <c r="B127" s="173" t="s">
        <v>1153</v>
      </c>
      <c r="C127" s="317" t="s">
        <v>1181</v>
      </c>
      <c r="D127" s="317" t="s">
        <v>1182</v>
      </c>
      <c r="E127" s="317" t="s">
        <v>1194</v>
      </c>
      <c r="F127" s="317" t="s">
        <v>182</v>
      </c>
      <c r="G127" s="317" t="s">
        <v>182</v>
      </c>
      <c r="H127" s="317" t="s">
        <v>182</v>
      </c>
      <c r="I127" s="317" t="s">
        <v>454</v>
      </c>
      <c r="J127" s="170" t="s">
        <v>156</v>
      </c>
      <c r="K127" s="317" t="s">
        <v>1157</v>
      </c>
      <c r="L127" s="262">
        <v>2</v>
      </c>
      <c r="M127" s="170" t="s">
        <v>1195</v>
      </c>
      <c r="N127" s="170" t="s">
        <v>1196</v>
      </c>
      <c r="O127" s="170" t="s">
        <v>1197</v>
      </c>
      <c r="P127" s="170" t="s">
        <v>200</v>
      </c>
      <c r="Q127" s="262" t="s">
        <v>233</v>
      </c>
      <c r="R127" s="170">
        <v>1</v>
      </c>
      <c r="S127" s="170" t="s">
        <v>252</v>
      </c>
      <c r="T127" s="217">
        <v>45292</v>
      </c>
      <c r="U127" s="217">
        <v>45657</v>
      </c>
      <c r="V127" s="219" t="s">
        <v>1198</v>
      </c>
      <c r="W127" s="219" t="s">
        <v>1199</v>
      </c>
      <c r="X127" s="219">
        <v>0.27</v>
      </c>
      <c r="Y127" s="219" t="s">
        <v>1200</v>
      </c>
      <c r="Z127" s="219">
        <v>1</v>
      </c>
      <c r="AA127" s="170" t="s">
        <v>1198</v>
      </c>
      <c r="AB127" s="170" t="s">
        <v>1199</v>
      </c>
      <c r="AC127" s="173">
        <v>0.27</v>
      </c>
      <c r="AD127" s="324">
        <v>0.214</v>
      </c>
      <c r="AE127" s="219">
        <v>1</v>
      </c>
      <c r="AF127" s="219">
        <v>0.21</v>
      </c>
      <c r="AG127" s="219">
        <v>0.31</v>
      </c>
      <c r="AH127" s="219">
        <v>0.27</v>
      </c>
      <c r="AI127" s="219">
        <v>0.214</v>
      </c>
      <c r="AJ127" s="219">
        <v>1</v>
      </c>
      <c r="AK127" s="218"/>
      <c r="AL127" s="218"/>
      <c r="AM127" s="218"/>
      <c r="AN127" s="218"/>
      <c r="AO127" s="318"/>
      <c r="AP127" s="318">
        <v>1</v>
      </c>
      <c r="AQ127" s="170"/>
      <c r="AR127" s="170"/>
      <c r="AS127" s="170"/>
      <c r="AT127" s="170"/>
      <c r="AU127" s="170"/>
      <c r="AV127" s="170"/>
      <c r="AW127" s="170"/>
      <c r="AX127" s="170"/>
      <c r="AY127" s="170" t="s">
        <v>182</v>
      </c>
      <c r="AZ127" s="692" t="s">
        <v>182</v>
      </c>
      <c r="BA127" s="175"/>
      <c r="BB127" s="175"/>
      <c r="BC127" s="175"/>
      <c r="BD127" s="175"/>
      <c r="BE127" s="175"/>
      <c r="BF127" s="175"/>
      <c r="BG127" s="175"/>
      <c r="BH127" s="175"/>
      <c r="BI127" s="170" t="s">
        <v>182</v>
      </c>
      <c r="BJ127" s="692" t="s">
        <v>182</v>
      </c>
      <c r="BK127" s="170" t="s">
        <v>182</v>
      </c>
      <c r="BL127" s="692" t="s">
        <v>182</v>
      </c>
      <c r="BM127" s="175"/>
      <c r="BN127" s="315"/>
      <c r="BO127" s="175"/>
      <c r="BP127" s="315"/>
      <c r="BQ127" s="175"/>
      <c r="BR127" s="175"/>
      <c r="BS127" s="173"/>
      <c r="BT127" s="170"/>
      <c r="BU127" s="175"/>
      <c r="BV127" s="175"/>
      <c r="BW127" s="175"/>
      <c r="BX127" s="175"/>
      <c r="BY127" s="175"/>
      <c r="BZ127" s="175"/>
      <c r="CA127" s="175"/>
      <c r="CB127" s="175"/>
      <c r="CC127" s="175"/>
      <c r="CD127" s="175"/>
      <c r="CE127" s="170"/>
      <c r="CF127" s="170" t="s">
        <v>182</v>
      </c>
      <c r="CG127" s="170"/>
      <c r="CH127" s="170"/>
      <c r="CI127" s="170"/>
      <c r="CJ127" s="83" t="str">
        <f t="shared" si="28"/>
        <v>No aplica</v>
      </c>
      <c r="CK127" s="83" t="str">
        <f t="shared" si="29"/>
        <v>No aplica</v>
      </c>
      <c r="CL127" s="83" t="str">
        <f t="shared" si="16"/>
        <v>No requiere reporte</v>
      </c>
      <c r="CM127" s="89" t="str">
        <f t="shared" si="17"/>
        <v>No requiere reporte</v>
      </c>
      <c r="CN127" s="89" t="str">
        <f t="shared" si="18"/>
        <v>No requiere reporte</v>
      </c>
      <c r="CO127" s="720" t="s">
        <v>322</v>
      </c>
      <c r="CP127" s="811" t="s">
        <v>1230</v>
      </c>
      <c r="CQ127" s="665" t="s">
        <v>1231</v>
      </c>
      <c r="CR127" s="686" t="s">
        <v>1232</v>
      </c>
      <c r="CS127" s="686" t="s">
        <v>1233</v>
      </c>
      <c r="CT127" s="686" t="s">
        <v>1219</v>
      </c>
      <c r="CU127" s="686" t="s">
        <v>233</v>
      </c>
      <c r="CV127" s="686">
        <v>5</v>
      </c>
      <c r="CW127" s="686" t="s">
        <v>402</v>
      </c>
      <c r="CX127" s="681">
        <v>46023</v>
      </c>
      <c r="CY127" s="681">
        <v>46387</v>
      </c>
      <c r="CZ127" s="686">
        <v>3</v>
      </c>
      <c r="DA127" s="686">
        <v>1</v>
      </c>
      <c r="DB127" s="686">
        <v>1</v>
      </c>
      <c r="DC127" s="812">
        <v>0</v>
      </c>
      <c r="DD127" s="686">
        <v>5</v>
      </c>
      <c r="DE127" s="720" t="s">
        <v>1220</v>
      </c>
      <c r="DF127" s="720" t="s">
        <v>1221</v>
      </c>
      <c r="DG127" s="720" t="s">
        <v>1222</v>
      </c>
      <c r="DH127" s="795">
        <v>171860000</v>
      </c>
      <c r="DI127" s="665" t="s">
        <v>1177</v>
      </c>
      <c r="DJ127" s="665" t="s">
        <v>1178</v>
      </c>
      <c r="DK127" s="665" t="s">
        <v>1179</v>
      </c>
      <c r="DL127" s="665" t="s">
        <v>1234</v>
      </c>
      <c r="DM127" s="802"/>
      <c r="DN127" s="170"/>
      <c r="DO127" s="692"/>
      <c r="DP127" s="170"/>
      <c r="DQ127" s="692"/>
      <c r="DR127" s="692"/>
      <c r="DS127" s="813"/>
      <c r="DT127" s="810"/>
      <c r="DU127" s="804"/>
      <c r="DV127" s="692"/>
      <c r="DW127" s="692"/>
      <c r="DX127" s="813"/>
      <c r="DY127" s="810"/>
      <c r="DZ127" s="804"/>
      <c r="EA127" s="692"/>
      <c r="EB127" s="692"/>
      <c r="EC127" s="170"/>
      <c r="ED127" s="170"/>
      <c r="EE127" s="170"/>
      <c r="EF127" s="170"/>
      <c r="EG127" s="170"/>
      <c r="EH127" s="170"/>
      <c r="EI127" s="170"/>
      <c r="EJ127" s="170"/>
      <c r="EK127" s="262"/>
      <c r="EL127" s="91" t="str">
        <f t="shared" si="19"/>
        <v>No se reportó avance</v>
      </c>
      <c r="EM127" s="83" t="str">
        <f t="shared" si="20"/>
        <v>No se reportó avance</v>
      </c>
      <c r="EN127" s="808"/>
      <c r="EO127" s="93" t="str">
        <f t="shared" si="34"/>
        <v>Gestión</v>
      </c>
      <c r="EP127" s="93" t="str">
        <f t="shared" si="35"/>
        <v>7</v>
      </c>
    </row>
    <row r="128" spans="1:146" ht="150" customHeight="1">
      <c r="A128" s="317" t="s">
        <v>1152</v>
      </c>
      <c r="B128" s="173" t="s">
        <v>1153</v>
      </c>
      <c r="C128" s="317" t="s">
        <v>1181</v>
      </c>
      <c r="D128" s="317" t="s">
        <v>1182</v>
      </c>
      <c r="E128" s="317" t="s">
        <v>1194</v>
      </c>
      <c r="F128" s="317" t="s">
        <v>182</v>
      </c>
      <c r="G128" s="317" t="s">
        <v>182</v>
      </c>
      <c r="H128" s="317" t="s">
        <v>182</v>
      </c>
      <c r="I128" s="317" t="s">
        <v>454</v>
      </c>
      <c r="J128" s="170" t="s">
        <v>156</v>
      </c>
      <c r="K128" s="317" t="s">
        <v>1157</v>
      </c>
      <c r="L128" s="262">
        <v>2</v>
      </c>
      <c r="M128" s="170" t="s">
        <v>1195</v>
      </c>
      <c r="N128" s="170" t="s">
        <v>1196</v>
      </c>
      <c r="O128" s="170" t="s">
        <v>1197</v>
      </c>
      <c r="P128" s="170" t="s">
        <v>200</v>
      </c>
      <c r="Q128" s="262" t="s">
        <v>233</v>
      </c>
      <c r="R128" s="170">
        <v>1</v>
      </c>
      <c r="S128" s="170" t="s">
        <v>252</v>
      </c>
      <c r="T128" s="217">
        <v>45292</v>
      </c>
      <c r="U128" s="217">
        <v>45657</v>
      </c>
      <c r="V128" s="219" t="s">
        <v>1198</v>
      </c>
      <c r="W128" s="219" t="s">
        <v>1199</v>
      </c>
      <c r="X128" s="219">
        <v>0.27</v>
      </c>
      <c r="Y128" s="219" t="s">
        <v>1200</v>
      </c>
      <c r="Z128" s="219">
        <v>1</v>
      </c>
      <c r="AA128" s="170" t="s">
        <v>1198</v>
      </c>
      <c r="AB128" s="170" t="s">
        <v>1199</v>
      </c>
      <c r="AC128" s="173">
        <v>0.27</v>
      </c>
      <c r="AD128" s="324">
        <v>0.214</v>
      </c>
      <c r="AE128" s="219">
        <v>1</v>
      </c>
      <c r="AF128" s="219">
        <v>0.21</v>
      </c>
      <c r="AG128" s="219">
        <v>0.31</v>
      </c>
      <c r="AH128" s="219">
        <v>0.27</v>
      </c>
      <c r="AI128" s="219">
        <v>0.214</v>
      </c>
      <c r="AJ128" s="219">
        <v>1</v>
      </c>
      <c r="AK128" s="218"/>
      <c r="AL128" s="218"/>
      <c r="AM128" s="218"/>
      <c r="AN128" s="218"/>
      <c r="AO128" s="318"/>
      <c r="AP128" s="318">
        <v>1</v>
      </c>
      <c r="AQ128" s="170"/>
      <c r="AR128" s="170"/>
      <c r="AS128" s="170"/>
      <c r="AT128" s="170"/>
      <c r="AU128" s="170"/>
      <c r="AV128" s="170"/>
      <c r="AW128" s="170"/>
      <c r="AX128" s="170"/>
      <c r="AY128" s="170" t="s">
        <v>182</v>
      </c>
      <c r="AZ128" s="692" t="s">
        <v>182</v>
      </c>
      <c r="BA128" s="175"/>
      <c r="BB128" s="175"/>
      <c r="BC128" s="175"/>
      <c r="BD128" s="175"/>
      <c r="BE128" s="175"/>
      <c r="BF128" s="175"/>
      <c r="BG128" s="175"/>
      <c r="BH128" s="175"/>
      <c r="BI128" s="170" t="s">
        <v>182</v>
      </c>
      <c r="BJ128" s="692" t="s">
        <v>182</v>
      </c>
      <c r="BK128" s="170" t="s">
        <v>182</v>
      </c>
      <c r="BL128" s="692" t="s">
        <v>182</v>
      </c>
      <c r="BM128" s="175"/>
      <c r="BN128" s="315"/>
      <c r="BO128" s="175"/>
      <c r="BP128" s="315"/>
      <c r="BQ128" s="175"/>
      <c r="BR128" s="175"/>
      <c r="BS128" s="173"/>
      <c r="BT128" s="170"/>
      <c r="BU128" s="175"/>
      <c r="BV128" s="175"/>
      <c r="BW128" s="175"/>
      <c r="BX128" s="175"/>
      <c r="BY128" s="175"/>
      <c r="BZ128" s="175"/>
      <c r="CA128" s="175"/>
      <c r="CB128" s="175"/>
      <c r="CC128" s="175"/>
      <c r="CD128" s="175"/>
      <c r="CE128" s="170"/>
      <c r="CF128" s="170" t="s">
        <v>182</v>
      </c>
      <c r="CG128" s="170"/>
      <c r="CH128" s="170"/>
      <c r="CI128" s="170"/>
      <c r="CJ128" s="83" t="str">
        <f t="shared" si="28"/>
        <v>No aplica</v>
      </c>
      <c r="CK128" s="83" t="str">
        <f t="shared" si="29"/>
        <v>No aplica</v>
      </c>
      <c r="CL128" s="83" t="str">
        <f t="shared" si="16"/>
        <v>No requiere reporte</v>
      </c>
      <c r="CM128" s="89" t="str">
        <f t="shared" si="17"/>
        <v>No requiere reporte</v>
      </c>
      <c r="CN128" s="89" t="str">
        <f t="shared" si="18"/>
        <v>No requiere reporte</v>
      </c>
      <c r="CO128" s="720" t="s">
        <v>327</v>
      </c>
      <c r="CP128" s="811" t="s">
        <v>1235</v>
      </c>
      <c r="CQ128" s="686" t="s">
        <v>1236</v>
      </c>
      <c r="CR128" s="686" t="s">
        <v>1237</v>
      </c>
      <c r="CS128" s="686" t="s">
        <v>1238</v>
      </c>
      <c r="CT128" s="686" t="s">
        <v>1219</v>
      </c>
      <c r="CU128" s="686" t="s">
        <v>233</v>
      </c>
      <c r="CV128" s="686">
        <v>2</v>
      </c>
      <c r="CW128" s="686" t="s">
        <v>402</v>
      </c>
      <c r="CX128" s="681">
        <v>46023</v>
      </c>
      <c r="CY128" s="681">
        <v>46387</v>
      </c>
      <c r="CZ128" s="686">
        <v>1</v>
      </c>
      <c r="DA128" s="686" t="s">
        <v>182</v>
      </c>
      <c r="DB128" s="686">
        <v>1</v>
      </c>
      <c r="DC128" s="686" t="s">
        <v>182</v>
      </c>
      <c r="DD128" s="686">
        <v>2</v>
      </c>
      <c r="DE128" s="665" t="s">
        <v>182</v>
      </c>
      <c r="DF128" s="665" t="s">
        <v>182</v>
      </c>
      <c r="DG128" s="665" t="s">
        <v>182</v>
      </c>
      <c r="DH128" s="319" t="s">
        <v>182</v>
      </c>
      <c r="DI128" s="665" t="s">
        <v>1177</v>
      </c>
      <c r="DJ128" s="665" t="s">
        <v>1178</v>
      </c>
      <c r="DK128" s="665" t="s">
        <v>1179</v>
      </c>
      <c r="DL128" s="665" t="s">
        <v>201</v>
      </c>
      <c r="DM128" s="802"/>
      <c r="DN128" s="170"/>
      <c r="DO128" s="692"/>
      <c r="DP128" s="170"/>
      <c r="DQ128" s="692"/>
      <c r="DR128" s="692"/>
      <c r="DS128" s="813"/>
      <c r="DT128" s="810"/>
      <c r="DU128" s="814"/>
      <c r="DV128" s="692"/>
      <c r="DW128" s="692"/>
      <c r="DX128" s="813"/>
      <c r="DY128" s="810"/>
      <c r="DZ128" s="814"/>
      <c r="EA128" s="692"/>
      <c r="EB128" s="692"/>
      <c r="EC128" s="170"/>
      <c r="ED128" s="170"/>
      <c r="EE128" s="170"/>
      <c r="EF128" s="170"/>
      <c r="EG128" s="170"/>
      <c r="EH128" s="170"/>
      <c r="EI128" s="170"/>
      <c r="EJ128" s="170"/>
      <c r="EK128" s="262"/>
      <c r="EL128" s="91" t="str">
        <f t="shared" si="19"/>
        <v>No se reportó avance</v>
      </c>
      <c r="EM128" s="83" t="str">
        <f t="shared" si="20"/>
        <v>No se reportó avance</v>
      </c>
      <c r="EN128" s="808"/>
      <c r="EO128" s="93" t="str">
        <f t="shared" si="34"/>
        <v>Gestión</v>
      </c>
      <c r="EP128" s="93" t="str">
        <f t="shared" si="35"/>
        <v>7</v>
      </c>
    </row>
    <row r="129" spans="1:146" ht="150" customHeight="1">
      <c r="A129" s="317" t="s">
        <v>1152</v>
      </c>
      <c r="B129" s="173" t="s">
        <v>1153</v>
      </c>
      <c r="C129" s="317" t="s">
        <v>1181</v>
      </c>
      <c r="D129" s="317" t="s">
        <v>1182</v>
      </c>
      <c r="E129" s="317" t="s">
        <v>1194</v>
      </c>
      <c r="F129" s="317" t="s">
        <v>182</v>
      </c>
      <c r="G129" s="317" t="s">
        <v>182</v>
      </c>
      <c r="H129" s="317" t="s">
        <v>182</v>
      </c>
      <c r="I129" s="317" t="s">
        <v>454</v>
      </c>
      <c r="J129" s="170" t="s">
        <v>156</v>
      </c>
      <c r="K129" s="317" t="s">
        <v>1157</v>
      </c>
      <c r="L129" s="262">
        <v>2</v>
      </c>
      <c r="M129" s="170" t="s">
        <v>1195</v>
      </c>
      <c r="N129" s="170" t="s">
        <v>1196</v>
      </c>
      <c r="O129" s="170" t="s">
        <v>1197</v>
      </c>
      <c r="P129" s="170" t="s">
        <v>200</v>
      </c>
      <c r="Q129" s="262" t="s">
        <v>233</v>
      </c>
      <c r="R129" s="170">
        <v>1</v>
      </c>
      <c r="S129" s="170" t="s">
        <v>252</v>
      </c>
      <c r="T129" s="217">
        <v>45292</v>
      </c>
      <c r="U129" s="217">
        <v>45657</v>
      </c>
      <c r="V129" s="219" t="s">
        <v>1198</v>
      </c>
      <c r="W129" s="219" t="s">
        <v>1199</v>
      </c>
      <c r="X129" s="219">
        <v>0.27</v>
      </c>
      <c r="Y129" s="219" t="s">
        <v>1200</v>
      </c>
      <c r="Z129" s="219">
        <v>1</v>
      </c>
      <c r="AA129" s="170" t="s">
        <v>1198</v>
      </c>
      <c r="AB129" s="170" t="s">
        <v>1199</v>
      </c>
      <c r="AC129" s="173">
        <v>0.27</v>
      </c>
      <c r="AD129" s="324">
        <v>0.214</v>
      </c>
      <c r="AE129" s="219">
        <v>1</v>
      </c>
      <c r="AF129" s="219">
        <v>0.21</v>
      </c>
      <c r="AG129" s="219">
        <v>0.31</v>
      </c>
      <c r="AH129" s="219">
        <v>0.27</v>
      </c>
      <c r="AI129" s="219">
        <v>0.214</v>
      </c>
      <c r="AJ129" s="219">
        <v>1</v>
      </c>
      <c r="AK129" s="218"/>
      <c r="AL129" s="218"/>
      <c r="AM129" s="218"/>
      <c r="AN129" s="218"/>
      <c r="AO129" s="318"/>
      <c r="AP129" s="318">
        <v>1</v>
      </c>
      <c r="AQ129" s="170"/>
      <c r="AR129" s="170"/>
      <c r="AS129" s="170"/>
      <c r="AT129" s="170"/>
      <c r="AU129" s="170"/>
      <c r="AV129" s="170"/>
      <c r="AW129" s="170"/>
      <c r="AX129" s="170"/>
      <c r="AY129" s="170" t="s">
        <v>182</v>
      </c>
      <c r="AZ129" s="692" t="s">
        <v>182</v>
      </c>
      <c r="BA129" s="175"/>
      <c r="BB129" s="175"/>
      <c r="BC129" s="175"/>
      <c r="BD129" s="175"/>
      <c r="BE129" s="175"/>
      <c r="BF129" s="175"/>
      <c r="BG129" s="175"/>
      <c r="BH129" s="175"/>
      <c r="BI129" s="170" t="s">
        <v>182</v>
      </c>
      <c r="BJ129" s="692" t="s">
        <v>182</v>
      </c>
      <c r="BK129" s="170" t="s">
        <v>182</v>
      </c>
      <c r="BL129" s="692" t="s">
        <v>182</v>
      </c>
      <c r="BM129" s="175"/>
      <c r="BN129" s="315"/>
      <c r="BO129" s="175"/>
      <c r="BP129" s="315"/>
      <c r="BQ129" s="175"/>
      <c r="BR129" s="175"/>
      <c r="BS129" s="173"/>
      <c r="BT129" s="170"/>
      <c r="BU129" s="175"/>
      <c r="BV129" s="175"/>
      <c r="BW129" s="175"/>
      <c r="BX129" s="175"/>
      <c r="BY129" s="175"/>
      <c r="BZ129" s="175"/>
      <c r="CA129" s="175"/>
      <c r="CB129" s="175"/>
      <c r="CC129" s="175"/>
      <c r="CD129" s="175"/>
      <c r="CE129" s="170"/>
      <c r="CF129" s="170" t="s">
        <v>182</v>
      </c>
      <c r="CG129" s="170"/>
      <c r="CH129" s="170"/>
      <c r="CI129" s="170"/>
      <c r="CJ129" s="83" t="str">
        <f t="shared" si="28"/>
        <v>No aplica</v>
      </c>
      <c r="CK129" s="83" t="str">
        <f t="shared" si="29"/>
        <v>No aplica</v>
      </c>
      <c r="CL129" s="83" t="str">
        <f t="shared" si="16"/>
        <v>No requiere reporte</v>
      </c>
      <c r="CM129" s="89" t="str">
        <f t="shared" si="17"/>
        <v>No requiere reporte</v>
      </c>
      <c r="CN129" s="89" t="str">
        <f t="shared" si="18"/>
        <v>No requiere reporte</v>
      </c>
      <c r="CO129" s="720" t="s">
        <v>332</v>
      </c>
      <c r="CP129" s="801" t="s">
        <v>1239</v>
      </c>
      <c r="CQ129" s="665" t="s">
        <v>1240</v>
      </c>
      <c r="CR129" s="686" t="s">
        <v>1241</v>
      </c>
      <c r="CS129" s="686" t="s">
        <v>1242</v>
      </c>
      <c r="CT129" s="720" t="s">
        <v>1161</v>
      </c>
      <c r="CU129" s="720" t="s">
        <v>233</v>
      </c>
      <c r="CV129" s="717">
        <v>7</v>
      </c>
      <c r="CW129" s="687" t="s">
        <v>234</v>
      </c>
      <c r="CX129" s="809">
        <v>46024</v>
      </c>
      <c r="CY129" s="681">
        <v>46387</v>
      </c>
      <c r="CZ129" s="717">
        <v>3</v>
      </c>
      <c r="DA129" s="717">
        <v>3</v>
      </c>
      <c r="DB129" s="717">
        <v>1</v>
      </c>
      <c r="DC129" s="717" t="s">
        <v>182</v>
      </c>
      <c r="DD129" s="717">
        <v>7</v>
      </c>
      <c r="DE129" s="720" t="s">
        <v>1220</v>
      </c>
      <c r="DF129" s="720" t="s">
        <v>1243</v>
      </c>
      <c r="DG129" s="720" t="s">
        <v>1244</v>
      </c>
      <c r="DH129" s="325">
        <v>177188050</v>
      </c>
      <c r="DI129" s="686" t="s">
        <v>1245</v>
      </c>
      <c r="DJ129" s="665" t="s">
        <v>1178</v>
      </c>
      <c r="DK129" s="665" t="s">
        <v>1179</v>
      </c>
      <c r="DL129" s="665" t="s">
        <v>1246</v>
      </c>
      <c r="DM129" s="802"/>
      <c r="DN129" s="170"/>
      <c r="DO129" s="692"/>
      <c r="DP129" s="170"/>
      <c r="DQ129" s="692"/>
      <c r="DR129" s="692"/>
      <c r="DS129" s="813"/>
      <c r="DT129" s="810"/>
      <c r="DU129" s="804"/>
      <c r="DV129" s="803"/>
      <c r="DW129" s="803"/>
      <c r="DX129" s="813"/>
      <c r="DY129" s="815"/>
      <c r="DZ129" s="804"/>
      <c r="EA129" s="803"/>
      <c r="EB129" s="803"/>
      <c r="EC129" s="170"/>
      <c r="ED129" s="170"/>
      <c r="EE129" s="170"/>
      <c r="EF129" s="170"/>
      <c r="EG129" s="170"/>
      <c r="EH129" s="170"/>
      <c r="EI129" s="170"/>
      <c r="EJ129" s="170"/>
      <c r="EK129" s="262"/>
      <c r="EL129" s="91" t="str">
        <f t="shared" si="19"/>
        <v>No se reportó avance</v>
      </c>
      <c r="EM129" s="83" t="str">
        <f t="shared" si="20"/>
        <v>No se reportó avance</v>
      </c>
      <c r="EN129" s="808"/>
      <c r="EO129" s="93" t="str">
        <f t="shared" si="34"/>
        <v>Gestión</v>
      </c>
      <c r="EP129" s="93" t="str">
        <f t="shared" si="35"/>
        <v>7</v>
      </c>
    </row>
    <row r="130" spans="1:146" ht="150" customHeight="1">
      <c r="A130" s="317" t="s">
        <v>1152</v>
      </c>
      <c r="B130" s="173" t="s">
        <v>1153</v>
      </c>
      <c r="C130" s="317" t="s">
        <v>1181</v>
      </c>
      <c r="D130" s="317" t="s">
        <v>1182</v>
      </c>
      <c r="E130" s="317" t="s">
        <v>1194</v>
      </c>
      <c r="F130" s="317" t="s">
        <v>182</v>
      </c>
      <c r="G130" s="317" t="s">
        <v>182</v>
      </c>
      <c r="H130" s="317" t="s">
        <v>182</v>
      </c>
      <c r="I130" s="317" t="s">
        <v>454</v>
      </c>
      <c r="J130" s="170" t="s">
        <v>156</v>
      </c>
      <c r="K130" s="317" t="s">
        <v>1157</v>
      </c>
      <c r="L130" s="262">
        <v>2</v>
      </c>
      <c r="M130" s="170" t="s">
        <v>1195</v>
      </c>
      <c r="N130" s="170" t="s">
        <v>1196</v>
      </c>
      <c r="O130" s="170" t="s">
        <v>1197</v>
      </c>
      <c r="P130" s="170" t="s">
        <v>200</v>
      </c>
      <c r="Q130" s="262" t="s">
        <v>233</v>
      </c>
      <c r="R130" s="170">
        <v>1</v>
      </c>
      <c r="S130" s="170" t="s">
        <v>252</v>
      </c>
      <c r="T130" s="217">
        <v>45292</v>
      </c>
      <c r="U130" s="217">
        <v>45657</v>
      </c>
      <c r="V130" s="219" t="s">
        <v>1198</v>
      </c>
      <c r="W130" s="219" t="s">
        <v>1199</v>
      </c>
      <c r="X130" s="219">
        <v>0.27</v>
      </c>
      <c r="Y130" s="219" t="s">
        <v>1200</v>
      </c>
      <c r="Z130" s="219">
        <v>1</v>
      </c>
      <c r="AA130" s="170" t="s">
        <v>1198</v>
      </c>
      <c r="AB130" s="170" t="s">
        <v>1199</v>
      </c>
      <c r="AC130" s="173">
        <v>0.27</v>
      </c>
      <c r="AD130" s="324">
        <v>0.214</v>
      </c>
      <c r="AE130" s="219">
        <v>1</v>
      </c>
      <c r="AF130" s="219">
        <v>0.21</v>
      </c>
      <c r="AG130" s="219">
        <v>0.31</v>
      </c>
      <c r="AH130" s="219">
        <v>0.27</v>
      </c>
      <c r="AI130" s="219">
        <v>0.214</v>
      </c>
      <c r="AJ130" s="219">
        <v>1</v>
      </c>
      <c r="AK130" s="218"/>
      <c r="AL130" s="218"/>
      <c r="AM130" s="218"/>
      <c r="AN130" s="218"/>
      <c r="AO130" s="318"/>
      <c r="AP130" s="318">
        <v>1</v>
      </c>
      <c r="AQ130" s="170"/>
      <c r="AR130" s="170"/>
      <c r="AS130" s="170"/>
      <c r="AT130" s="170"/>
      <c r="AU130" s="170"/>
      <c r="AV130" s="170"/>
      <c r="AW130" s="170"/>
      <c r="AX130" s="170"/>
      <c r="AY130" s="170" t="s">
        <v>182</v>
      </c>
      <c r="AZ130" s="692" t="s">
        <v>182</v>
      </c>
      <c r="BA130" s="175"/>
      <c r="BB130" s="175"/>
      <c r="BC130" s="175"/>
      <c r="BD130" s="175"/>
      <c r="BE130" s="175"/>
      <c r="BF130" s="175"/>
      <c r="BG130" s="175"/>
      <c r="BH130" s="175"/>
      <c r="BI130" s="170" t="s">
        <v>182</v>
      </c>
      <c r="BJ130" s="692" t="s">
        <v>182</v>
      </c>
      <c r="BK130" s="170" t="s">
        <v>182</v>
      </c>
      <c r="BL130" s="692" t="s">
        <v>182</v>
      </c>
      <c r="BM130" s="175"/>
      <c r="BN130" s="315"/>
      <c r="BO130" s="175"/>
      <c r="BP130" s="315"/>
      <c r="BQ130" s="175"/>
      <c r="BR130" s="175"/>
      <c r="BS130" s="173"/>
      <c r="BT130" s="170"/>
      <c r="BU130" s="175"/>
      <c r="BV130" s="175"/>
      <c r="BW130" s="175"/>
      <c r="BX130" s="175"/>
      <c r="BY130" s="175"/>
      <c r="BZ130" s="175"/>
      <c r="CA130" s="175"/>
      <c r="CB130" s="175"/>
      <c r="CC130" s="175"/>
      <c r="CD130" s="175"/>
      <c r="CE130" s="170"/>
      <c r="CF130" s="170" t="s">
        <v>182</v>
      </c>
      <c r="CG130" s="170"/>
      <c r="CH130" s="170"/>
      <c r="CI130" s="170"/>
      <c r="CJ130" s="83" t="str">
        <f t="shared" si="28"/>
        <v>No aplica</v>
      </c>
      <c r="CK130" s="83" t="str">
        <f t="shared" si="29"/>
        <v>No aplica</v>
      </c>
      <c r="CL130" s="83" t="str">
        <f t="shared" si="16"/>
        <v>No requiere reporte</v>
      </c>
      <c r="CM130" s="89" t="str">
        <f t="shared" si="17"/>
        <v>No requiere reporte</v>
      </c>
      <c r="CN130" s="89" t="str">
        <f t="shared" si="18"/>
        <v>No requiere reporte</v>
      </c>
      <c r="CO130" s="720" t="s">
        <v>1247</v>
      </c>
      <c r="CP130" s="811" t="s">
        <v>1248</v>
      </c>
      <c r="CQ130" s="665" t="s">
        <v>1249</v>
      </c>
      <c r="CR130" s="720" t="s">
        <v>1250</v>
      </c>
      <c r="CS130" s="720" t="s">
        <v>1251</v>
      </c>
      <c r="CT130" s="720" t="s">
        <v>1219</v>
      </c>
      <c r="CU130" s="720" t="s">
        <v>233</v>
      </c>
      <c r="CV130" s="720">
        <v>12</v>
      </c>
      <c r="CW130" s="686" t="s">
        <v>402</v>
      </c>
      <c r="CX130" s="809">
        <v>46024</v>
      </c>
      <c r="CY130" s="681">
        <v>46082</v>
      </c>
      <c r="CZ130" s="717">
        <v>3</v>
      </c>
      <c r="DA130" s="717">
        <v>3</v>
      </c>
      <c r="DB130" s="717">
        <v>3</v>
      </c>
      <c r="DC130" s="717">
        <v>3</v>
      </c>
      <c r="DD130" s="717">
        <v>12</v>
      </c>
      <c r="DE130" s="665" t="s">
        <v>182</v>
      </c>
      <c r="DF130" s="665" t="s">
        <v>182</v>
      </c>
      <c r="DG130" s="665" t="s">
        <v>182</v>
      </c>
      <c r="DH130" s="319" t="s">
        <v>182</v>
      </c>
      <c r="DI130" s="686" t="s">
        <v>1245</v>
      </c>
      <c r="DJ130" s="665" t="s">
        <v>1178</v>
      </c>
      <c r="DK130" s="665" t="s">
        <v>1179</v>
      </c>
      <c r="DL130" s="665" t="s">
        <v>1246</v>
      </c>
      <c r="DM130" s="802"/>
      <c r="DN130" s="170"/>
      <c r="DO130" s="692"/>
      <c r="DP130" s="170"/>
      <c r="DQ130" s="692"/>
      <c r="DR130" s="692"/>
      <c r="DS130" s="807"/>
      <c r="DT130" s="803"/>
      <c r="DU130" s="804"/>
      <c r="DV130" s="803"/>
      <c r="DW130" s="803"/>
      <c r="DX130" s="317"/>
      <c r="DY130" s="816"/>
      <c r="DZ130" s="817"/>
      <c r="EA130" s="803"/>
      <c r="EB130" s="803"/>
      <c r="EC130" s="170"/>
      <c r="ED130" s="170"/>
      <c r="EE130" s="170"/>
      <c r="EF130" s="170"/>
      <c r="EG130" s="170"/>
      <c r="EH130" s="170"/>
      <c r="EI130" s="170"/>
      <c r="EJ130" s="170"/>
      <c r="EK130" s="262"/>
      <c r="EL130" s="91" t="str">
        <f t="shared" si="19"/>
        <v>No se reportó avance</v>
      </c>
      <c r="EM130" s="83" t="str">
        <f t="shared" si="20"/>
        <v>No se reportó avance</v>
      </c>
      <c r="EN130" s="808"/>
      <c r="EO130" s="93" t="str">
        <f t="shared" si="34"/>
        <v>Gestión</v>
      </c>
      <c r="EP130" s="93" t="str">
        <f t="shared" si="35"/>
        <v>7</v>
      </c>
    </row>
    <row r="131" spans="1:146" ht="150" customHeight="1">
      <c r="A131" s="317" t="s">
        <v>1152</v>
      </c>
      <c r="B131" s="173" t="s">
        <v>1153</v>
      </c>
      <c r="C131" s="317" t="s">
        <v>1181</v>
      </c>
      <c r="D131" s="317" t="s">
        <v>1182</v>
      </c>
      <c r="E131" s="317" t="s">
        <v>1194</v>
      </c>
      <c r="F131" s="317" t="s">
        <v>182</v>
      </c>
      <c r="G131" s="317" t="s">
        <v>182</v>
      </c>
      <c r="H131" s="317" t="s">
        <v>182</v>
      </c>
      <c r="I131" s="317" t="s">
        <v>454</v>
      </c>
      <c r="J131" s="170" t="s">
        <v>156</v>
      </c>
      <c r="K131" s="317" t="s">
        <v>1157</v>
      </c>
      <c r="L131" s="262">
        <v>2</v>
      </c>
      <c r="M131" s="170" t="s">
        <v>1195</v>
      </c>
      <c r="N131" s="170" t="s">
        <v>1196</v>
      </c>
      <c r="O131" s="170" t="s">
        <v>1197</v>
      </c>
      <c r="P131" s="170" t="s">
        <v>200</v>
      </c>
      <c r="Q131" s="262" t="s">
        <v>233</v>
      </c>
      <c r="R131" s="170">
        <v>1</v>
      </c>
      <c r="S131" s="170" t="s">
        <v>252</v>
      </c>
      <c r="T131" s="217">
        <v>45292</v>
      </c>
      <c r="U131" s="217">
        <v>45657</v>
      </c>
      <c r="V131" s="219" t="s">
        <v>1198</v>
      </c>
      <c r="W131" s="219" t="s">
        <v>1199</v>
      </c>
      <c r="X131" s="219">
        <v>0.27</v>
      </c>
      <c r="Y131" s="219" t="s">
        <v>1200</v>
      </c>
      <c r="Z131" s="219">
        <v>1</v>
      </c>
      <c r="AA131" s="170" t="s">
        <v>1198</v>
      </c>
      <c r="AB131" s="170" t="s">
        <v>1199</v>
      </c>
      <c r="AC131" s="173">
        <v>0.27</v>
      </c>
      <c r="AD131" s="324">
        <v>0.214</v>
      </c>
      <c r="AE131" s="219">
        <v>1</v>
      </c>
      <c r="AF131" s="219">
        <v>0.21</v>
      </c>
      <c r="AG131" s="219">
        <v>0.31</v>
      </c>
      <c r="AH131" s="219">
        <v>0.27</v>
      </c>
      <c r="AI131" s="219">
        <v>0.214</v>
      </c>
      <c r="AJ131" s="219">
        <v>1</v>
      </c>
      <c r="AK131" s="218"/>
      <c r="AL131" s="218"/>
      <c r="AM131" s="218"/>
      <c r="AN131" s="218"/>
      <c r="AO131" s="318"/>
      <c r="AP131" s="318">
        <v>1</v>
      </c>
      <c r="AQ131" s="170"/>
      <c r="AR131" s="170"/>
      <c r="AS131" s="170"/>
      <c r="AT131" s="170"/>
      <c r="AU131" s="170"/>
      <c r="AV131" s="170"/>
      <c r="AW131" s="170"/>
      <c r="AX131" s="170"/>
      <c r="AY131" s="170" t="s">
        <v>182</v>
      </c>
      <c r="AZ131" s="692" t="s">
        <v>182</v>
      </c>
      <c r="BA131" s="175"/>
      <c r="BB131" s="175"/>
      <c r="BC131" s="175"/>
      <c r="BD131" s="175"/>
      <c r="BE131" s="175"/>
      <c r="BF131" s="175"/>
      <c r="BG131" s="175"/>
      <c r="BH131" s="175"/>
      <c r="BI131" s="170" t="s">
        <v>182</v>
      </c>
      <c r="BJ131" s="692" t="s">
        <v>182</v>
      </c>
      <c r="BK131" s="170" t="s">
        <v>182</v>
      </c>
      <c r="BL131" s="692" t="s">
        <v>182</v>
      </c>
      <c r="BM131" s="175"/>
      <c r="BN131" s="315"/>
      <c r="BO131" s="175"/>
      <c r="BP131" s="315"/>
      <c r="BQ131" s="175"/>
      <c r="BR131" s="175"/>
      <c r="BS131" s="173"/>
      <c r="BT131" s="170"/>
      <c r="BU131" s="175"/>
      <c r="BV131" s="175"/>
      <c r="BW131" s="175"/>
      <c r="BX131" s="175"/>
      <c r="BY131" s="175"/>
      <c r="BZ131" s="175"/>
      <c r="CA131" s="175"/>
      <c r="CB131" s="175"/>
      <c r="CC131" s="175"/>
      <c r="CD131" s="175"/>
      <c r="CE131" s="170"/>
      <c r="CF131" s="170" t="s">
        <v>182</v>
      </c>
      <c r="CG131" s="170"/>
      <c r="CH131" s="170"/>
      <c r="CI131" s="170"/>
      <c r="CJ131" s="83" t="str">
        <f t="shared" si="28"/>
        <v>No aplica</v>
      </c>
      <c r="CK131" s="83" t="str">
        <f t="shared" si="29"/>
        <v>No aplica</v>
      </c>
      <c r="CL131" s="83" t="str">
        <f t="shared" si="16"/>
        <v>No requiere reporte</v>
      </c>
      <c r="CM131" s="89" t="str">
        <f t="shared" si="17"/>
        <v>No requiere reporte</v>
      </c>
      <c r="CN131" s="89" t="str">
        <f t="shared" si="18"/>
        <v>No requiere reporte</v>
      </c>
      <c r="CO131" s="686" t="s">
        <v>1252</v>
      </c>
      <c r="CP131" s="801" t="s">
        <v>1253</v>
      </c>
      <c r="CQ131" s="686" t="s">
        <v>1254</v>
      </c>
      <c r="CR131" s="686" t="s">
        <v>1255</v>
      </c>
      <c r="CS131" s="686" t="s">
        <v>1256</v>
      </c>
      <c r="CT131" s="720" t="s">
        <v>1161</v>
      </c>
      <c r="CU131" s="720" t="s">
        <v>233</v>
      </c>
      <c r="CV131" s="720">
        <v>40</v>
      </c>
      <c r="CW131" s="686" t="s">
        <v>402</v>
      </c>
      <c r="CX131" s="809">
        <v>46024</v>
      </c>
      <c r="CY131" s="681">
        <v>46082</v>
      </c>
      <c r="CZ131" s="717">
        <v>10</v>
      </c>
      <c r="DA131" s="717">
        <v>10</v>
      </c>
      <c r="DB131" s="717">
        <v>10</v>
      </c>
      <c r="DC131" s="717">
        <v>10</v>
      </c>
      <c r="DD131" s="717">
        <v>40</v>
      </c>
      <c r="DE131" s="665" t="s">
        <v>182</v>
      </c>
      <c r="DF131" s="665" t="s">
        <v>182</v>
      </c>
      <c r="DG131" s="665" t="s">
        <v>182</v>
      </c>
      <c r="DH131" s="319" t="s">
        <v>182</v>
      </c>
      <c r="DI131" s="686" t="s">
        <v>1245</v>
      </c>
      <c r="DJ131" s="665" t="s">
        <v>1178</v>
      </c>
      <c r="DK131" s="665" t="s">
        <v>1179</v>
      </c>
      <c r="DL131" s="665" t="s">
        <v>1246</v>
      </c>
      <c r="DM131" s="802"/>
      <c r="DN131" s="170"/>
      <c r="DO131" s="692"/>
      <c r="DP131" s="170"/>
      <c r="DQ131" s="692"/>
      <c r="DR131" s="692"/>
      <c r="DS131" s="813"/>
      <c r="DT131" s="803"/>
      <c r="DU131" s="804"/>
      <c r="DV131" s="803"/>
      <c r="DW131" s="803"/>
      <c r="DX131" s="818"/>
      <c r="DY131" s="816"/>
      <c r="DZ131" s="817"/>
      <c r="EA131" s="803"/>
      <c r="EB131" s="803"/>
      <c r="EC131" s="170"/>
      <c r="ED131" s="170"/>
      <c r="EE131" s="170"/>
      <c r="EF131" s="170"/>
      <c r="EG131" s="170"/>
      <c r="EH131" s="170"/>
      <c r="EI131" s="170"/>
      <c r="EJ131" s="170"/>
      <c r="EK131" s="262"/>
      <c r="EL131" s="91" t="str">
        <f t="shared" si="19"/>
        <v>No se reportó avance</v>
      </c>
      <c r="EM131" s="83" t="str">
        <f t="shared" si="20"/>
        <v>No se reportó avance</v>
      </c>
      <c r="EN131" s="654"/>
      <c r="EO131" s="93" t="str">
        <f t="shared" si="34"/>
        <v>Gestión</v>
      </c>
      <c r="EP131" s="93" t="str">
        <f t="shared" si="35"/>
        <v>7</v>
      </c>
    </row>
    <row r="132" spans="1:146" ht="150" customHeight="1">
      <c r="A132" s="317" t="s">
        <v>1152</v>
      </c>
      <c r="B132" s="173" t="s">
        <v>1153</v>
      </c>
      <c r="C132" s="317" t="s">
        <v>1181</v>
      </c>
      <c r="D132" s="317" t="s">
        <v>1182</v>
      </c>
      <c r="E132" s="317" t="s">
        <v>1194</v>
      </c>
      <c r="F132" s="317" t="s">
        <v>182</v>
      </c>
      <c r="G132" s="317" t="s">
        <v>182</v>
      </c>
      <c r="H132" s="317" t="s">
        <v>182</v>
      </c>
      <c r="I132" s="317" t="s">
        <v>454</v>
      </c>
      <c r="J132" s="170" t="s">
        <v>156</v>
      </c>
      <c r="K132" s="317" t="s">
        <v>1157</v>
      </c>
      <c r="L132" s="262">
        <v>2</v>
      </c>
      <c r="M132" s="170" t="s">
        <v>1195</v>
      </c>
      <c r="N132" s="170" t="s">
        <v>1196</v>
      </c>
      <c r="O132" s="170" t="s">
        <v>1197</v>
      </c>
      <c r="P132" s="170" t="s">
        <v>200</v>
      </c>
      <c r="Q132" s="262" t="s">
        <v>233</v>
      </c>
      <c r="R132" s="170">
        <v>1</v>
      </c>
      <c r="S132" s="170" t="s">
        <v>252</v>
      </c>
      <c r="T132" s="217">
        <v>45292</v>
      </c>
      <c r="U132" s="217">
        <v>45657</v>
      </c>
      <c r="V132" s="219" t="s">
        <v>1198</v>
      </c>
      <c r="W132" s="219" t="s">
        <v>1199</v>
      </c>
      <c r="X132" s="219">
        <v>0.27</v>
      </c>
      <c r="Y132" s="219" t="s">
        <v>1200</v>
      </c>
      <c r="Z132" s="219">
        <v>1</v>
      </c>
      <c r="AA132" s="170" t="s">
        <v>1198</v>
      </c>
      <c r="AB132" s="170" t="s">
        <v>1199</v>
      </c>
      <c r="AC132" s="173">
        <v>0.27</v>
      </c>
      <c r="AD132" s="324">
        <v>0.214</v>
      </c>
      <c r="AE132" s="219">
        <v>1</v>
      </c>
      <c r="AF132" s="219">
        <v>0.21</v>
      </c>
      <c r="AG132" s="219">
        <v>0.31</v>
      </c>
      <c r="AH132" s="219">
        <v>0.27</v>
      </c>
      <c r="AI132" s="219">
        <v>0.214</v>
      </c>
      <c r="AJ132" s="219">
        <v>1</v>
      </c>
      <c r="AK132" s="218"/>
      <c r="AL132" s="218"/>
      <c r="AM132" s="218"/>
      <c r="AN132" s="218"/>
      <c r="AO132" s="318"/>
      <c r="AP132" s="318">
        <v>1</v>
      </c>
      <c r="AQ132" s="170"/>
      <c r="AR132" s="170"/>
      <c r="AS132" s="170"/>
      <c r="AT132" s="170"/>
      <c r="AU132" s="170"/>
      <c r="AV132" s="170"/>
      <c r="AW132" s="170"/>
      <c r="AX132" s="170"/>
      <c r="AY132" s="170" t="s">
        <v>182</v>
      </c>
      <c r="AZ132" s="692" t="s">
        <v>182</v>
      </c>
      <c r="BA132" s="175"/>
      <c r="BB132" s="175"/>
      <c r="BC132" s="175"/>
      <c r="BD132" s="175"/>
      <c r="BE132" s="175"/>
      <c r="BF132" s="175"/>
      <c r="BG132" s="175"/>
      <c r="BH132" s="175"/>
      <c r="BI132" s="170" t="s">
        <v>182</v>
      </c>
      <c r="BJ132" s="692" t="s">
        <v>182</v>
      </c>
      <c r="BK132" s="170" t="s">
        <v>182</v>
      </c>
      <c r="BL132" s="692" t="s">
        <v>182</v>
      </c>
      <c r="BM132" s="175"/>
      <c r="BN132" s="315"/>
      <c r="BO132" s="175"/>
      <c r="BP132" s="315"/>
      <c r="BQ132" s="175"/>
      <c r="BR132" s="175"/>
      <c r="BS132" s="173"/>
      <c r="BT132" s="170"/>
      <c r="BU132" s="175"/>
      <c r="BV132" s="175"/>
      <c r="BW132" s="175"/>
      <c r="BX132" s="175"/>
      <c r="BY132" s="175"/>
      <c r="BZ132" s="175"/>
      <c r="CA132" s="175"/>
      <c r="CB132" s="175"/>
      <c r="CC132" s="175"/>
      <c r="CD132" s="175"/>
      <c r="CE132" s="170"/>
      <c r="CF132" s="170" t="s">
        <v>182</v>
      </c>
      <c r="CG132" s="170"/>
      <c r="CH132" s="170"/>
      <c r="CI132" s="170"/>
      <c r="CJ132" s="83" t="str">
        <f t="shared" si="28"/>
        <v>No aplica</v>
      </c>
      <c r="CK132" s="83" t="str">
        <f t="shared" si="29"/>
        <v>No aplica</v>
      </c>
      <c r="CL132" s="83" t="str">
        <f t="shared" si="16"/>
        <v>No requiere reporte</v>
      </c>
      <c r="CM132" s="89" t="str">
        <f t="shared" si="17"/>
        <v>No requiere reporte</v>
      </c>
      <c r="CN132" s="89" t="str">
        <f t="shared" si="18"/>
        <v>No requiere reporte</v>
      </c>
      <c r="CO132" s="720" t="s">
        <v>1257</v>
      </c>
      <c r="CP132" s="811" t="s">
        <v>1258</v>
      </c>
      <c r="CQ132" s="665" t="s">
        <v>1259</v>
      </c>
      <c r="CR132" s="720" t="s">
        <v>1260</v>
      </c>
      <c r="CS132" s="720" t="s">
        <v>1261</v>
      </c>
      <c r="CT132" s="720" t="s">
        <v>1219</v>
      </c>
      <c r="CU132" s="720" t="s">
        <v>233</v>
      </c>
      <c r="CV132" s="720">
        <v>24</v>
      </c>
      <c r="CW132" s="686" t="s">
        <v>402</v>
      </c>
      <c r="CX132" s="809">
        <v>46024</v>
      </c>
      <c r="CY132" s="681">
        <v>46387</v>
      </c>
      <c r="CZ132" s="717">
        <v>3</v>
      </c>
      <c r="DA132" s="717">
        <v>4</v>
      </c>
      <c r="DB132" s="717">
        <v>14</v>
      </c>
      <c r="DC132" s="717">
        <v>3</v>
      </c>
      <c r="DD132" s="717">
        <v>24</v>
      </c>
      <c r="DE132" s="665" t="s">
        <v>182</v>
      </c>
      <c r="DF132" s="665" t="s">
        <v>182</v>
      </c>
      <c r="DG132" s="665" t="s">
        <v>182</v>
      </c>
      <c r="DH132" s="319" t="s">
        <v>182</v>
      </c>
      <c r="DI132" s="686" t="s">
        <v>1245</v>
      </c>
      <c r="DJ132" s="665" t="s">
        <v>1178</v>
      </c>
      <c r="DK132" s="665" t="s">
        <v>1179</v>
      </c>
      <c r="DL132" s="665" t="s">
        <v>1246</v>
      </c>
      <c r="DM132" s="802"/>
      <c r="DN132" s="170"/>
      <c r="DO132" s="692"/>
      <c r="DP132" s="170"/>
      <c r="DQ132" s="692"/>
      <c r="DR132" s="692"/>
      <c r="DS132" s="813"/>
      <c r="DT132" s="803"/>
      <c r="DU132" s="804"/>
      <c r="DV132" s="810"/>
      <c r="DW132" s="810"/>
      <c r="DX132" s="818"/>
      <c r="DY132" s="816"/>
      <c r="DZ132" s="817"/>
      <c r="EA132" s="810"/>
      <c r="EB132" s="810"/>
      <c r="EC132" s="170"/>
      <c r="ED132" s="170"/>
      <c r="EE132" s="170"/>
      <c r="EF132" s="170"/>
      <c r="EG132" s="170"/>
      <c r="EH132" s="170"/>
      <c r="EI132" s="170"/>
      <c r="EJ132" s="170"/>
      <c r="EK132" s="262"/>
      <c r="EL132" s="91" t="str">
        <f t="shared" si="19"/>
        <v>No se reportó avance</v>
      </c>
      <c r="EM132" s="83" t="str">
        <f t="shared" si="20"/>
        <v>No se reportó avance</v>
      </c>
      <c r="EN132" s="808"/>
      <c r="EO132" s="93" t="str">
        <f t="shared" si="34"/>
        <v>Gestión</v>
      </c>
      <c r="EP132" s="93" t="str">
        <f t="shared" si="35"/>
        <v>7</v>
      </c>
    </row>
    <row r="133" spans="1:146" ht="150" customHeight="1">
      <c r="A133" s="317" t="s">
        <v>1152</v>
      </c>
      <c r="B133" s="173" t="s">
        <v>1153</v>
      </c>
      <c r="C133" s="317" t="s">
        <v>1181</v>
      </c>
      <c r="D133" s="317" t="s">
        <v>1182</v>
      </c>
      <c r="E133" s="317" t="s">
        <v>1194</v>
      </c>
      <c r="F133" s="317" t="s">
        <v>182</v>
      </c>
      <c r="G133" s="317" t="s">
        <v>182</v>
      </c>
      <c r="H133" s="317" t="s">
        <v>182</v>
      </c>
      <c r="I133" s="317" t="s">
        <v>454</v>
      </c>
      <c r="J133" s="170" t="s">
        <v>156</v>
      </c>
      <c r="K133" s="317" t="s">
        <v>1157</v>
      </c>
      <c r="L133" s="262">
        <v>2</v>
      </c>
      <c r="M133" s="170" t="s">
        <v>1195</v>
      </c>
      <c r="N133" s="170" t="s">
        <v>1196</v>
      </c>
      <c r="O133" s="170" t="s">
        <v>1197</v>
      </c>
      <c r="P133" s="170" t="s">
        <v>200</v>
      </c>
      <c r="Q133" s="262" t="s">
        <v>233</v>
      </c>
      <c r="R133" s="170">
        <v>1</v>
      </c>
      <c r="S133" s="170" t="s">
        <v>252</v>
      </c>
      <c r="T133" s="217">
        <v>45292</v>
      </c>
      <c r="U133" s="217">
        <v>45657</v>
      </c>
      <c r="V133" s="219" t="s">
        <v>1198</v>
      </c>
      <c r="W133" s="219" t="s">
        <v>1199</v>
      </c>
      <c r="X133" s="219">
        <v>0.27</v>
      </c>
      <c r="Y133" s="219" t="s">
        <v>1200</v>
      </c>
      <c r="Z133" s="219">
        <v>1</v>
      </c>
      <c r="AA133" s="170" t="s">
        <v>1198</v>
      </c>
      <c r="AB133" s="170" t="s">
        <v>1199</v>
      </c>
      <c r="AC133" s="173">
        <v>0.27</v>
      </c>
      <c r="AD133" s="324">
        <v>0.214</v>
      </c>
      <c r="AE133" s="219">
        <v>1</v>
      </c>
      <c r="AF133" s="219">
        <v>0.21</v>
      </c>
      <c r="AG133" s="219">
        <v>0.31</v>
      </c>
      <c r="AH133" s="219">
        <v>0.27</v>
      </c>
      <c r="AI133" s="219">
        <v>0.214</v>
      </c>
      <c r="AJ133" s="219">
        <v>1</v>
      </c>
      <c r="AK133" s="218"/>
      <c r="AL133" s="218"/>
      <c r="AM133" s="218"/>
      <c r="AN133" s="218"/>
      <c r="AO133" s="318"/>
      <c r="AP133" s="318">
        <v>1</v>
      </c>
      <c r="AQ133" s="170"/>
      <c r="AR133" s="170"/>
      <c r="AS133" s="170"/>
      <c r="AT133" s="170"/>
      <c r="AU133" s="170"/>
      <c r="AV133" s="170"/>
      <c r="AW133" s="170"/>
      <c r="AX133" s="170"/>
      <c r="AY133" s="170" t="s">
        <v>182</v>
      </c>
      <c r="AZ133" s="692" t="s">
        <v>182</v>
      </c>
      <c r="BA133" s="175"/>
      <c r="BB133" s="175"/>
      <c r="BC133" s="175"/>
      <c r="BD133" s="175"/>
      <c r="BE133" s="175"/>
      <c r="BF133" s="175"/>
      <c r="BG133" s="175"/>
      <c r="BH133" s="175"/>
      <c r="BI133" s="170" t="s">
        <v>182</v>
      </c>
      <c r="BJ133" s="692" t="s">
        <v>182</v>
      </c>
      <c r="BK133" s="170" t="s">
        <v>182</v>
      </c>
      <c r="BL133" s="692" t="s">
        <v>182</v>
      </c>
      <c r="BM133" s="175"/>
      <c r="BN133" s="315"/>
      <c r="BO133" s="175"/>
      <c r="BP133" s="315"/>
      <c r="BQ133" s="175"/>
      <c r="BR133" s="175"/>
      <c r="BS133" s="173"/>
      <c r="BT133" s="170"/>
      <c r="BU133" s="175"/>
      <c r="BV133" s="175"/>
      <c r="BW133" s="175"/>
      <c r="BX133" s="175"/>
      <c r="BY133" s="175"/>
      <c r="BZ133" s="175"/>
      <c r="CA133" s="175"/>
      <c r="CB133" s="175"/>
      <c r="CC133" s="175"/>
      <c r="CD133" s="175"/>
      <c r="CE133" s="170"/>
      <c r="CF133" s="170" t="s">
        <v>182</v>
      </c>
      <c r="CG133" s="170"/>
      <c r="CH133" s="170"/>
      <c r="CI133" s="170"/>
      <c r="CJ133" s="83" t="str">
        <f t="shared" si="28"/>
        <v>No aplica</v>
      </c>
      <c r="CK133" s="83" t="str">
        <f t="shared" si="29"/>
        <v>No aplica</v>
      </c>
      <c r="CL133" s="83" t="str">
        <f t="shared" si="16"/>
        <v>No requiere reporte</v>
      </c>
      <c r="CM133" s="89" t="str">
        <f t="shared" si="17"/>
        <v>No requiere reporte</v>
      </c>
      <c r="CN133" s="89" t="str">
        <f t="shared" si="18"/>
        <v>No requiere reporte</v>
      </c>
      <c r="CO133" s="720" t="s">
        <v>1262</v>
      </c>
      <c r="CP133" s="811" t="s">
        <v>1263</v>
      </c>
      <c r="CQ133" s="665" t="s">
        <v>1259</v>
      </c>
      <c r="CR133" s="720" t="s">
        <v>1264</v>
      </c>
      <c r="CS133" s="720" t="s">
        <v>1265</v>
      </c>
      <c r="CT133" s="720" t="s">
        <v>1219</v>
      </c>
      <c r="CU133" s="720" t="s">
        <v>233</v>
      </c>
      <c r="CV133" s="720">
        <v>24</v>
      </c>
      <c r="CW133" s="686" t="s">
        <v>402</v>
      </c>
      <c r="CX133" s="809">
        <v>46024</v>
      </c>
      <c r="CY133" s="681">
        <v>46387</v>
      </c>
      <c r="CZ133" s="720">
        <v>4</v>
      </c>
      <c r="DA133" s="720">
        <v>7</v>
      </c>
      <c r="DB133" s="720">
        <v>7</v>
      </c>
      <c r="DC133" s="720">
        <v>6</v>
      </c>
      <c r="DD133" s="717">
        <v>24</v>
      </c>
      <c r="DE133" s="665" t="s">
        <v>182</v>
      </c>
      <c r="DF133" s="665" t="s">
        <v>182</v>
      </c>
      <c r="DG133" s="665" t="s">
        <v>182</v>
      </c>
      <c r="DH133" s="319" t="s">
        <v>182</v>
      </c>
      <c r="DI133" s="665" t="s">
        <v>1177</v>
      </c>
      <c r="DJ133" s="665" t="s">
        <v>1178</v>
      </c>
      <c r="DK133" s="665" t="s">
        <v>1179</v>
      </c>
      <c r="DL133" s="665" t="s">
        <v>1246</v>
      </c>
      <c r="DM133" s="802"/>
      <c r="DN133" s="170"/>
      <c r="DO133" s="692"/>
      <c r="DP133" s="170"/>
      <c r="DQ133" s="692"/>
      <c r="DR133" s="692"/>
      <c r="DS133" s="807"/>
      <c r="DT133" s="803"/>
      <c r="DU133" s="804"/>
      <c r="DV133" s="803"/>
      <c r="DW133" s="692"/>
      <c r="DX133" s="317"/>
      <c r="DY133" s="816"/>
      <c r="DZ133" s="817"/>
      <c r="EA133" s="803"/>
      <c r="EB133" s="692"/>
      <c r="EC133" s="170"/>
      <c r="ED133" s="170"/>
      <c r="EE133" s="170"/>
      <c r="EF133" s="170"/>
      <c r="EG133" s="170"/>
      <c r="EH133" s="170"/>
      <c r="EI133" s="170"/>
      <c r="EJ133" s="170"/>
      <c r="EK133" s="262"/>
      <c r="EL133" s="91" t="str">
        <f t="shared" si="19"/>
        <v>No se reportó avance</v>
      </c>
      <c r="EM133" s="83" t="str">
        <f t="shared" si="20"/>
        <v>No se reportó avance</v>
      </c>
      <c r="EN133" s="808"/>
      <c r="EO133" s="93" t="str">
        <f t="shared" si="34"/>
        <v>Gestión</v>
      </c>
      <c r="EP133" s="93" t="str">
        <f t="shared" si="35"/>
        <v>7</v>
      </c>
    </row>
    <row r="134" spans="1:146" ht="150" customHeight="1">
      <c r="A134" s="317" t="s">
        <v>1152</v>
      </c>
      <c r="B134" s="173" t="s">
        <v>1153</v>
      </c>
      <c r="C134" s="317" t="s">
        <v>1181</v>
      </c>
      <c r="D134" s="317" t="s">
        <v>1182</v>
      </c>
      <c r="E134" s="317" t="s">
        <v>1194</v>
      </c>
      <c r="F134" s="317" t="s">
        <v>182</v>
      </c>
      <c r="G134" s="317" t="s">
        <v>182</v>
      </c>
      <c r="H134" s="317" t="s">
        <v>182</v>
      </c>
      <c r="I134" s="317" t="s">
        <v>454</v>
      </c>
      <c r="J134" s="170" t="s">
        <v>156</v>
      </c>
      <c r="K134" s="317" t="s">
        <v>1157</v>
      </c>
      <c r="L134" s="262">
        <v>2</v>
      </c>
      <c r="M134" s="170" t="s">
        <v>1195</v>
      </c>
      <c r="N134" s="170" t="s">
        <v>1196</v>
      </c>
      <c r="O134" s="170" t="s">
        <v>1197</v>
      </c>
      <c r="P134" s="170" t="s">
        <v>200</v>
      </c>
      <c r="Q134" s="262" t="s">
        <v>233</v>
      </c>
      <c r="R134" s="170">
        <v>1</v>
      </c>
      <c r="S134" s="170" t="s">
        <v>252</v>
      </c>
      <c r="T134" s="217">
        <v>45292</v>
      </c>
      <c r="U134" s="217">
        <v>45657</v>
      </c>
      <c r="V134" s="219" t="s">
        <v>1198</v>
      </c>
      <c r="W134" s="219" t="s">
        <v>1199</v>
      </c>
      <c r="X134" s="219">
        <v>0.27</v>
      </c>
      <c r="Y134" s="219" t="s">
        <v>1200</v>
      </c>
      <c r="Z134" s="219">
        <v>1</v>
      </c>
      <c r="AA134" s="170" t="s">
        <v>1198</v>
      </c>
      <c r="AB134" s="170" t="s">
        <v>1199</v>
      </c>
      <c r="AC134" s="173">
        <v>0.27</v>
      </c>
      <c r="AD134" s="324">
        <v>0.214</v>
      </c>
      <c r="AE134" s="219">
        <v>1</v>
      </c>
      <c r="AF134" s="219">
        <v>0.21</v>
      </c>
      <c r="AG134" s="219">
        <v>0.31</v>
      </c>
      <c r="AH134" s="219">
        <v>0.27</v>
      </c>
      <c r="AI134" s="219">
        <v>0.214</v>
      </c>
      <c r="AJ134" s="219">
        <v>1</v>
      </c>
      <c r="AK134" s="218"/>
      <c r="AL134" s="218"/>
      <c r="AM134" s="218"/>
      <c r="AN134" s="218"/>
      <c r="AO134" s="318"/>
      <c r="AP134" s="318">
        <v>1</v>
      </c>
      <c r="AQ134" s="170"/>
      <c r="AR134" s="170"/>
      <c r="AS134" s="170"/>
      <c r="AT134" s="170"/>
      <c r="AU134" s="170"/>
      <c r="AV134" s="170"/>
      <c r="AW134" s="170"/>
      <c r="AX134" s="170"/>
      <c r="AY134" s="170" t="s">
        <v>182</v>
      </c>
      <c r="AZ134" s="692" t="s">
        <v>182</v>
      </c>
      <c r="BA134" s="175"/>
      <c r="BB134" s="175"/>
      <c r="BC134" s="175"/>
      <c r="BD134" s="175"/>
      <c r="BE134" s="175"/>
      <c r="BF134" s="175"/>
      <c r="BG134" s="175"/>
      <c r="BH134" s="175"/>
      <c r="BI134" s="170" t="s">
        <v>182</v>
      </c>
      <c r="BJ134" s="692" t="s">
        <v>182</v>
      </c>
      <c r="BK134" s="170" t="s">
        <v>182</v>
      </c>
      <c r="BL134" s="692" t="s">
        <v>182</v>
      </c>
      <c r="BM134" s="175"/>
      <c r="BN134" s="315"/>
      <c r="BO134" s="175"/>
      <c r="BP134" s="315"/>
      <c r="BQ134" s="175"/>
      <c r="BR134" s="175"/>
      <c r="BS134" s="173"/>
      <c r="BT134" s="170"/>
      <c r="BU134" s="175"/>
      <c r="BV134" s="175"/>
      <c r="BW134" s="175"/>
      <c r="BX134" s="175"/>
      <c r="BY134" s="175"/>
      <c r="BZ134" s="175"/>
      <c r="CA134" s="175"/>
      <c r="CB134" s="175"/>
      <c r="CC134" s="175"/>
      <c r="CD134" s="175"/>
      <c r="CE134" s="170"/>
      <c r="CF134" s="170" t="s">
        <v>182</v>
      </c>
      <c r="CG134" s="170"/>
      <c r="CH134" s="170"/>
      <c r="CI134" s="170"/>
      <c r="CJ134" s="83" t="str">
        <f t="shared" si="28"/>
        <v>No aplica</v>
      </c>
      <c r="CK134" s="83" t="str">
        <f t="shared" si="29"/>
        <v>No aplica</v>
      </c>
      <c r="CL134" s="83" t="str">
        <f t="shared" si="16"/>
        <v>No requiere reporte</v>
      </c>
      <c r="CM134" s="89" t="str">
        <f t="shared" si="17"/>
        <v>No requiere reporte</v>
      </c>
      <c r="CN134" s="89" t="str">
        <f t="shared" si="18"/>
        <v>No requiere reporte</v>
      </c>
      <c r="CO134" s="720" t="s">
        <v>1266</v>
      </c>
      <c r="CP134" s="811" t="s">
        <v>1267</v>
      </c>
      <c r="CQ134" s="665" t="s">
        <v>1268</v>
      </c>
      <c r="CR134" s="686" t="s">
        <v>1269</v>
      </c>
      <c r="CS134" s="686" t="s">
        <v>1270</v>
      </c>
      <c r="CT134" s="720" t="s">
        <v>1161</v>
      </c>
      <c r="CU134" s="720" t="s">
        <v>162</v>
      </c>
      <c r="CV134" s="720">
        <v>1</v>
      </c>
      <c r="CW134" s="686" t="s">
        <v>402</v>
      </c>
      <c r="CX134" s="809">
        <v>46024</v>
      </c>
      <c r="CY134" s="681">
        <v>46082</v>
      </c>
      <c r="CZ134" s="717">
        <v>1</v>
      </c>
      <c r="DA134" s="717" t="s">
        <v>182</v>
      </c>
      <c r="DB134" s="717" t="s">
        <v>182</v>
      </c>
      <c r="DC134" s="717" t="s">
        <v>182</v>
      </c>
      <c r="DD134" s="717">
        <v>1</v>
      </c>
      <c r="DE134" s="665" t="s">
        <v>182</v>
      </c>
      <c r="DF134" s="665" t="s">
        <v>182</v>
      </c>
      <c r="DG134" s="665" t="s">
        <v>182</v>
      </c>
      <c r="DH134" s="319" t="s">
        <v>182</v>
      </c>
      <c r="DI134" s="665" t="s">
        <v>1177</v>
      </c>
      <c r="DJ134" s="665" t="s">
        <v>1178</v>
      </c>
      <c r="DK134" s="665" t="s">
        <v>1179</v>
      </c>
      <c r="DL134" s="665" t="s">
        <v>1246</v>
      </c>
      <c r="DM134" s="802"/>
      <c r="DN134" s="170"/>
      <c r="DO134" s="692"/>
      <c r="DP134" s="170"/>
      <c r="DQ134" s="692"/>
      <c r="DR134" s="692"/>
      <c r="DS134" s="813"/>
      <c r="DT134" s="810"/>
      <c r="DU134" s="814"/>
      <c r="DV134" s="810"/>
      <c r="DW134" s="692"/>
      <c r="DX134" s="813"/>
      <c r="DY134" s="815"/>
      <c r="DZ134" s="814"/>
      <c r="EA134" s="810"/>
      <c r="EB134" s="692"/>
      <c r="EC134" s="170"/>
      <c r="ED134" s="170"/>
      <c r="EE134" s="170"/>
      <c r="EF134" s="170"/>
      <c r="EG134" s="170"/>
      <c r="EH134" s="170"/>
      <c r="EI134" s="170"/>
      <c r="EJ134" s="170"/>
      <c r="EK134" s="262"/>
      <c r="EL134" s="91" t="str">
        <f t="shared" si="19"/>
        <v>No se reportó avance</v>
      </c>
      <c r="EM134" s="83" t="str">
        <f t="shared" si="20"/>
        <v>No se reportó avance</v>
      </c>
      <c r="EN134" s="808"/>
      <c r="EO134" s="93" t="str">
        <f t="shared" si="34"/>
        <v>Gestión</v>
      </c>
      <c r="EP134" s="93" t="str">
        <f t="shared" si="35"/>
        <v>7</v>
      </c>
    </row>
    <row r="135" spans="1:146" ht="150" customHeight="1">
      <c r="A135" s="307" t="s">
        <v>1152</v>
      </c>
      <c r="B135" s="307" t="s">
        <v>1153</v>
      </c>
      <c r="C135" s="307" t="s">
        <v>1181</v>
      </c>
      <c r="D135" s="307" t="s">
        <v>1271</v>
      </c>
      <c r="E135" s="307" t="s">
        <v>1194</v>
      </c>
      <c r="F135" s="307" t="s">
        <v>182</v>
      </c>
      <c r="G135" s="307" t="s">
        <v>182</v>
      </c>
      <c r="H135" s="307" t="s">
        <v>182</v>
      </c>
      <c r="I135" s="307" t="s">
        <v>454</v>
      </c>
      <c r="J135" s="203" t="s">
        <v>156</v>
      </c>
      <c r="K135" s="307" t="s">
        <v>1157</v>
      </c>
      <c r="L135" s="260">
        <v>3</v>
      </c>
      <c r="M135" s="255" t="s">
        <v>1272</v>
      </c>
      <c r="N135" s="255" t="s">
        <v>1273</v>
      </c>
      <c r="O135" s="255" t="s">
        <v>1197</v>
      </c>
      <c r="P135" s="255" t="s">
        <v>200</v>
      </c>
      <c r="Q135" s="260" t="s">
        <v>162</v>
      </c>
      <c r="R135" s="77" t="s">
        <v>182</v>
      </c>
      <c r="S135" s="255" t="s">
        <v>252</v>
      </c>
      <c r="T135" s="308">
        <v>45292</v>
      </c>
      <c r="U135" s="308">
        <v>45256</v>
      </c>
      <c r="V135" s="309">
        <v>0</v>
      </c>
      <c r="W135" s="309">
        <v>0.25</v>
      </c>
      <c r="X135" s="309">
        <v>0.5</v>
      </c>
      <c r="Y135" s="309">
        <v>0.25</v>
      </c>
      <c r="Z135" s="310">
        <v>1</v>
      </c>
      <c r="AA135" s="321">
        <v>0.25</v>
      </c>
      <c r="AB135" s="321">
        <v>0.25</v>
      </c>
      <c r="AC135" s="321">
        <v>0.25</v>
      </c>
      <c r="AD135" s="321">
        <v>0.25</v>
      </c>
      <c r="AE135" s="310">
        <v>1</v>
      </c>
      <c r="AF135" s="311">
        <v>1</v>
      </c>
      <c r="AG135" s="311">
        <v>1</v>
      </c>
      <c r="AH135" s="311">
        <v>1</v>
      </c>
      <c r="AI135" s="311">
        <v>1</v>
      </c>
      <c r="AJ135" s="310">
        <v>1</v>
      </c>
      <c r="AK135" s="312">
        <v>1</v>
      </c>
      <c r="AL135" s="312">
        <v>1</v>
      </c>
      <c r="AM135" s="312">
        <v>1</v>
      </c>
      <c r="AN135" s="312">
        <v>1</v>
      </c>
      <c r="AO135" s="313">
        <v>1</v>
      </c>
      <c r="AP135" s="313">
        <v>1</v>
      </c>
      <c r="AQ135" s="175">
        <f>(0/1)*25</f>
        <v>0</v>
      </c>
      <c r="AR135" s="175"/>
      <c r="AS135" s="175">
        <f>(1)/1*25%</f>
        <v>0.25</v>
      </c>
      <c r="AT135" s="175"/>
      <c r="AU135" s="175">
        <f>(3)/4*X135</f>
        <v>0.375</v>
      </c>
      <c r="AV135" s="175"/>
      <c r="AW135" s="175">
        <f>(3)/3*Y135</f>
        <v>0.25</v>
      </c>
      <c r="AX135" s="175"/>
      <c r="AY135" s="175">
        <f>SUM(AS135:AW135)</f>
        <v>0.875</v>
      </c>
      <c r="AZ135" s="692" t="s">
        <v>1274</v>
      </c>
      <c r="BA135" s="175">
        <f>(3/4)*25%</f>
        <v>0.1875</v>
      </c>
      <c r="BB135" s="175" t="s">
        <v>1275</v>
      </c>
      <c r="BC135" s="175">
        <f>(2/3)*25%</f>
        <v>0.16666666666666666</v>
      </c>
      <c r="BD135" s="175" t="s">
        <v>1276</v>
      </c>
      <c r="BE135" s="175">
        <f>(2/2)*25%</f>
        <v>0.25</v>
      </c>
      <c r="BF135" s="175" t="s">
        <v>1277</v>
      </c>
      <c r="BG135" s="175"/>
      <c r="BH135" s="175"/>
      <c r="BI135" s="175">
        <f>3/3</f>
        <v>1</v>
      </c>
      <c r="BJ135" s="315" t="s">
        <v>1278</v>
      </c>
      <c r="BK135" s="175">
        <f>2/2</f>
        <v>1</v>
      </c>
      <c r="BL135" s="315" t="s">
        <v>1279</v>
      </c>
      <c r="BM135" s="175">
        <f>1/2</f>
        <v>0.5</v>
      </c>
      <c r="BN135" s="315" t="s">
        <v>1280</v>
      </c>
      <c r="BO135" s="175">
        <f>3/3</f>
        <v>1</v>
      </c>
      <c r="BP135" s="315" t="s">
        <v>1281</v>
      </c>
      <c r="BQ135" s="175"/>
      <c r="BR135" s="175"/>
      <c r="BS135" s="83"/>
      <c r="BT135" s="175"/>
      <c r="BU135" s="175"/>
      <c r="BV135" s="175"/>
      <c r="BW135" s="175"/>
      <c r="BX135" s="175"/>
      <c r="BY135" s="175"/>
      <c r="BZ135" s="175"/>
      <c r="CA135" s="175"/>
      <c r="CB135" s="175"/>
      <c r="CC135" s="175"/>
      <c r="CD135" s="175"/>
      <c r="CE135" s="83"/>
      <c r="CF135" s="175" t="s">
        <v>1282</v>
      </c>
      <c r="CG135" s="319">
        <v>90000000</v>
      </c>
      <c r="CH135" s="213"/>
      <c r="CI135" s="213"/>
      <c r="CJ135" s="83">
        <f t="shared" si="28"/>
        <v>0</v>
      </c>
      <c r="CK135" s="83">
        <f t="shared" si="29"/>
        <v>0</v>
      </c>
      <c r="CL135" s="83" t="str">
        <f t="shared" si="16"/>
        <v>No se reportó avance</v>
      </c>
      <c r="CM135" s="89" t="str">
        <f t="shared" si="17"/>
        <v>No se reportó avance</v>
      </c>
      <c r="CN135" s="89" t="str">
        <f t="shared" si="18"/>
        <v>No se reportó avance</v>
      </c>
      <c r="CO135" s="665" t="s">
        <v>236</v>
      </c>
      <c r="CP135" s="801" t="s">
        <v>1283</v>
      </c>
      <c r="CQ135" s="665" t="s">
        <v>1284</v>
      </c>
      <c r="CR135" s="720" t="s">
        <v>1285</v>
      </c>
      <c r="CS135" s="720" t="s">
        <v>1286</v>
      </c>
      <c r="CT135" s="687" t="s">
        <v>200</v>
      </c>
      <c r="CU135" s="687" t="s">
        <v>233</v>
      </c>
      <c r="CV135" s="687">
        <v>3</v>
      </c>
      <c r="CW135" s="687" t="s">
        <v>234</v>
      </c>
      <c r="CX135" s="809">
        <v>46024</v>
      </c>
      <c r="CY135" s="681">
        <v>46387</v>
      </c>
      <c r="CZ135" s="684">
        <v>1</v>
      </c>
      <c r="DA135" s="684" t="s">
        <v>182</v>
      </c>
      <c r="DB135" s="684">
        <v>1</v>
      </c>
      <c r="DC135" s="685">
        <v>1</v>
      </c>
      <c r="DD135" s="685">
        <v>3</v>
      </c>
      <c r="DE135" s="665" t="s">
        <v>514</v>
      </c>
      <c r="DF135" s="665" t="s">
        <v>1287</v>
      </c>
      <c r="DG135" s="665" t="s">
        <v>1288</v>
      </c>
      <c r="DH135" s="319">
        <v>90000000</v>
      </c>
      <c r="DI135" s="665" t="s">
        <v>1177</v>
      </c>
      <c r="DJ135" s="665" t="s">
        <v>1178</v>
      </c>
      <c r="DK135" s="665" t="s">
        <v>1179</v>
      </c>
      <c r="DL135" s="665" t="s">
        <v>201</v>
      </c>
      <c r="DM135" s="802"/>
      <c r="DN135" s="170"/>
      <c r="DO135" s="692"/>
      <c r="DP135" s="170"/>
      <c r="DQ135" s="692"/>
      <c r="DR135" s="692"/>
      <c r="DS135" s="170"/>
      <c r="DT135" s="692"/>
      <c r="DU135" s="170"/>
      <c r="DV135" s="692"/>
      <c r="DW135" s="692"/>
      <c r="DX135" s="170"/>
      <c r="DY135" s="692"/>
      <c r="DZ135" s="817"/>
      <c r="EA135" s="692"/>
      <c r="EB135" s="692"/>
      <c r="EC135" s="170"/>
      <c r="ED135" s="170"/>
      <c r="EE135" s="170"/>
      <c r="EF135" s="170"/>
      <c r="EG135" s="170"/>
      <c r="EH135" s="170"/>
      <c r="EI135" s="170"/>
      <c r="EJ135" s="170"/>
      <c r="EK135" s="262"/>
      <c r="EL135" s="91" t="str">
        <f t="shared" si="19"/>
        <v>No se reportó avance</v>
      </c>
      <c r="EM135" s="83" t="str">
        <f t="shared" si="20"/>
        <v>No se reportó avance</v>
      </c>
      <c r="EN135" s="654" t="s">
        <v>1289</v>
      </c>
      <c r="EO135" s="93" t="str">
        <f t="shared" si="34"/>
        <v>Gestión</v>
      </c>
      <c r="EP135" s="93" t="str">
        <f t="shared" si="35"/>
        <v>7</v>
      </c>
    </row>
    <row r="136" spans="1:146" s="71" customFormat="1" ht="150" customHeight="1">
      <c r="A136" s="317" t="s">
        <v>1152</v>
      </c>
      <c r="B136" s="173" t="s">
        <v>1153</v>
      </c>
      <c r="C136" s="317" t="s">
        <v>1181</v>
      </c>
      <c r="D136" s="317" t="s">
        <v>1271</v>
      </c>
      <c r="E136" s="317" t="s">
        <v>1194</v>
      </c>
      <c r="F136" s="317" t="s">
        <v>182</v>
      </c>
      <c r="G136" s="317" t="s">
        <v>182</v>
      </c>
      <c r="H136" s="317" t="s">
        <v>182</v>
      </c>
      <c r="I136" s="317" t="s">
        <v>454</v>
      </c>
      <c r="J136" s="170" t="s">
        <v>156</v>
      </c>
      <c r="K136" s="317" t="s">
        <v>1157</v>
      </c>
      <c r="L136" s="262">
        <v>3</v>
      </c>
      <c r="M136" s="170" t="s">
        <v>1272</v>
      </c>
      <c r="N136" s="170" t="s">
        <v>1273</v>
      </c>
      <c r="O136" s="170" t="s">
        <v>1197</v>
      </c>
      <c r="P136" s="170" t="s">
        <v>200</v>
      </c>
      <c r="Q136" s="262" t="s">
        <v>162</v>
      </c>
      <c r="R136" s="170">
        <v>3</v>
      </c>
      <c r="S136" s="170" t="s">
        <v>252</v>
      </c>
      <c r="T136" s="217">
        <v>45292</v>
      </c>
      <c r="U136" s="217">
        <v>45256</v>
      </c>
      <c r="V136" s="219">
        <v>0</v>
      </c>
      <c r="W136" s="219">
        <v>0.25</v>
      </c>
      <c r="X136" s="219">
        <v>0.5</v>
      </c>
      <c r="Y136" s="219">
        <v>0.25</v>
      </c>
      <c r="Z136" s="219">
        <v>1</v>
      </c>
      <c r="AA136" s="219">
        <v>0.25</v>
      </c>
      <c r="AB136" s="219">
        <v>0.25</v>
      </c>
      <c r="AC136" s="219">
        <v>0.25</v>
      </c>
      <c r="AD136" s="219">
        <v>0.25</v>
      </c>
      <c r="AE136" s="219">
        <v>1</v>
      </c>
      <c r="AF136" s="175">
        <v>1</v>
      </c>
      <c r="AG136" s="175">
        <v>1</v>
      </c>
      <c r="AH136" s="175">
        <v>1</v>
      </c>
      <c r="AI136" s="175">
        <v>1</v>
      </c>
      <c r="AJ136" s="219">
        <v>1</v>
      </c>
      <c r="AK136" s="218"/>
      <c r="AL136" s="218"/>
      <c r="AM136" s="218"/>
      <c r="AN136" s="218"/>
      <c r="AO136" s="318"/>
      <c r="AP136" s="218">
        <v>1</v>
      </c>
      <c r="AQ136" s="170"/>
      <c r="AR136" s="170"/>
      <c r="AS136" s="170"/>
      <c r="AT136" s="170"/>
      <c r="AU136" s="170"/>
      <c r="AV136" s="170"/>
      <c r="AW136" s="170"/>
      <c r="AX136" s="170"/>
      <c r="AY136" s="170" t="s">
        <v>182</v>
      </c>
      <c r="AZ136" s="692" t="s">
        <v>182</v>
      </c>
      <c r="BA136" s="175"/>
      <c r="BB136" s="175"/>
      <c r="BC136" s="175"/>
      <c r="BD136" s="175"/>
      <c r="BE136" s="175"/>
      <c r="BF136" s="175"/>
      <c r="BG136" s="175"/>
      <c r="BH136" s="175"/>
      <c r="BI136" s="170" t="s">
        <v>182</v>
      </c>
      <c r="BJ136" s="692" t="s">
        <v>182</v>
      </c>
      <c r="BK136" s="170" t="s">
        <v>182</v>
      </c>
      <c r="BL136" s="692" t="s">
        <v>182</v>
      </c>
      <c r="BM136" s="175"/>
      <c r="BN136" s="315"/>
      <c r="BO136" s="175"/>
      <c r="BP136" s="315"/>
      <c r="BQ136" s="175"/>
      <c r="BR136" s="175"/>
      <c r="BS136" s="173"/>
      <c r="BT136" s="170"/>
      <c r="BU136" s="175"/>
      <c r="BV136" s="175"/>
      <c r="BW136" s="175"/>
      <c r="BX136" s="175"/>
      <c r="BY136" s="175"/>
      <c r="BZ136" s="175"/>
      <c r="CA136" s="175"/>
      <c r="CB136" s="175"/>
      <c r="CC136" s="175"/>
      <c r="CD136" s="175"/>
      <c r="CE136" s="170"/>
      <c r="CF136" s="170" t="s">
        <v>182</v>
      </c>
      <c r="CG136" s="170"/>
      <c r="CH136" s="170"/>
      <c r="CI136" s="170"/>
      <c r="CJ136" s="83" t="str">
        <f t="shared" si="28"/>
        <v>No aplica</v>
      </c>
      <c r="CK136" s="83" t="str">
        <f t="shared" si="29"/>
        <v>No aplica</v>
      </c>
      <c r="CL136" s="83" t="str">
        <f t="shared" si="16"/>
        <v>No requiere reporte</v>
      </c>
      <c r="CM136" s="89" t="str">
        <f t="shared" si="17"/>
        <v>No requiere reporte</v>
      </c>
      <c r="CN136" s="89" t="str">
        <f t="shared" si="18"/>
        <v>No requiere reporte</v>
      </c>
      <c r="CO136" s="665" t="s">
        <v>361</v>
      </c>
      <c r="CP136" s="811" t="s">
        <v>1290</v>
      </c>
      <c r="CQ136" s="665" t="s">
        <v>1291</v>
      </c>
      <c r="CR136" s="720" t="s">
        <v>1292</v>
      </c>
      <c r="CS136" s="686" t="s">
        <v>1293</v>
      </c>
      <c r="CT136" s="687" t="s">
        <v>200</v>
      </c>
      <c r="CU136" s="687" t="s">
        <v>233</v>
      </c>
      <c r="CV136" s="720">
        <v>1</v>
      </c>
      <c r="CW136" s="720" t="s">
        <v>234</v>
      </c>
      <c r="CX136" s="809">
        <v>46024</v>
      </c>
      <c r="CY136" s="681">
        <v>46387</v>
      </c>
      <c r="CZ136" s="685" t="s">
        <v>182</v>
      </c>
      <c r="DA136" s="684">
        <v>1</v>
      </c>
      <c r="DB136" s="685" t="s">
        <v>182</v>
      </c>
      <c r="DC136" s="685" t="s">
        <v>182</v>
      </c>
      <c r="DD136" s="685">
        <v>1</v>
      </c>
      <c r="DE136" s="665" t="s">
        <v>182</v>
      </c>
      <c r="DF136" s="665" t="s">
        <v>182</v>
      </c>
      <c r="DG136" s="665" t="s">
        <v>182</v>
      </c>
      <c r="DH136" s="319" t="s">
        <v>182</v>
      </c>
      <c r="DI136" s="665" t="s">
        <v>1177</v>
      </c>
      <c r="DJ136" s="665" t="s">
        <v>1178</v>
      </c>
      <c r="DK136" s="665" t="s">
        <v>1179</v>
      </c>
      <c r="DL136" s="665" t="s">
        <v>201</v>
      </c>
      <c r="DM136" s="802"/>
      <c r="DN136" s="170"/>
      <c r="DO136" s="692"/>
      <c r="DP136" s="170"/>
      <c r="DQ136" s="692"/>
      <c r="DR136" s="692"/>
      <c r="DS136" s="170"/>
      <c r="DT136" s="692"/>
      <c r="DU136" s="170"/>
      <c r="DV136" s="692"/>
      <c r="DW136" s="692"/>
      <c r="DX136" s="170"/>
      <c r="DY136" s="692"/>
      <c r="DZ136" s="170"/>
      <c r="EA136" s="692"/>
      <c r="EB136" s="692"/>
      <c r="EC136" s="170"/>
      <c r="ED136" s="170"/>
      <c r="EE136" s="170"/>
      <c r="EF136" s="170"/>
      <c r="EG136" s="170"/>
      <c r="EH136" s="170"/>
      <c r="EI136" s="170"/>
      <c r="EJ136" s="170"/>
      <c r="EK136" s="262"/>
      <c r="EL136" s="91" t="str">
        <f t="shared" si="19"/>
        <v>No aplica, no hay meta</v>
      </c>
      <c r="EM136" s="83" t="str">
        <f t="shared" si="20"/>
        <v>No se reportó avance</v>
      </c>
      <c r="EN136" s="654"/>
      <c r="EO136" s="93" t="str">
        <f t="shared" si="34"/>
        <v>Gestión</v>
      </c>
      <c r="EP136" s="93" t="str">
        <f t="shared" si="35"/>
        <v>7</v>
      </c>
    </row>
    <row r="137" spans="1:146" s="71" customFormat="1" ht="150" customHeight="1">
      <c r="A137" s="317" t="s">
        <v>1152</v>
      </c>
      <c r="B137" s="173" t="s">
        <v>1153</v>
      </c>
      <c r="C137" s="317" t="s">
        <v>1181</v>
      </c>
      <c r="D137" s="317" t="s">
        <v>1271</v>
      </c>
      <c r="E137" s="317" t="s">
        <v>1194</v>
      </c>
      <c r="F137" s="317" t="s">
        <v>182</v>
      </c>
      <c r="G137" s="317" t="s">
        <v>182</v>
      </c>
      <c r="H137" s="317" t="s">
        <v>182</v>
      </c>
      <c r="I137" s="317" t="s">
        <v>454</v>
      </c>
      <c r="J137" s="170" t="s">
        <v>156</v>
      </c>
      <c r="K137" s="317" t="s">
        <v>1157</v>
      </c>
      <c r="L137" s="262">
        <v>3</v>
      </c>
      <c r="M137" s="170" t="s">
        <v>1272</v>
      </c>
      <c r="N137" s="170" t="s">
        <v>1273</v>
      </c>
      <c r="O137" s="170" t="s">
        <v>1197</v>
      </c>
      <c r="P137" s="170" t="s">
        <v>200</v>
      </c>
      <c r="Q137" s="262" t="s">
        <v>162</v>
      </c>
      <c r="R137" s="170">
        <v>3</v>
      </c>
      <c r="S137" s="170" t="s">
        <v>252</v>
      </c>
      <c r="T137" s="217">
        <v>45292</v>
      </c>
      <c r="U137" s="217">
        <v>45256</v>
      </c>
      <c r="V137" s="219">
        <v>0</v>
      </c>
      <c r="W137" s="219">
        <v>0.25</v>
      </c>
      <c r="X137" s="219">
        <v>0.5</v>
      </c>
      <c r="Y137" s="219">
        <v>0.25</v>
      </c>
      <c r="Z137" s="219">
        <v>1</v>
      </c>
      <c r="AA137" s="219">
        <v>0.25</v>
      </c>
      <c r="AB137" s="219">
        <v>0.25</v>
      </c>
      <c r="AC137" s="219">
        <v>0.25</v>
      </c>
      <c r="AD137" s="219">
        <v>0.25</v>
      </c>
      <c r="AE137" s="219">
        <v>1</v>
      </c>
      <c r="AF137" s="175">
        <v>1</v>
      </c>
      <c r="AG137" s="175">
        <v>1</v>
      </c>
      <c r="AH137" s="175">
        <v>1</v>
      </c>
      <c r="AI137" s="175">
        <v>1</v>
      </c>
      <c r="AJ137" s="219">
        <v>1</v>
      </c>
      <c r="AK137" s="218"/>
      <c r="AL137" s="218"/>
      <c r="AM137" s="218"/>
      <c r="AN137" s="218"/>
      <c r="AO137" s="318"/>
      <c r="AP137" s="218">
        <v>1</v>
      </c>
      <c r="AQ137" s="170"/>
      <c r="AR137" s="170"/>
      <c r="AS137" s="170"/>
      <c r="AT137" s="170"/>
      <c r="AU137" s="170"/>
      <c r="AV137" s="170"/>
      <c r="AW137" s="170"/>
      <c r="AX137" s="170"/>
      <c r="AY137" s="170" t="s">
        <v>182</v>
      </c>
      <c r="AZ137" s="692" t="s">
        <v>182</v>
      </c>
      <c r="BA137" s="175"/>
      <c r="BB137" s="175"/>
      <c r="BC137" s="175"/>
      <c r="BD137" s="175"/>
      <c r="BE137" s="175"/>
      <c r="BF137" s="175"/>
      <c r="BG137" s="175"/>
      <c r="BH137" s="175"/>
      <c r="BI137" s="170" t="s">
        <v>182</v>
      </c>
      <c r="BJ137" s="692" t="s">
        <v>182</v>
      </c>
      <c r="BK137" s="170" t="s">
        <v>182</v>
      </c>
      <c r="BL137" s="692" t="s">
        <v>182</v>
      </c>
      <c r="BM137" s="175"/>
      <c r="BN137" s="315"/>
      <c r="BO137" s="175"/>
      <c r="BP137" s="315"/>
      <c r="BQ137" s="175"/>
      <c r="BR137" s="175"/>
      <c r="BS137" s="173"/>
      <c r="BT137" s="170"/>
      <c r="BU137" s="175"/>
      <c r="BV137" s="175"/>
      <c r="BW137" s="175"/>
      <c r="BX137" s="175"/>
      <c r="BY137" s="175"/>
      <c r="BZ137" s="175"/>
      <c r="CA137" s="175"/>
      <c r="CB137" s="175"/>
      <c r="CC137" s="175"/>
      <c r="CD137" s="175"/>
      <c r="CE137" s="170"/>
      <c r="CF137" s="170" t="s">
        <v>182</v>
      </c>
      <c r="CG137" s="170"/>
      <c r="CH137" s="170"/>
      <c r="CI137" s="170"/>
      <c r="CJ137" s="83" t="str">
        <f t="shared" si="28"/>
        <v>No aplica</v>
      </c>
      <c r="CK137" s="83" t="str">
        <f t="shared" si="29"/>
        <v>No aplica</v>
      </c>
      <c r="CL137" s="83" t="str">
        <f t="shared" si="16"/>
        <v>No requiere reporte</v>
      </c>
      <c r="CM137" s="89" t="str">
        <f t="shared" si="17"/>
        <v>No requiere reporte</v>
      </c>
      <c r="CN137" s="89" t="str">
        <f t="shared" si="18"/>
        <v>No requiere reporte</v>
      </c>
      <c r="CO137" s="665" t="s">
        <v>366</v>
      </c>
      <c r="CP137" s="801" t="s">
        <v>1294</v>
      </c>
      <c r="CQ137" s="665" t="s">
        <v>1295</v>
      </c>
      <c r="CR137" s="686" t="s">
        <v>1296</v>
      </c>
      <c r="CS137" s="686" t="s">
        <v>1297</v>
      </c>
      <c r="CT137" s="687" t="s">
        <v>200</v>
      </c>
      <c r="CU137" s="687" t="s">
        <v>233</v>
      </c>
      <c r="CV137" s="686">
        <v>3</v>
      </c>
      <c r="CW137" s="665" t="s">
        <v>234</v>
      </c>
      <c r="CX137" s="809">
        <v>46024</v>
      </c>
      <c r="CY137" s="681">
        <v>46387</v>
      </c>
      <c r="CZ137" s="685">
        <v>0</v>
      </c>
      <c r="DA137" s="684">
        <v>1</v>
      </c>
      <c r="DB137" s="684">
        <v>1</v>
      </c>
      <c r="DC137" s="685">
        <v>1</v>
      </c>
      <c r="DD137" s="685">
        <v>3</v>
      </c>
      <c r="DE137" s="665" t="s">
        <v>182</v>
      </c>
      <c r="DF137" s="665" t="s">
        <v>182</v>
      </c>
      <c r="DG137" s="665" t="s">
        <v>182</v>
      </c>
      <c r="DH137" s="319" t="s">
        <v>182</v>
      </c>
      <c r="DI137" s="665" t="s">
        <v>1177</v>
      </c>
      <c r="DJ137" s="665" t="s">
        <v>1178</v>
      </c>
      <c r="DK137" s="665" t="s">
        <v>1179</v>
      </c>
      <c r="DL137" s="665" t="s">
        <v>201</v>
      </c>
      <c r="DM137" s="802"/>
      <c r="DN137" s="170"/>
      <c r="DO137" s="692"/>
      <c r="DP137" s="170"/>
      <c r="DQ137" s="692"/>
      <c r="DR137" s="692"/>
      <c r="DS137" s="170"/>
      <c r="DT137" s="692"/>
      <c r="DU137" s="170"/>
      <c r="DV137" s="692"/>
      <c r="DW137" s="692"/>
      <c r="DX137" s="170"/>
      <c r="DY137" s="692"/>
      <c r="DZ137" s="170"/>
      <c r="EA137" s="692"/>
      <c r="EB137" s="692"/>
      <c r="EC137" s="170"/>
      <c r="ED137" s="170"/>
      <c r="EE137" s="170"/>
      <c r="EF137" s="170"/>
      <c r="EG137" s="170"/>
      <c r="EH137" s="170"/>
      <c r="EI137" s="170"/>
      <c r="EJ137" s="170"/>
      <c r="EK137" s="262"/>
      <c r="EL137" s="91" t="str">
        <f t="shared" si="19"/>
        <v>No aplica, no hay meta</v>
      </c>
      <c r="EM137" s="83" t="str">
        <f t="shared" si="20"/>
        <v>No se reportó avance</v>
      </c>
      <c r="EN137" s="654"/>
      <c r="EO137" s="93" t="str">
        <f t="shared" si="34"/>
        <v>Gestión</v>
      </c>
      <c r="EP137" s="93" t="str">
        <f t="shared" si="35"/>
        <v>7</v>
      </c>
    </row>
    <row r="138" spans="1:146" s="71" customFormat="1" ht="150" customHeight="1">
      <c r="A138" s="307" t="s">
        <v>1152</v>
      </c>
      <c r="B138" s="307" t="s">
        <v>1153</v>
      </c>
      <c r="C138" s="307" t="s">
        <v>1298</v>
      </c>
      <c r="D138" s="307" t="s">
        <v>1299</v>
      </c>
      <c r="E138" s="307" t="s">
        <v>1300</v>
      </c>
      <c r="F138" s="307" t="s">
        <v>182</v>
      </c>
      <c r="G138" s="307" t="s">
        <v>182</v>
      </c>
      <c r="H138" s="307" t="s">
        <v>182</v>
      </c>
      <c r="I138" s="307" t="s">
        <v>454</v>
      </c>
      <c r="J138" s="203" t="s">
        <v>156</v>
      </c>
      <c r="K138" s="307" t="s">
        <v>1157</v>
      </c>
      <c r="L138" s="260">
        <v>4</v>
      </c>
      <c r="M138" s="255" t="s">
        <v>1301</v>
      </c>
      <c r="N138" s="255" t="s">
        <v>1273</v>
      </c>
      <c r="O138" s="255" t="s">
        <v>1302</v>
      </c>
      <c r="P138" s="255" t="s">
        <v>200</v>
      </c>
      <c r="Q138" s="260" t="s">
        <v>233</v>
      </c>
      <c r="R138" s="255" t="s">
        <v>182</v>
      </c>
      <c r="S138" s="255" t="s">
        <v>163</v>
      </c>
      <c r="T138" s="308">
        <v>44927</v>
      </c>
      <c r="U138" s="308">
        <v>45657</v>
      </c>
      <c r="V138" s="309">
        <v>0.1</v>
      </c>
      <c r="W138" s="309">
        <v>0.4</v>
      </c>
      <c r="X138" s="309">
        <v>0.3</v>
      </c>
      <c r="Y138" s="309">
        <v>0.2</v>
      </c>
      <c r="Z138" s="310">
        <v>1</v>
      </c>
      <c r="AA138" s="321">
        <v>0.1</v>
      </c>
      <c r="AB138" s="321">
        <v>0.4</v>
      </c>
      <c r="AC138" s="321">
        <v>0.3</v>
      </c>
      <c r="AD138" s="321">
        <v>0.2</v>
      </c>
      <c r="AE138" s="310">
        <v>1</v>
      </c>
      <c r="AF138" s="326">
        <v>0.1</v>
      </c>
      <c r="AG138" s="326">
        <v>0.4</v>
      </c>
      <c r="AH138" s="326">
        <v>0.3</v>
      </c>
      <c r="AI138" s="326">
        <v>0.2</v>
      </c>
      <c r="AJ138" s="310">
        <f>+AI138+AF138+AG138+AH138</f>
        <v>1</v>
      </c>
      <c r="AK138" s="312">
        <v>0.1</v>
      </c>
      <c r="AL138" s="312">
        <v>0.4</v>
      </c>
      <c r="AM138" s="312">
        <v>0.3</v>
      </c>
      <c r="AN138" s="312">
        <v>0.2</v>
      </c>
      <c r="AO138" s="313">
        <v>1</v>
      </c>
      <c r="AP138" s="313">
        <v>1</v>
      </c>
      <c r="AQ138" s="175">
        <f>(1/1)*10%</f>
        <v>0.1</v>
      </c>
      <c r="AR138" s="175"/>
      <c r="AS138" s="175">
        <f>(4/4)*40%</f>
        <v>0.4</v>
      </c>
      <c r="AT138" s="175"/>
      <c r="AU138" s="175">
        <f>(3/3)*30%</f>
        <v>0.3</v>
      </c>
      <c r="AV138" s="175"/>
      <c r="AW138" s="175">
        <f>(2/2)*Y138</f>
        <v>0.2</v>
      </c>
      <c r="AX138" s="175"/>
      <c r="AY138" s="175">
        <f>SUM(AQ138:AW138)</f>
        <v>1</v>
      </c>
      <c r="AZ138" s="692" t="s">
        <v>1303</v>
      </c>
      <c r="BA138" s="175">
        <f>(2/2)*10%</f>
        <v>0.1</v>
      </c>
      <c r="BB138" s="175" t="s">
        <v>1304</v>
      </c>
      <c r="BC138" s="175">
        <f>(3/3)*40%</f>
        <v>0.4</v>
      </c>
      <c r="BD138" s="175" t="s">
        <v>1305</v>
      </c>
      <c r="BE138" s="175">
        <f>(3/3)*30%</f>
        <v>0.3</v>
      </c>
      <c r="BF138" s="175" t="s">
        <v>1306</v>
      </c>
      <c r="BG138" s="175"/>
      <c r="BH138" s="175"/>
      <c r="BI138" s="175">
        <f>BA138+BC138+BE138+20%</f>
        <v>1</v>
      </c>
      <c r="BJ138" s="315" t="s">
        <v>1307</v>
      </c>
      <c r="BK138" s="175">
        <f>(3/3)*AF138</f>
        <v>0.1</v>
      </c>
      <c r="BL138" s="315" t="s">
        <v>1308</v>
      </c>
      <c r="BM138" s="175">
        <f>+((66%+100%+100%)/3)*AG138</f>
        <v>0.35466666666666669</v>
      </c>
      <c r="BN138" s="315" t="s">
        <v>1309</v>
      </c>
      <c r="BO138" s="175">
        <f>3/3</f>
        <v>1</v>
      </c>
      <c r="BP138" s="315" t="s">
        <v>1310</v>
      </c>
      <c r="BQ138" s="175"/>
      <c r="BR138" s="175"/>
      <c r="BS138" s="175"/>
      <c r="BT138" s="175"/>
      <c r="BU138" s="175"/>
      <c r="BV138" s="175"/>
      <c r="BW138" s="175"/>
      <c r="BX138" s="175"/>
      <c r="BY138" s="175"/>
      <c r="BZ138" s="175"/>
      <c r="CA138" s="175"/>
      <c r="CB138" s="175"/>
      <c r="CC138" s="175"/>
      <c r="CD138" s="175"/>
      <c r="CE138" s="175"/>
      <c r="CF138" s="175" t="s">
        <v>1208</v>
      </c>
      <c r="CG138" s="319"/>
      <c r="CH138" s="213"/>
      <c r="CI138" s="213"/>
      <c r="CJ138" s="83" t="str">
        <f t="shared" si="28"/>
        <v>No aplica</v>
      </c>
      <c r="CK138" s="83" t="str">
        <f t="shared" si="29"/>
        <v>No aplica</v>
      </c>
      <c r="CL138" s="83" t="str">
        <f t="shared" si="16"/>
        <v>No se reportó avance</v>
      </c>
      <c r="CM138" s="89" t="str">
        <f t="shared" si="17"/>
        <v>No se reportó avance</v>
      </c>
      <c r="CN138" s="89" t="str">
        <f t="shared" si="18"/>
        <v>No se reportó avance</v>
      </c>
      <c r="CO138" s="720" t="s">
        <v>391</v>
      </c>
      <c r="CP138" s="801" t="s">
        <v>1311</v>
      </c>
      <c r="CQ138" s="665" t="s">
        <v>1312</v>
      </c>
      <c r="CR138" s="686" t="s">
        <v>1313</v>
      </c>
      <c r="CS138" s="720" t="s">
        <v>1314</v>
      </c>
      <c r="CT138" s="720" t="s">
        <v>1161</v>
      </c>
      <c r="CU138" s="720" t="s">
        <v>233</v>
      </c>
      <c r="CV138" s="720">
        <v>10</v>
      </c>
      <c r="CW138" s="720" t="s">
        <v>234</v>
      </c>
      <c r="CX138" s="809">
        <v>45667</v>
      </c>
      <c r="CY138" s="681">
        <v>46022</v>
      </c>
      <c r="CZ138" s="684">
        <v>2</v>
      </c>
      <c r="DA138" s="684">
        <v>3</v>
      </c>
      <c r="DB138" s="684">
        <v>3</v>
      </c>
      <c r="DC138" s="685">
        <v>2</v>
      </c>
      <c r="DD138" s="685">
        <v>10</v>
      </c>
      <c r="DE138" s="665" t="s">
        <v>182</v>
      </c>
      <c r="DF138" s="665" t="s">
        <v>182</v>
      </c>
      <c r="DG138" s="665" t="s">
        <v>182</v>
      </c>
      <c r="DH138" s="319" t="s">
        <v>182</v>
      </c>
      <c r="DI138" s="665" t="s">
        <v>1177</v>
      </c>
      <c r="DJ138" s="665" t="s">
        <v>1178</v>
      </c>
      <c r="DK138" s="665" t="s">
        <v>1179</v>
      </c>
      <c r="DL138" s="665" t="s">
        <v>1246</v>
      </c>
      <c r="DM138" s="802"/>
      <c r="DN138" s="170"/>
      <c r="DO138" s="692"/>
      <c r="DP138" s="170"/>
      <c r="DQ138" s="692"/>
      <c r="DR138" s="692"/>
      <c r="DS138" s="807"/>
      <c r="DT138" s="803"/>
      <c r="DU138" s="804"/>
      <c r="DV138" s="803"/>
      <c r="DW138" s="803"/>
      <c r="DX138" s="317"/>
      <c r="DY138" s="816"/>
      <c r="DZ138" s="817"/>
      <c r="EA138" s="803"/>
      <c r="EB138" s="803"/>
      <c r="EC138" s="170"/>
      <c r="ED138" s="170"/>
      <c r="EE138" s="170"/>
      <c r="EF138" s="170"/>
      <c r="EG138" s="170"/>
      <c r="EH138" s="170"/>
      <c r="EI138" s="170"/>
      <c r="EJ138" s="170"/>
      <c r="EK138" s="262"/>
      <c r="EL138" s="91" t="str">
        <f t="shared" si="19"/>
        <v>No se reportó avance</v>
      </c>
      <c r="EM138" s="83" t="str">
        <f t="shared" si="20"/>
        <v>No se reportó avance</v>
      </c>
      <c r="EN138" s="654" t="s">
        <v>1315</v>
      </c>
      <c r="EO138" s="93" t="str">
        <f t="shared" si="34"/>
        <v>Gestión</v>
      </c>
      <c r="EP138" s="93" t="str">
        <f t="shared" si="35"/>
        <v>7</v>
      </c>
    </row>
    <row r="139" spans="1:146" s="71" customFormat="1" ht="150" customHeight="1">
      <c r="A139" s="317" t="s">
        <v>1152</v>
      </c>
      <c r="B139" s="173" t="s">
        <v>1153</v>
      </c>
      <c r="C139" s="317" t="s">
        <v>1298</v>
      </c>
      <c r="D139" s="317" t="s">
        <v>1299</v>
      </c>
      <c r="E139" s="317" t="s">
        <v>1300</v>
      </c>
      <c r="F139" s="317" t="s">
        <v>182</v>
      </c>
      <c r="G139" s="317" t="s">
        <v>182</v>
      </c>
      <c r="H139" s="317" t="s">
        <v>182</v>
      </c>
      <c r="I139" s="317" t="s">
        <v>454</v>
      </c>
      <c r="J139" s="170" t="s">
        <v>156</v>
      </c>
      <c r="K139" s="317" t="s">
        <v>1157</v>
      </c>
      <c r="L139" s="262">
        <v>4</v>
      </c>
      <c r="M139" s="170" t="s">
        <v>1301</v>
      </c>
      <c r="N139" s="170" t="s">
        <v>1273</v>
      </c>
      <c r="O139" s="170" t="s">
        <v>1302</v>
      </c>
      <c r="P139" s="170" t="s">
        <v>200</v>
      </c>
      <c r="Q139" s="262" t="s">
        <v>233</v>
      </c>
      <c r="R139" s="170" t="s">
        <v>182</v>
      </c>
      <c r="S139" s="170" t="s">
        <v>163</v>
      </c>
      <c r="T139" s="217">
        <v>44927</v>
      </c>
      <c r="U139" s="217">
        <v>45657</v>
      </c>
      <c r="V139" s="219">
        <v>0.1</v>
      </c>
      <c r="W139" s="219">
        <v>0.4</v>
      </c>
      <c r="X139" s="219">
        <v>0.3</v>
      </c>
      <c r="Y139" s="219">
        <v>0.2</v>
      </c>
      <c r="Z139" s="219">
        <v>1</v>
      </c>
      <c r="AA139" s="173">
        <v>0.1</v>
      </c>
      <c r="AB139" s="173">
        <v>0.4</v>
      </c>
      <c r="AC139" s="173">
        <v>0.3</v>
      </c>
      <c r="AD139" s="173">
        <v>0.2</v>
      </c>
      <c r="AE139" s="219">
        <v>1</v>
      </c>
      <c r="AF139" s="173">
        <v>0.1</v>
      </c>
      <c r="AG139" s="173">
        <v>0.4</v>
      </c>
      <c r="AH139" s="173">
        <v>0.3</v>
      </c>
      <c r="AI139" s="173">
        <v>0.2</v>
      </c>
      <c r="AJ139" s="219">
        <v>1</v>
      </c>
      <c r="AK139" s="218"/>
      <c r="AL139" s="218"/>
      <c r="AM139" s="218"/>
      <c r="AN139" s="218"/>
      <c r="AO139" s="318"/>
      <c r="AP139" s="318">
        <v>1</v>
      </c>
      <c r="AQ139" s="170"/>
      <c r="AR139" s="170"/>
      <c r="AS139" s="170"/>
      <c r="AT139" s="170"/>
      <c r="AU139" s="170"/>
      <c r="AV139" s="170"/>
      <c r="AW139" s="170"/>
      <c r="AX139" s="170"/>
      <c r="AY139" s="170" t="s">
        <v>182</v>
      </c>
      <c r="AZ139" s="692" t="s">
        <v>182</v>
      </c>
      <c r="BA139" s="175"/>
      <c r="BB139" s="175"/>
      <c r="BC139" s="175"/>
      <c r="BD139" s="175"/>
      <c r="BE139" s="175"/>
      <c r="BF139" s="175"/>
      <c r="BG139" s="175"/>
      <c r="BH139" s="175"/>
      <c r="BI139" s="170" t="s">
        <v>182</v>
      </c>
      <c r="BJ139" s="692" t="s">
        <v>182</v>
      </c>
      <c r="BK139" s="170" t="s">
        <v>182</v>
      </c>
      <c r="BL139" s="692" t="s">
        <v>182</v>
      </c>
      <c r="BM139" s="175"/>
      <c r="BN139" s="315"/>
      <c r="BO139" s="175"/>
      <c r="BP139" s="315"/>
      <c r="BQ139" s="175"/>
      <c r="BR139" s="175"/>
      <c r="BS139" s="173"/>
      <c r="BT139" s="170"/>
      <c r="BU139" s="175"/>
      <c r="BV139" s="175"/>
      <c r="BW139" s="175"/>
      <c r="BX139" s="175"/>
      <c r="BY139" s="175"/>
      <c r="BZ139" s="175"/>
      <c r="CA139" s="175"/>
      <c r="CB139" s="175"/>
      <c r="CC139" s="175"/>
      <c r="CD139" s="175"/>
      <c r="CE139" s="170"/>
      <c r="CF139" s="170" t="s">
        <v>182</v>
      </c>
      <c r="CG139" s="170"/>
      <c r="CH139" s="170"/>
      <c r="CI139" s="170"/>
      <c r="CJ139" s="83" t="str">
        <f t="shared" si="28"/>
        <v>No aplica</v>
      </c>
      <c r="CK139" s="83" t="str">
        <f t="shared" si="29"/>
        <v>No aplica</v>
      </c>
      <c r="CL139" s="83" t="str">
        <f t="shared" si="16"/>
        <v>No requiere reporte</v>
      </c>
      <c r="CM139" s="89" t="str">
        <f t="shared" si="17"/>
        <v>No requiere reporte</v>
      </c>
      <c r="CN139" s="89" t="str">
        <f t="shared" si="18"/>
        <v>No requiere reporte</v>
      </c>
      <c r="CO139" s="720" t="s">
        <v>403</v>
      </c>
      <c r="CP139" s="801" t="s">
        <v>1316</v>
      </c>
      <c r="CQ139" s="665" t="s">
        <v>1312</v>
      </c>
      <c r="CR139" s="686" t="s">
        <v>1317</v>
      </c>
      <c r="CS139" s="720" t="s">
        <v>1314</v>
      </c>
      <c r="CT139" s="720" t="s">
        <v>1161</v>
      </c>
      <c r="CU139" s="720" t="s">
        <v>233</v>
      </c>
      <c r="CV139" s="720">
        <v>3</v>
      </c>
      <c r="CW139" s="720" t="s">
        <v>234</v>
      </c>
      <c r="CX139" s="809">
        <v>45667</v>
      </c>
      <c r="CY139" s="681">
        <v>46022</v>
      </c>
      <c r="CZ139" s="684">
        <v>0</v>
      </c>
      <c r="DA139" s="684">
        <v>1</v>
      </c>
      <c r="DB139" s="684">
        <v>1</v>
      </c>
      <c r="DC139" s="685">
        <v>1</v>
      </c>
      <c r="DD139" s="685">
        <v>3</v>
      </c>
      <c r="DE139" s="665" t="s">
        <v>182</v>
      </c>
      <c r="DF139" s="665" t="s">
        <v>182</v>
      </c>
      <c r="DG139" s="665" t="s">
        <v>182</v>
      </c>
      <c r="DH139" s="319" t="s">
        <v>182</v>
      </c>
      <c r="DI139" s="665" t="s">
        <v>1177</v>
      </c>
      <c r="DJ139" s="665" t="s">
        <v>1178</v>
      </c>
      <c r="DK139" s="665" t="s">
        <v>1179</v>
      </c>
      <c r="DL139" s="665" t="s">
        <v>1246</v>
      </c>
      <c r="DM139" s="802"/>
      <c r="DN139" s="170"/>
      <c r="DO139" s="692"/>
      <c r="DP139" s="170"/>
      <c r="DQ139" s="692"/>
      <c r="DR139" s="692"/>
      <c r="DS139" s="813"/>
      <c r="DT139" s="803"/>
      <c r="DU139" s="804"/>
      <c r="DV139" s="810"/>
      <c r="DW139" s="810"/>
      <c r="DX139" s="813"/>
      <c r="DY139" s="816"/>
      <c r="DZ139" s="817"/>
      <c r="EA139" s="815"/>
      <c r="EB139" s="810"/>
      <c r="EC139" s="170"/>
      <c r="ED139" s="170"/>
      <c r="EE139" s="170"/>
      <c r="EF139" s="170"/>
      <c r="EG139" s="170"/>
      <c r="EH139" s="170"/>
      <c r="EI139" s="170"/>
      <c r="EJ139" s="170"/>
      <c r="EK139" s="262"/>
      <c r="EL139" s="91" t="str">
        <f t="shared" si="19"/>
        <v>No aplica, no hay meta</v>
      </c>
      <c r="EM139" s="83" t="str">
        <f t="shared" si="20"/>
        <v>No se reportó avance</v>
      </c>
      <c r="EN139" s="808"/>
      <c r="EO139" s="93" t="str">
        <f t="shared" si="34"/>
        <v>Gestión</v>
      </c>
      <c r="EP139" s="93" t="str">
        <f t="shared" si="35"/>
        <v>7</v>
      </c>
    </row>
    <row r="140" spans="1:146" s="71" customFormat="1" ht="150" customHeight="1">
      <c r="A140" s="317" t="s">
        <v>1152</v>
      </c>
      <c r="B140" s="173" t="s">
        <v>1153</v>
      </c>
      <c r="C140" s="317" t="s">
        <v>1298</v>
      </c>
      <c r="D140" s="317" t="s">
        <v>1299</v>
      </c>
      <c r="E140" s="317" t="s">
        <v>1300</v>
      </c>
      <c r="F140" s="317" t="s">
        <v>182</v>
      </c>
      <c r="G140" s="317" t="s">
        <v>182</v>
      </c>
      <c r="H140" s="317" t="s">
        <v>182</v>
      </c>
      <c r="I140" s="317" t="s">
        <v>454</v>
      </c>
      <c r="J140" s="170" t="s">
        <v>156</v>
      </c>
      <c r="K140" s="317" t="s">
        <v>1157</v>
      </c>
      <c r="L140" s="262">
        <v>4</v>
      </c>
      <c r="M140" s="170" t="s">
        <v>1301</v>
      </c>
      <c r="N140" s="170" t="s">
        <v>1273</v>
      </c>
      <c r="O140" s="170" t="s">
        <v>1302</v>
      </c>
      <c r="P140" s="170" t="s">
        <v>200</v>
      </c>
      <c r="Q140" s="262" t="s">
        <v>233</v>
      </c>
      <c r="R140" s="170" t="s">
        <v>182</v>
      </c>
      <c r="S140" s="170" t="s">
        <v>163</v>
      </c>
      <c r="T140" s="217">
        <v>44927</v>
      </c>
      <c r="U140" s="217">
        <v>45657</v>
      </c>
      <c r="V140" s="219">
        <v>0.1</v>
      </c>
      <c r="W140" s="219">
        <v>0.4</v>
      </c>
      <c r="X140" s="219">
        <v>0.3</v>
      </c>
      <c r="Y140" s="219">
        <v>0.2</v>
      </c>
      <c r="Z140" s="219">
        <v>1</v>
      </c>
      <c r="AA140" s="173">
        <v>0.1</v>
      </c>
      <c r="AB140" s="173">
        <v>0.4</v>
      </c>
      <c r="AC140" s="173">
        <v>0.3</v>
      </c>
      <c r="AD140" s="173">
        <v>0.2</v>
      </c>
      <c r="AE140" s="219">
        <v>1</v>
      </c>
      <c r="AF140" s="173">
        <v>0.1</v>
      </c>
      <c r="AG140" s="173">
        <v>0.4</v>
      </c>
      <c r="AH140" s="173">
        <v>0.3</v>
      </c>
      <c r="AI140" s="173">
        <v>0.2</v>
      </c>
      <c r="AJ140" s="219">
        <v>1</v>
      </c>
      <c r="AK140" s="218"/>
      <c r="AL140" s="218"/>
      <c r="AM140" s="218"/>
      <c r="AN140" s="218"/>
      <c r="AO140" s="318"/>
      <c r="AP140" s="318">
        <v>1</v>
      </c>
      <c r="AQ140" s="170"/>
      <c r="AR140" s="170"/>
      <c r="AS140" s="170"/>
      <c r="AT140" s="170"/>
      <c r="AU140" s="170"/>
      <c r="AV140" s="170"/>
      <c r="AW140" s="170"/>
      <c r="AX140" s="170"/>
      <c r="AY140" s="170" t="s">
        <v>182</v>
      </c>
      <c r="AZ140" s="692" t="s">
        <v>182</v>
      </c>
      <c r="BA140" s="175"/>
      <c r="BB140" s="175"/>
      <c r="BC140" s="175"/>
      <c r="BD140" s="175"/>
      <c r="BE140" s="175"/>
      <c r="BF140" s="175"/>
      <c r="BG140" s="175"/>
      <c r="BH140" s="175"/>
      <c r="BI140" s="170" t="s">
        <v>182</v>
      </c>
      <c r="BJ140" s="692" t="s">
        <v>182</v>
      </c>
      <c r="BK140" s="170" t="s">
        <v>182</v>
      </c>
      <c r="BL140" s="692" t="s">
        <v>182</v>
      </c>
      <c r="BM140" s="175"/>
      <c r="BN140" s="315"/>
      <c r="BO140" s="175"/>
      <c r="BP140" s="315"/>
      <c r="BQ140" s="175"/>
      <c r="BR140" s="175"/>
      <c r="BS140" s="173"/>
      <c r="BT140" s="170"/>
      <c r="BU140" s="175"/>
      <c r="BV140" s="175"/>
      <c r="BW140" s="175"/>
      <c r="BX140" s="175"/>
      <c r="BY140" s="175"/>
      <c r="BZ140" s="175"/>
      <c r="CA140" s="175"/>
      <c r="CB140" s="175"/>
      <c r="CC140" s="175"/>
      <c r="CD140" s="175"/>
      <c r="CE140" s="170"/>
      <c r="CF140" s="170" t="s">
        <v>182</v>
      </c>
      <c r="CG140" s="170"/>
      <c r="CH140" s="170"/>
      <c r="CI140" s="170"/>
      <c r="CJ140" s="83" t="str">
        <f t="shared" si="28"/>
        <v>No aplica</v>
      </c>
      <c r="CK140" s="83" t="str">
        <f t="shared" si="29"/>
        <v>No aplica</v>
      </c>
      <c r="CL140" s="83" t="str">
        <f t="shared" si="16"/>
        <v>No requiere reporte</v>
      </c>
      <c r="CM140" s="89" t="str">
        <f t="shared" si="17"/>
        <v>No requiere reporte</v>
      </c>
      <c r="CN140" s="89" t="str">
        <f t="shared" si="18"/>
        <v>No requiere reporte</v>
      </c>
      <c r="CO140" s="720" t="s">
        <v>408</v>
      </c>
      <c r="CP140" s="801" t="s">
        <v>1318</v>
      </c>
      <c r="CQ140" s="665" t="s">
        <v>1319</v>
      </c>
      <c r="CR140" s="686" t="s">
        <v>1320</v>
      </c>
      <c r="CS140" s="720" t="s">
        <v>1314</v>
      </c>
      <c r="CT140" s="720" t="s">
        <v>1161</v>
      </c>
      <c r="CU140" s="720" t="s">
        <v>233</v>
      </c>
      <c r="CV140" s="720">
        <v>4</v>
      </c>
      <c r="CW140" s="720" t="s">
        <v>234</v>
      </c>
      <c r="CX140" s="809">
        <v>46032</v>
      </c>
      <c r="CY140" s="681">
        <v>46387</v>
      </c>
      <c r="CZ140" s="684">
        <v>1</v>
      </c>
      <c r="DA140" s="684">
        <v>1</v>
      </c>
      <c r="DB140" s="684">
        <v>1</v>
      </c>
      <c r="DC140" s="685">
        <v>1</v>
      </c>
      <c r="DD140" s="685">
        <v>4</v>
      </c>
      <c r="DE140" s="665" t="s">
        <v>182</v>
      </c>
      <c r="DF140" s="665" t="s">
        <v>182</v>
      </c>
      <c r="DG140" s="665" t="s">
        <v>182</v>
      </c>
      <c r="DH140" s="319" t="s">
        <v>182</v>
      </c>
      <c r="DI140" s="665" t="s">
        <v>1177</v>
      </c>
      <c r="DJ140" s="665" t="s">
        <v>1178</v>
      </c>
      <c r="DK140" s="665" t="s">
        <v>1179</v>
      </c>
      <c r="DL140" s="665" t="s">
        <v>1246</v>
      </c>
      <c r="DM140" s="802"/>
      <c r="DN140" s="170"/>
      <c r="DO140" s="692"/>
      <c r="DP140" s="170"/>
      <c r="DQ140" s="692"/>
      <c r="DR140" s="692"/>
      <c r="DS140" s="813"/>
      <c r="DT140" s="803"/>
      <c r="DU140" s="804"/>
      <c r="DV140" s="810"/>
      <c r="DW140" s="810"/>
      <c r="DX140" s="818"/>
      <c r="DY140" s="816"/>
      <c r="DZ140" s="817"/>
      <c r="EA140" s="810"/>
      <c r="EB140" s="810"/>
      <c r="EC140" s="170"/>
      <c r="ED140" s="170"/>
      <c r="EE140" s="170"/>
      <c r="EF140" s="170"/>
      <c r="EG140" s="170"/>
      <c r="EH140" s="170"/>
      <c r="EI140" s="170"/>
      <c r="EJ140" s="170"/>
      <c r="EK140" s="262"/>
      <c r="EL140" s="91" t="str">
        <f t="shared" si="19"/>
        <v>No se reportó avance</v>
      </c>
      <c r="EM140" s="83" t="str">
        <f t="shared" si="20"/>
        <v>No se reportó avance</v>
      </c>
      <c r="EN140" s="808"/>
      <c r="EO140" s="93" t="str">
        <f t="shared" si="34"/>
        <v>Gestión</v>
      </c>
      <c r="EP140" s="93" t="str">
        <f t="shared" si="35"/>
        <v>7</v>
      </c>
    </row>
    <row r="141" spans="1:146" s="71" customFormat="1" ht="150" customHeight="1">
      <c r="A141" s="307" t="s">
        <v>1152</v>
      </c>
      <c r="B141" s="307" t="s">
        <v>1153</v>
      </c>
      <c r="C141" s="307" t="s">
        <v>1298</v>
      </c>
      <c r="D141" s="307" t="s">
        <v>1299</v>
      </c>
      <c r="E141" s="307" t="s">
        <v>1300</v>
      </c>
      <c r="F141" s="307" t="s">
        <v>182</v>
      </c>
      <c r="G141" s="307" t="s">
        <v>182</v>
      </c>
      <c r="H141" s="307" t="s">
        <v>182</v>
      </c>
      <c r="I141" s="307" t="s">
        <v>454</v>
      </c>
      <c r="J141" s="203" t="s">
        <v>156</v>
      </c>
      <c r="K141" s="307" t="s">
        <v>1157</v>
      </c>
      <c r="L141" s="260">
        <v>5</v>
      </c>
      <c r="M141" s="255" t="s">
        <v>1321</v>
      </c>
      <c r="N141" s="255" t="s">
        <v>1273</v>
      </c>
      <c r="O141" s="255" t="s">
        <v>1322</v>
      </c>
      <c r="P141" s="255" t="s">
        <v>200</v>
      </c>
      <c r="Q141" s="260" t="s">
        <v>162</v>
      </c>
      <c r="R141" s="639">
        <v>1</v>
      </c>
      <c r="S141" s="255" t="s">
        <v>163</v>
      </c>
      <c r="T141" s="308">
        <v>44959</v>
      </c>
      <c r="U141" s="308">
        <v>46387</v>
      </c>
      <c r="V141" s="309">
        <v>1</v>
      </c>
      <c r="W141" s="309">
        <v>1</v>
      </c>
      <c r="X141" s="309">
        <v>1</v>
      </c>
      <c r="Y141" s="309">
        <v>1</v>
      </c>
      <c r="Z141" s="310">
        <v>1</v>
      </c>
      <c r="AA141" s="309">
        <v>1</v>
      </c>
      <c r="AB141" s="309">
        <v>1</v>
      </c>
      <c r="AC141" s="309">
        <v>1</v>
      </c>
      <c r="AD141" s="309">
        <v>1</v>
      </c>
      <c r="AE141" s="310">
        <v>1</v>
      </c>
      <c r="AF141" s="310">
        <v>1</v>
      </c>
      <c r="AG141" s="310">
        <v>1</v>
      </c>
      <c r="AH141" s="310">
        <v>1</v>
      </c>
      <c r="AI141" s="310">
        <v>1</v>
      </c>
      <c r="AJ141" s="310">
        <v>1</v>
      </c>
      <c r="AK141" s="312">
        <v>1</v>
      </c>
      <c r="AL141" s="312">
        <v>1</v>
      </c>
      <c r="AM141" s="312">
        <v>1</v>
      </c>
      <c r="AN141" s="312">
        <v>1</v>
      </c>
      <c r="AO141" s="313">
        <v>1</v>
      </c>
      <c r="AP141" s="314">
        <v>1</v>
      </c>
      <c r="AQ141" s="175">
        <f>(1/1)*100%</f>
        <v>1</v>
      </c>
      <c r="AR141" s="175"/>
      <c r="AS141" s="175">
        <f>(1/1)*100%</f>
        <v>1</v>
      </c>
      <c r="AT141" s="175"/>
      <c r="AU141" s="175">
        <f>(1/1)*100%</f>
        <v>1</v>
      </c>
      <c r="AV141" s="175"/>
      <c r="AW141" s="175">
        <f>(1/1)*100%</f>
        <v>1</v>
      </c>
      <c r="AX141" s="175"/>
      <c r="AY141" s="175">
        <v>1</v>
      </c>
      <c r="AZ141" s="692" t="s">
        <v>1323</v>
      </c>
      <c r="BA141" s="175">
        <f>(3/3)*100%</f>
        <v>1</v>
      </c>
      <c r="BB141" s="175" t="s">
        <v>1324</v>
      </c>
      <c r="BC141" s="175">
        <f>(3/3)*100%</f>
        <v>1</v>
      </c>
      <c r="BD141" s="175" t="s">
        <v>1325</v>
      </c>
      <c r="BE141" s="175">
        <f>(3/3)*100%</f>
        <v>1</v>
      </c>
      <c r="BF141" s="175" t="s">
        <v>1326</v>
      </c>
      <c r="BG141" s="175"/>
      <c r="BH141" s="175"/>
      <c r="BI141" s="175">
        <v>1</v>
      </c>
      <c r="BJ141" s="315" t="s">
        <v>1307</v>
      </c>
      <c r="BK141" s="175">
        <f>3/3</f>
        <v>1</v>
      </c>
      <c r="BL141" s="315" t="s">
        <v>1327</v>
      </c>
      <c r="BM141" s="175">
        <f>2/3</f>
        <v>0.66666666666666663</v>
      </c>
      <c r="BN141" s="315" t="s">
        <v>1328</v>
      </c>
      <c r="BO141" s="175"/>
      <c r="BP141" s="315"/>
      <c r="BQ141" s="175"/>
      <c r="BR141" s="175"/>
      <c r="BS141" s="83"/>
      <c r="BT141" s="175"/>
      <c r="BU141" s="175"/>
      <c r="BV141" s="175"/>
      <c r="BW141" s="175"/>
      <c r="BX141" s="175"/>
      <c r="BY141" s="175"/>
      <c r="BZ141" s="175"/>
      <c r="CA141" s="175"/>
      <c r="CB141" s="175"/>
      <c r="CC141" s="175"/>
      <c r="CD141" s="175"/>
      <c r="CE141" s="83"/>
      <c r="CF141" s="175" t="s">
        <v>1329</v>
      </c>
      <c r="CG141" s="319">
        <f>+DH141+DH142</f>
        <v>606006214.98999977</v>
      </c>
      <c r="CH141" s="213"/>
      <c r="CI141" s="213"/>
      <c r="CJ141" s="83">
        <f t="shared" si="28"/>
        <v>0</v>
      </c>
      <c r="CK141" s="83">
        <f t="shared" si="29"/>
        <v>0</v>
      </c>
      <c r="CL141" s="83" t="str">
        <f t="shared" si="16"/>
        <v>No se reportó avance</v>
      </c>
      <c r="CM141" s="89" t="str">
        <f t="shared" si="17"/>
        <v>No se reportó avance</v>
      </c>
      <c r="CN141" s="89" t="str">
        <f t="shared" si="18"/>
        <v>No se reportó avance</v>
      </c>
      <c r="CO141" s="665" t="s">
        <v>583</v>
      </c>
      <c r="CP141" s="811" t="s">
        <v>1330</v>
      </c>
      <c r="CQ141" s="720" t="s">
        <v>1331</v>
      </c>
      <c r="CR141" s="720" t="s">
        <v>1332</v>
      </c>
      <c r="CS141" s="720" t="s">
        <v>1333</v>
      </c>
      <c r="CT141" s="720" t="s">
        <v>161</v>
      </c>
      <c r="CU141" s="720" t="s">
        <v>162</v>
      </c>
      <c r="CV141" s="720">
        <v>1</v>
      </c>
      <c r="CW141" s="720" t="s">
        <v>234</v>
      </c>
      <c r="CX141" s="681">
        <v>46173</v>
      </c>
      <c r="CY141" s="681">
        <v>46387</v>
      </c>
      <c r="CZ141" s="684">
        <v>0</v>
      </c>
      <c r="DA141" s="684">
        <v>1</v>
      </c>
      <c r="DB141" s="684">
        <v>0</v>
      </c>
      <c r="DC141" s="685">
        <v>0</v>
      </c>
      <c r="DD141" s="685">
        <v>1</v>
      </c>
      <c r="DE141" s="720" t="s">
        <v>1334</v>
      </c>
      <c r="DF141" s="720" t="s">
        <v>1335</v>
      </c>
      <c r="DG141" s="720" t="s">
        <v>1336</v>
      </c>
      <c r="DH141" s="819">
        <v>316894438</v>
      </c>
      <c r="DI141" s="665" t="s">
        <v>1177</v>
      </c>
      <c r="DJ141" s="665" t="s">
        <v>1178</v>
      </c>
      <c r="DK141" s="665" t="s">
        <v>1179</v>
      </c>
      <c r="DL141" s="665" t="s">
        <v>201</v>
      </c>
      <c r="DM141" s="802"/>
      <c r="DN141" s="170"/>
      <c r="DO141" s="692"/>
      <c r="DP141" s="170"/>
      <c r="DQ141" s="692"/>
      <c r="DR141" s="692"/>
      <c r="DS141" s="170"/>
      <c r="DT141" s="803"/>
      <c r="DU141" s="804"/>
      <c r="DV141" s="803"/>
      <c r="DW141" s="803"/>
      <c r="DX141" s="170"/>
      <c r="DY141" s="170"/>
      <c r="DZ141" s="820"/>
      <c r="EA141" s="803"/>
      <c r="EB141" s="803"/>
      <c r="EC141" s="170"/>
      <c r="ED141" s="170"/>
      <c r="EE141" s="170"/>
      <c r="EF141" s="170"/>
      <c r="EG141" s="170"/>
      <c r="EH141" s="170"/>
      <c r="EI141" s="170"/>
      <c r="EJ141" s="170"/>
      <c r="EK141" s="262"/>
      <c r="EL141" s="91" t="str">
        <f t="shared" si="19"/>
        <v>No aplica, no hay meta</v>
      </c>
      <c r="EM141" s="83" t="str">
        <f t="shared" si="20"/>
        <v>No se reportó avance</v>
      </c>
      <c r="EN141" s="808"/>
      <c r="EO141" s="93" t="str">
        <f t="shared" si="34"/>
        <v>Gestión</v>
      </c>
      <c r="EP141" s="93" t="str">
        <f t="shared" si="35"/>
        <v>7</v>
      </c>
    </row>
    <row r="142" spans="1:146" s="71" customFormat="1" ht="150" customHeight="1">
      <c r="A142" s="317" t="s">
        <v>1152</v>
      </c>
      <c r="B142" s="173" t="s">
        <v>1153</v>
      </c>
      <c r="C142" s="317" t="s">
        <v>1298</v>
      </c>
      <c r="D142" s="317" t="s">
        <v>1299</v>
      </c>
      <c r="E142" s="317" t="s">
        <v>1300</v>
      </c>
      <c r="F142" s="317" t="s">
        <v>182</v>
      </c>
      <c r="G142" s="317" t="s">
        <v>182</v>
      </c>
      <c r="H142" s="317" t="s">
        <v>182</v>
      </c>
      <c r="I142" s="317" t="s">
        <v>454</v>
      </c>
      <c r="J142" s="170" t="s">
        <v>156</v>
      </c>
      <c r="K142" s="317" t="s">
        <v>1157</v>
      </c>
      <c r="L142" s="262">
        <v>5</v>
      </c>
      <c r="M142" s="170" t="s">
        <v>1321</v>
      </c>
      <c r="N142" s="170" t="s">
        <v>1273</v>
      </c>
      <c r="O142" s="170" t="s">
        <v>1322</v>
      </c>
      <c r="P142" s="170" t="s">
        <v>200</v>
      </c>
      <c r="Q142" s="262" t="s">
        <v>162</v>
      </c>
      <c r="R142" s="170">
        <v>1</v>
      </c>
      <c r="S142" s="170" t="s">
        <v>163</v>
      </c>
      <c r="T142" s="217">
        <v>44959</v>
      </c>
      <c r="U142" s="217">
        <v>46387</v>
      </c>
      <c r="V142" s="219">
        <v>1</v>
      </c>
      <c r="W142" s="219">
        <v>1</v>
      </c>
      <c r="X142" s="219">
        <v>1</v>
      </c>
      <c r="Y142" s="219">
        <v>1</v>
      </c>
      <c r="Z142" s="219">
        <v>1</v>
      </c>
      <c r="AA142" s="219">
        <v>1</v>
      </c>
      <c r="AB142" s="219">
        <v>1</v>
      </c>
      <c r="AC142" s="219">
        <v>1</v>
      </c>
      <c r="AD142" s="219">
        <v>1</v>
      </c>
      <c r="AE142" s="219">
        <v>1</v>
      </c>
      <c r="AF142" s="219">
        <v>1</v>
      </c>
      <c r="AG142" s="219">
        <v>1</v>
      </c>
      <c r="AH142" s="219">
        <v>1</v>
      </c>
      <c r="AI142" s="219">
        <v>1</v>
      </c>
      <c r="AJ142" s="219">
        <v>1</v>
      </c>
      <c r="AK142" s="218"/>
      <c r="AL142" s="218"/>
      <c r="AM142" s="218"/>
      <c r="AN142" s="218"/>
      <c r="AO142" s="318"/>
      <c r="AP142" s="318">
        <v>1</v>
      </c>
      <c r="AQ142" s="170"/>
      <c r="AR142" s="170"/>
      <c r="AS142" s="170"/>
      <c r="AT142" s="170"/>
      <c r="AU142" s="170"/>
      <c r="AV142" s="170"/>
      <c r="AW142" s="170"/>
      <c r="AX142" s="170"/>
      <c r="AY142" s="170" t="s">
        <v>182</v>
      </c>
      <c r="AZ142" s="692" t="s">
        <v>182</v>
      </c>
      <c r="BA142" s="175"/>
      <c r="BB142" s="175"/>
      <c r="BC142" s="175"/>
      <c r="BD142" s="175"/>
      <c r="BE142" s="175"/>
      <c r="BF142" s="175"/>
      <c r="BG142" s="175"/>
      <c r="BH142" s="175"/>
      <c r="BI142" s="170" t="s">
        <v>182</v>
      </c>
      <c r="BJ142" s="692" t="s">
        <v>182</v>
      </c>
      <c r="BK142" s="170" t="s">
        <v>182</v>
      </c>
      <c r="BL142" s="692" t="s">
        <v>182</v>
      </c>
      <c r="BM142" s="175"/>
      <c r="BN142" s="315"/>
      <c r="BO142" s="175"/>
      <c r="BP142" s="315"/>
      <c r="BQ142" s="175"/>
      <c r="BR142" s="175"/>
      <c r="BS142" s="173"/>
      <c r="BT142" s="170"/>
      <c r="BU142" s="175"/>
      <c r="BV142" s="175"/>
      <c r="BW142" s="175"/>
      <c r="BX142" s="175"/>
      <c r="BY142" s="175"/>
      <c r="BZ142" s="175"/>
      <c r="CA142" s="175"/>
      <c r="CB142" s="175"/>
      <c r="CC142" s="175"/>
      <c r="CD142" s="175"/>
      <c r="CE142" s="170"/>
      <c r="CF142" s="170" t="s">
        <v>182</v>
      </c>
      <c r="CG142" s="170"/>
      <c r="CH142" s="170"/>
      <c r="CI142" s="170"/>
      <c r="CJ142" s="83" t="str">
        <f t="shared" si="28"/>
        <v>No aplica</v>
      </c>
      <c r="CK142" s="83" t="str">
        <f t="shared" si="29"/>
        <v>No aplica</v>
      </c>
      <c r="CL142" s="83" t="str">
        <f t="shared" si="16"/>
        <v>No requiere reporte</v>
      </c>
      <c r="CM142" s="89" t="str">
        <f t="shared" si="17"/>
        <v>No requiere reporte</v>
      </c>
      <c r="CN142" s="89" t="str">
        <f t="shared" si="18"/>
        <v>No requiere reporte</v>
      </c>
      <c r="CO142" s="665" t="s">
        <v>589</v>
      </c>
      <c r="CP142" s="821" t="s">
        <v>1337</v>
      </c>
      <c r="CQ142" s="717" t="s">
        <v>1338</v>
      </c>
      <c r="CR142" s="686" t="s">
        <v>1339</v>
      </c>
      <c r="CS142" s="686" t="s">
        <v>1340</v>
      </c>
      <c r="CT142" s="686" t="s">
        <v>953</v>
      </c>
      <c r="CU142" s="720" t="s">
        <v>162</v>
      </c>
      <c r="CV142" s="780">
        <v>1</v>
      </c>
      <c r="CW142" s="686" t="s">
        <v>252</v>
      </c>
      <c r="CX142" s="809">
        <v>46024</v>
      </c>
      <c r="CY142" s="681">
        <v>46387</v>
      </c>
      <c r="CZ142" s="146">
        <v>1</v>
      </c>
      <c r="DA142" s="146">
        <v>1</v>
      </c>
      <c r="DB142" s="146">
        <v>1</v>
      </c>
      <c r="DC142" s="146">
        <v>1</v>
      </c>
      <c r="DD142" s="146">
        <v>1</v>
      </c>
      <c r="DE142" s="720" t="s">
        <v>1334</v>
      </c>
      <c r="DF142" s="720" t="s">
        <v>1341</v>
      </c>
      <c r="DG142" s="686" t="s">
        <v>1342</v>
      </c>
      <c r="DH142" s="819">
        <v>289111776.98999977</v>
      </c>
      <c r="DI142" s="665" t="s">
        <v>1177</v>
      </c>
      <c r="DJ142" s="665" t="s">
        <v>1178</v>
      </c>
      <c r="DK142" s="665" t="s">
        <v>1179</v>
      </c>
      <c r="DL142" s="665" t="s">
        <v>201</v>
      </c>
      <c r="DM142" s="802"/>
      <c r="DN142" s="175"/>
      <c r="DO142" s="692"/>
      <c r="DP142" s="170"/>
      <c r="DQ142" s="692"/>
      <c r="DR142" s="692"/>
      <c r="DS142" s="175"/>
      <c r="DT142" s="803"/>
      <c r="DU142" s="804"/>
      <c r="DV142" s="692"/>
      <c r="DW142" s="692"/>
      <c r="DX142" s="175"/>
      <c r="DY142" s="803"/>
      <c r="DZ142" s="804"/>
      <c r="EA142" s="692"/>
      <c r="EB142" s="692"/>
      <c r="EC142" s="712"/>
      <c r="ED142" s="170"/>
      <c r="EE142" s="170"/>
      <c r="EF142" s="170"/>
      <c r="EG142" s="170"/>
      <c r="EH142" s="175"/>
      <c r="EI142" s="170"/>
      <c r="EJ142" s="170"/>
      <c r="EK142" s="262"/>
      <c r="EL142" s="91" t="str">
        <f t="shared" si="19"/>
        <v>No se reportó avance</v>
      </c>
      <c r="EM142" s="83" t="str">
        <f t="shared" si="20"/>
        <v>No se reportó avance</v>
      </c>
      <c r="EN142" s="808"/>
      <c r="EO142" s="93" t="str">
        <f t="shared" si="34"/>
        <v>Gestión</v>
      </c>
      <c r="EP142" s="93" t="str">
        <f t="shared" si="35"/>
        <v>7</v>
      </c>
    </row>
    <row r="143" spans="1:146" s="71" customFormat="1" ht="150" customHeight="1">
      <c r="A143" s="317" t="s">
        <v>1152</v>
      </c>
      <c r="B143" s="173" t="s">
        <v>1153</v>
      </c>
      <c r="C143" s="317" t="s">
        <v>1298</v>
      </c>
      <c r="D143" s="317" t="s">
        <v>1299</v>
      </c>
      <c r="E143" s="317" t="s">
        <v>1300</v>
      </c>
      <c r="F143" s="317" t="s">
        <v>182</v>
      </c>
      <c r="G143" s="317" t="s">
        <v>182</v>
      </c>
      <c r="H143" s="317" t="s">
        <v>182</v>
      </c>
      <c r="I143" s="317" t="s">
        <v>454</v>
      </c>
      <c r="J143" s="170" t="s">
        <v>156</v>
      </c>
      <c r="K143" s="317" t="s">
        <v>1157</v>
      </c>
      <c r="L143" s="262">
        <v>5</v>
      </c>
      <c r="M143" s="170" t="s">
        <v>1321</v>
      </c>
      <c r="N143" s="170" t="s">
        <v>1273</v>
      </c>
      <c r="O143" s="170" t="s">
        <v>1322</v>
      </c>
      <c r="P143" s="170" t="s">
        <v>200</v>
      </c>
      <c r="Q143" s="262" t="s">
        <v>162</v>
      </c>
      <c r="R143" s="170">
        <v>1</v>
      </c>
      <c r="S143" s="170" t="s">
        <v>163</v>
      </c>
      <c r="T143" s="217">
        <v>44959</v>
      </c>
      <c r="U143" s="217">
        <v>46387</v>
      </c>
      <c r="V143" s="219">
        <v>1</v>
      </c>
      <c r="W143" s="219">
        <v>1</v>
      </c>
      <c r="X143" s="219">
        <v>1</v>
      </c>
      <c r="Y143" s="219">
        <v>1</v>
      </c>
      <c r="Z143" s="219">
        <v>1</v>
      </c>
      <c r="AA143" s="219">
        <v>1</v>
      </c>
      <c r="AB143" s="219">
        <v>1</v>
      </c>
      <c r="AC143" s="219">
        <v>1</v>
      </c>
      <c r="AD143" s="219">
        <v>1</v>
      </c>
      <c r="AE143" s="219">
        <v>1</v>
      </c>
      <c r="AF143" s="219">
        <v>1</v>
      </c>
      <c r="AG143" s="219">
        <v>1</v>
      </c>
      <c r="AH143" s="219">
        <v>1</v>
      </c>
      <c r="AI143" s="219">
        <v>1</v>
      </c>
      <c r="AJ143" s="219">
        <v>1</v>
      </c>
      <c r="AK143" s="218"/>
      <c r="AL143" s="218"/>
      <c r="AM143" s="218"/>
      <c r="AN143" s="218"/>
      <c r="AO143" s="318"/>
      <c r="AP143" s="318">
        <v>1</v>
      </c>
      <c r="AQ143" s="170"/>
      <c r="AR143" s="170"/>
      <c r="AS143" s="170"/>
      <c r="AT143" s="170"/>
      <c r="AU143" s="170"/>
      <c r="AV143" s="170"/>
      <c r="AW143" s="170"/>
      <c r="AX143" s="170"/>
      <c r="AY143" s="170" t="s">
        <v>182</v>
      </c>
      <c r="AZ143" s="692" t="s">
        <v>182</v>
      </c>
      <c r="BA143" s="175"/>
      <c r="BB143" s="175"/>
      <c r="BC143" s="175"/>
      <c r="BD143" s="175"/>
      <c r="BE143" s="175"/>
      <c r="BF143" s="175"/>
      <c r="BG143" s="175"/>
      <c r="BH143" s="175"/>
      <c r="BI143" s="170" t="s">
        <v>182</v>
      </c>
      <c r="BJ143" s="692" t="s">
        <v>182</v>
      </c>
      <c r="BK143" s="170" t="s">
        <v>182</v>
      </c>
      <c r="BL143" s="692" t="s">
        <v>182</v>
      </c>
      <c r="BM143" s="175"/>
      <c r="BN143" s="315"/>
      <c r="BO143" s="175"/>
      <c r="BP143" s="315"/>
      <c r="BQ143" s="175"/>
      <c r="BR143" s="175"/>
      <c r="BS143" s="173"/>
      <c r="BT143" s="170"/>
      <c r="BU143" s="175"/>
      <c r="BV143" s="175"/>
      <c r="BW143" s="175"/>
      <c r="BX143" s="175"/>
      <c r="BY143" s="175"/>
      <c r="BZ143" s="175"/>
      <c r="CA143" s="175"/>
      <c r="CB143" s="175"/>
      <c r="CC143" s="175"/>
      <c r="CD143" s="175"/>
      <c r="CE143" s="170"/>
      <c r="CF143" s="170" t="s">
        <v>182</v>
      </c>
      <c r="CG143" s="170"/>
      <c r="CH143" s="170"/>
      <c r="CI143" s="170"/>
      <c r="CJ143" s="83" t="str">
        <f t="shared" si="28"/>
        <v>No aplica</v>
      </c>
      <c r="CK143" s="83" t="str">
        <f t="shared" si="29"/>
        <v>No aplica</v>
      </c>
      <c r="CL143" s="83" t="str">
        <f t="shared" si="16"/>
        <v>No requiere reporte</v>
      </c>
      <c r="CM143" s="89" t="str">
        <f t="shared" si="17"/>
        <v>No requiere reporte</v>
      </c>
      <c r="CN143" s="89" t="str">
        <f t="shared" si="18"/>
        <v>No requiere reporte</v>
      </c>
      <c r="CO143" s="665" t="s">
        <v>592</v>
      </c>
      <c r="CP143" s="811" t="s">
        <v>1343</v>
      </c>
      <c r="CQ143" s="720" t="s">
        <v>1344</v>
      </c>
      <c r="CR143" s="720" t="s">
        <v>1345</v>
      </c>
      <c r="CS143" s="720" t="s">
        <v>1346</v>
      </c>
      <c r="CT143" s="720" t="s">
        <v>200</v>
      </c>
      <c r="CU143" s="720" t="s">
        <v>275</v>
      </c>
      <c r="CV143" s="720">
        <v>4</v>
      </c>
      <c r="CW143" s="720" t="s">
        <v>234</v>
      </c>
      <c r="CX143" s="809">
        <v>46054</v>
      </c>
      <c r="CY143" s="681">
        <v>46387</v>
      </c>
      <c r="CZ143" s="812">
        <v>1</v>
      </c>
      <c r="DA143" s="812">
        <v>1</v>
      </c>
      <c r="DB143" s="812">
        <v>1</v>
      </c>
      <c r="DC143" s="806">
        <v>1</v>
      </c>
      <c r="DD143" s="806">
        <v>4</v>
      </c>
      <c r="DE143" s="665" t="s">
        <v>182</v>
      </c>
      <c r="DF143" s="665" t="s">
        <v>182</v>
      </c>
      <c r="DG143" s="665" t="s">
        <v>182</v>
      </c>
      <c r="DH143" s="319" t="s">
        <v>182</v>
      </c>
      <c r="DI143" s="665" t="s">
        <v>1177</v>
      </c>
      <c r="DJ143" s="665" t="s">
        <v>1178</v>
      </c>
      <c r="DK143" s="665" t="s">
        <v>1179</v>
      </c>
      <c r="DL143" s="665" t="s">
        <v>201</v>
      </c>
      <c r="DM143" s="802"/>
      <c r="DN143" s="170"/>
      <c r="DO143" s="692"/>
      <c r="DP143" s="170"/>
      <c r="DQ143" s="692"/>
      <c r="DR143" s="692"/>
      <c r="DS143" s="170"/>
      <c r="DT143" s="692"/>
      <c r="DU143" s="170"/>
      <c r="DV143" s="692"/>
      <c r="DW143" s="692"/>
      <c r="DX143" s="338"/>
      <c r="DY143" s="692"/>
      <c r="DZ143" s="170"/>
      <c r="EA143" s="692"/>
      <c r="EB143" s="692"/>
      <c r="EC143" s="170"/>
      <c r="ED143" s="170"/>
      <c r="EE143" s="170"/>
      <c r="EF143" s="170"/>
      <c r="EG143" s="170"/>
      <c r="EH143" s="338"/>
      <c r="EI143" s="170"/>
      <c r="EJ143" s="170"/>
      <c r="EK143" s="262"/>
      <c r="EL143" s="91" t="str">
        <f t="shared" si="19"/>
        <v>No se reportó avance</v>
      </c>
      <c r="EM143" s="83" t="str">
        <f t="shared" si="20"/>
        <v>No se reportó avance</v>
      </c>
      <c r="EN143" s="808"/>
      <c r="EO143" s="93" t="str">
        <f t="shared" si="34"/>
        <v>Gestión</v>
      </c>
      <c r="EP143" s="93" t="str">
        <f t="shared" si="35"/>
        <v>7</v>
      </c>
    </row>
    <row r="144" spans="1:146" s="71" customFormat="1" ht="150" customHeight="1">
      <c r="A144" s="317" t="s">
        <v>1152</v>
      </c>
      <c r="B144" s="173" t="s">
        <v>1153</v>
      </c>
      <c r="C144" s="317" t="s">
        <v>1298</v>
      </c>
      <c r="D144" s="317" t="s">
        <v>1299</v>
      </c>
      <c r="E144" s="317" t="s">
        <v>1300</v>
      </c>
      <c r="F144" s="317" t="s">
        <v>182</v>
      </c>
      <c r="G144" s="317" t="s">
        <v>182</v>
      </c>
      <c r="H144" s="317" t="s">
        <v>182</v>
      </c>
      <c r="I144" s="317" t="s">
        <v>454</v>
      </c>
      <c r="J144" s="170" t="s">
        <v>156</v>
      </c>
      <c r="K144" s="317" t="s">
        <v>1157</v>
      </c>
      <c r="L144" s="262">
        <v>5</v>
      </c>
      <c r="M144" s="170" t="s">
        <v>1321</v>
      </c>
      <c r="N144" s="170" t="s">
        <v>1273</v>
      </c>
      <c r="O144" s="170" t="s">
        <v>1322</v>
      </c>
      <c r="P144" s="170" t="s">
        <v>200</v>
      </c>
      <c r="Q144" s="262" t="s">
        <v>162</v>
      </c>
      <c r="R144" s="170">
        <v>1</v>
      </c>
      <c r="S144" s="170" t="s">
        <v>163</v>
      </c>
      <c r="T144" s="217">
        <v>44959</v>
      </c>
      <c r="U144" s="217">
        <v>46387</v>
      </c>
      <c r="V144" s="219">
        <v>1</v>
      </c>
      <c r="W144" s="219">
        <v>1</v>
      </c>
      <c r="X144" s="219">
        <v>1</v>
      </c>
      <c r="Y144" s="219">
        <v>1</v>
      </c>
      <c r="Z144" s="219">
        <v>1</v>
      </c>
      <c r="AA144" s="219">
        <v>1</v>
      </c>
      <c r="AB144" s="219">
        <v>1</v>
      </c>
      <c r="AC144" s="219">
        <v>1</v>
      </c>
      <c r="AD144" s="219">
        <v>1</v>
      </c>
      <c r="AE144" s="219">
        <v>1</v>
      </c>
      <c r="AF144" s="219">
        <v>1</v>
      </c>
      <c r="AG144" s="219">
        <v>1</v>
      </c>
      <c r="AH144" s="219">
        <v>1</v>
      </c>
      <c r="AI144" s="219">
        <v>1</v>
      </c>
      <c r="AJ144" s="219">
        <v>1</v>
      </c>
      <c r="AK144" s="218"/>
      <c r="AL144" s="218"/>
      <c r="AM144" s="218"/>
      <c r="AN144" s="218"/>
      <c r="AO144" s="318"/>
      <c r="AP144" s="318">
        <v>1</v>
      </c>
      <c r="AQ144" s="170"/>
      <c r="AR144" s="170"/>
      <c r="AS144" s="170"/>
      <c r="AT144" s="170"/>
      <c r="AU144" s="170"/>
      <c r="AV144" s="170"/>
      <c r="AW144" s="170"/>
      <c r="AX144" s="170"/>
      <c r="AY144" s="170" t="s">
        <v>182</v>
      </c>
      <c r="AZ144" s="692" t="s">
        <v>182</v>
      </c>
      <c r="BA144" s="175"/>
      <c r="BB144" s="175"/>
      <c r="BC144" s="175"/>
      <c r="BD144" s="175"/>
      <c r="BE144" s="175"/>
      <c r="BF144" s="175"/>
      <c r="BG144" s="175"/>
      <c r="BH144" s="175"/>
      <c r="BI144" s="170" t="s">
        <v>182</v>
      </c>
      <c r="BJ144" s="692" t="s">
        <v>182</v>
      </c>
      <c r="BK144" s="170" t="s">
        <v>182</v>
      </c>
      <c r="BL144" s="692" t="s">
        <v>182</v>
      </c>
      <c r="BM144" s="175"/>
      <c r="BN144" s="315"/>
      <c r="BO144" s="175"/>
      <c r="BP144" s="315"/>
      <c r="BQ144" s="175"/>
      <c r="BR144" s="175"/>
      <c r="BS144" s="173"/>
      <c r="BT144" s="170"/>
      <c r="BU144" s="175"/>
      <c r="BV144" s="175"/>
      <c r="BW144" s="175"/>
      <c r="BX144" s="175"/>
      <c r="BY144" s="175"/>
      <c r="BZ144" s="175"/>
      <c r="CA144" s="175"/>
      <c r="CB144" s="175"/>
      <c r="CC144" s="175"/>
      <c r="CD144" s="175"/>
      <c r="CE144" s="170"/>
      <c r="CF144" s="170" t="s">
        <v>182</v>
      </c>
      <c r="CG144" s="170"/>
      <c r="CH144" s="170"/>
      <c r="CI144" s="170"/>
      <c r="CJ144" s="83" t="str">
        <f t="shared" si="28"/>
        <v>No aplica</v>
      </c>
      <c r="CK144" s="83" t="str">
        <f t="shared" si="29"/>
        <v>No aplica</v>
      </c>
      <c r="CL144" s="83" t="str">
        <f t="shared" si="16"/>
        <v>No requiere reporte</v>
      </c>
      <c r="CM144" s="89" t="str">
        <f t="shared" si="17"/>
        <v>No requiere reporte</v>
      </c>
      <c r="CN144" s="89" t="str">
        <f t="shared" si="18"/>
        <v>No requiere reporte</v>
      </c>
      <c r="CO144" s="665" t="s">
        <v>595</v>
      </c>
      <c r="CP144" s="811" t="s">
        <v>1347</v>
      </c>
      <c r="CQ144" s="720" t="s">
        <v>1017</v>
      </c>
      <c r="CR144" s="720" t="s">
        <v>1348</v>
      </c>
      <c r="CS144" s="720" t="s">
        <v>1349</v>
      </c>
      <c r="CT144" s="720" t="s">
        <v>161</v>
      </c>
      <c r="CU144" s="720" t="s">
        <v>233</v>
      </c>
      <c r="CV144" s="720">
        <v>12</v>
      </c>
      <c r="CW144" s="720" t="s">
        <v>234</v>
      </c>
      <c r="CX144" s="809">
        <v>46023</v>
      </c>
      <c r="CY144" s="681">
        <v>46376</v>
      </c>
      <c r="CZ144" s="812">
        <v>3</v>
      </c>
      <c r="DA144" s="812">
        <v>3</v>
      </c>
      <c r="DB144" s="812">
        <v>3</v>
      </c>
      <c r="DC144" s="812">
        <v>3</v>
      </c>
      <c r="DD144" s="806">
        <v>12</v>
      </c>
      <c r="DE144" s="665" t="s">
        <v>182</v>
      </c>
      <c r="DF144" s="665" t="s">
        <v>182</v>
      </c>
      <c r="DG144" s="665" t="s">
        <v>182</v>
      </c>
      <c r="DH144" s="319" t="s">
        <v>182</v>
      </c>
      <c r="DI144" s="665" t="s">
        <v>1177</v>
      </c>
      <c r="DJ144" s="665" t="s">
        <v>1178</v>
      </c>
      <c r="DK144" s="665" t="s">
        <v>1179</v>
      </c>
      <c r="DL144" s="665" t="s">
        <v>201</v>
      </c>
      <c r="DM144" s="802"/>
      <c r="DN144" s="170"/>
      <c r="DO144" s="692"/>
      <c r="DP144" s="170"/>
      <c r="DQ144" s="692"/>
      <c r="DR144" s="692"/>
      <c r="DS144" s="170"/>
      <c r="DT144" s="822"/>
      <c r="DU144" s="807"/>
      <c r="DV144" s="692"/>
      <c r="DW144" s="692"/>
      <c r="DX144" s="170"/>
      <c r="DY144" s="822"/>
      <c r="DZ144" s="807"/>
      <c r="EA144" s="692"/>
      <c r="EB144" s="692"/>
      <c r="EC144" s="170"/>
      <c r="ED144" s="170"/>
      <c r="EE144" s="170"/>
      <c r="EF144" s="170"/>
      <c r="EG144" s="170"/>
      <c r="EH144" s="170"/>
      <c r="EI144" s="170"/>
      <c r="EJ144" s="170"/>
      <c r="EK144" s="262"/>
      <c r="EL144" s="91" t="str">
        <f t="shared" si="19"/>
        <v>No se reportó avance</v>
      </c>
      <c r="EM144" s="83" t="str">
        <f t="shared" si="20"/>
        <v>No se reportó avance</v>
      </c>
      <c r="EN144" s="808"/>
      <c r="EO144" s="93" t="str">
        <f t="shared" si="34"/>
        <v>Gestión</v>
      </c>
      <c r="EP144" s="93" t="str">
        <f t="shared" si="35"/>
        <v>7</v>
      </c>
    </row>
    <row r="145" spans="1:146" s="71" customFormat="1" ht="150" customHeight="1">
      <c r="A145" s="307" t="s">
        <v>1152</v>
      </c>
      <c r="B145" s="307" t="s">
        <v>1153</v>
      </c>
      <c r="C145" s="307" t="s">
        <v>1350</v>
      </c>
      <c r="D145" s="307" t="s">
        <v>1351</v>
      </c>
      <c r="E145" s="307" t="s">
        <v>1352</v>
      </c>
      <c r="F145" s="307" t="s">
        <v>182</v>
      </c>
      <c r="G145" s="307" t="s">
        <v>182</v>
      </c>
      <c r="H145" s="307" t="s">
        <v>182</v>
      </c>
      <c r="I145" s="307" t="s">
        <v>454</v>
      </c>
      <c r="J145" s="203" t="s">
        <v>156</v>
      </c>
      <c r="K145" s="307" t="s">
        <v>1157</v>
      </c>
      <c r="L145" s="260">
        <v>6</v>
      </c>
      <c r="M145" s="255" t="s">
        <v>1353</v>
      </c>
      <c r="N145" s="255" t="s">
        <v>1354</v>
      </c>
      <c r="O145" s="255" t="s">
        <v>1302</v>
      </c>
      <c r="P145" s="255" t="s">
        <v>200</v>
      </c>
      <c r="Q145" s="260" t="s">
        <v>233</v>
      </c>
      <c r="R145" s="77" t="s">
        <v>182</v>
      </c>
      <c r="S145" s="255" t="s">
        <v>252</v>
      </c>
      <c r="T145" s="308">
        <v>45292</v>
      </c>
      <c r="U145" s="308">
        <v>45657</v>
      </c>
      <c r="V145" s="309">
        <v>0.25</v>
      </c>
      <c r="W145" s="309">
        <v>0.25</v>
      </c>
      <c r="X145" s="309">
        <v>0.25</v>
      </c>
      <c r="Y145" s="309">
        <v>0.25</v>
      </c>
      <c r="Z145" s="310">
        <v>1</v>
      </c>
      <c r="AA145" s="321">
        <v>0.25</v>
      </c>
      <c r="AB145" s="321">
        <v>0.25</v>
      </c>
      <c r="AC145" s="321">
        <v>0.25</v>
      </c>
      <c r="AD145" s="321">
        <v>0.25</v>
      </c>
      <c r="AE145" s="310">
        <v>1</v>
      </c>
      <c r="AF145" s="326">
        <v>0.25</v>
      </c>
      <c r="AG145" s="326">
        <v>0.25</v>
      </c>
      <c r="AH145" s="326">
        <v>0.25</v>
      </c>
      <c r="AI145" s="326">
        <v>0.25</v>
      </c>
      <c r="AJ145" s="310">
        <v>1</v>
      </c>
      <c r="AK145" s="312">
        <v>0.25</v>
      </c>
      <c r="AL145" s="312">
        <v>0.25</v>
      </c>
      <c r="AM145" s="312">
        <v>0.25</v>
      </c>
      <c r="AN145" s="312">
        <v>0.25</v>
      </c>
      <c r="AO145" s="313">
        <v>1</v>
      </c>
      <c r="AP145" s="313">
        <v>1</v>
      </c>
      <c r="AQ145" s="175">
        <f>(1/1)*25%</f>
        <v>0.25</v>
      </c>
      <c r="AR145" s="175"/>
      <c r="AS145" s="175">
        <f>(1/1)*25%</f>
        <v>0.25</v>
      </c>
      <c r="AT145" s="175"/>
      <c r="AU145" s="175">
        <f>(1/1)*25%</f>
        <v>0.25</v>
      </c>
      <c r="AV145" s="175"/>
      <c r="AW145" s="175">
        <f>(1/1)*25%</f>
        <v>0.25</v>
      </c>
      <c r="AX145" s="175"/>
      <c r="AY145" s="175">
        <v>0.25</v>
      </c>
      <c r="AZ145" s="692" t="s">
        <v>1355</v>
      </c>
      <c r="BA145" s="175">
        <f>(2/2)*25%</f>
        <v>0.25</v>
      </c>
      <c r="BB145" s="175" t="s">
        <v>1356</v>
      </c>
      <c r="BC145" s="175">
        <f>(2/2)*25%</f>
        <v>0.25</v>
      </c>
      <c r="BD145" s="175" t="s">
        <v>1357</v>
      </c>
      <c r="BE145" s="175">
        <f>(2/2)*25%</f>
        <v>0.25</v>
      </c>
      <c r="BF145" s="175" t="s">
        <v>1358</v>
      </c>
      <c r="BG145" s="175"/>
      <c r="BH145" s="175"/>
      <c r="BI145" s="175">
        <f>(2/2)*25%</f>
        <v>0.25</v>
      </c>
      <c r="BJ145" s="315" t="s">
        <v>1307</v>
      </c>
      <c r="BK145" s="175">
        <f>(2/2)*AF145</f>
        <v>0.25</v>
      </c>
      <c r="BL145" s="315" t="s">
        <v>1359</v>
      </c>
      <c r="BM145" s="175">
        <f>(2/2)*AG145</f>
        <v>0.25</v>
      </c>
      <c r="BN145" s="315" t="s">
        <v>1360</v>
      </c>
      <c r="BO145" s="175"/>
      <c r="BP145" s="315"/>
      <c r="BQ145" s="175"/>
      <c r="BR145" s="175"/>
      <c r="BS145" s="175"/>
      <c r="BT145" s="175"/>
      <c r="BU145" s="175"/>
      <c r="BV145" s="175"/>
      <c r="BW145" s="175"/>
      <c r="BX145" s="175"/>
      <c r="BY145" s="175"/>
      <c r="BZ145" s="175"/>
      <c r="CA145" s="175"/>
      <c r="CB145" s="175"/>
      <c r="CC145" s="175"/>
      <c r="CD145" s="175"/>
      <c r="CE145" s="175"/>
      <c r="CF145" s="175" t="s">
        <v>1361</v>
      </c>
      <c r="CG145" s="319"/>
      <c r="CH145" s="213"/>
      <c r="CI145" s="213"/>
      <c r="CJ145" s="83" t="str">
        <f t="shared" si="28"/>
        <v>No aplica</v>
      </c>
      <c r="CK145" s="83" t="str">
        <f t="shared" si="29"/>
        <v>No aplica</v>
      </c>
      <c r="CL145" s="83" t="str">
        <f t="shared" ref="CL145:CL208" si="36">+IFERROR(IF(M145=M144,"No requiere reporte",IF(OR(AK145=0,AK145=""),"No aplica, no hay meta",IF(AK145="NA","No aplica, no hay meta",IF(BU145="","No se reportó avance",IF(OR(AND(Q145="Capacidad",OR(R145="",R145=0,R145="NA")),AND(Q145="Reducción",OR(R145="",R145=0,R145="NA"))),"Se requiere valor de línea base para este tipo de acumulación",IF(OR(AND(Q145="Flujo",OR(R145&lt;&gt;"",R145&lt;&gt;0,R145&lt;&gt;"NA"),BU145="NA"),AND(Q145="Stock",OR(R145&lt;&gt;"",R145&lt;&gt;0,R145&lt;&gt;"NA"),BU145="NA")),"No aplica",IF(Q145="Flujo",IF(BU145/AK145&gt;1,1.00001,BU145/AK145),IF(Q145="Stock",IF(BU145/AK145&gt;1,1.00001,BU145/AK145),IF(Q145="Acumulado",IF((BU145)/AK145&gt;1,1.00001,(BU145)/AK145),IF(Q145="Capacidad",IF(((BU145-R145)/(AK145-R145))&gt;1,1.00001,((BU145-R145)/(AK145-R145))),IF(Q145="Reducción",IF(((R145-BU145)/(R145-BU145))&gt;1,1.00001,((R145-BU145)/(R145-BU145))),"Revisar acumulación"))))))))))),"Revisar fórmula")</f>
        <v>No se reportó avance</v>
      </c>
      <c r="CM145" s="89" t="str">
        <f t="shared" ref="CM145:CM208" si="37">+IFERROR(IF(M145=M144,"No requiere reporte",IF(OR(AO145=0,AO145=""),"No aplica, no hay meta",IF(AO145="NA","No aplica, no hay meta",IF(CC145="","No se reportó avance",IF(OR(AND(Q145="Capacidad",OR(R145="",R145=0,R145="NA")),AND(Q145="Reducción",OR(R145="",R145=0,R145="NA"))),"Se requiere valor de línea base para este tipo de acumulación",IF(OR(AND(Q145="Flujo",OR(R145&lt;&gt;"",R145&lt;&gt;0,R145&lt;&gt;"NA"),CC145="NA"),AND(Q145="Stock",OR(R145&lt;&gt;"",R145&lt;&gt;0,R145&lt;&gt;"NA"),CC145="NA")),"No aplica",IF(Q145="Flujo",IF(CC145/AO145&gt;1,1.00001,CC145/AO145),IF(Q145="Stock",IF(CC145/AO145&gt;1,1.00001,CC145/AO145),IF(Q145="Acumulado",IF((CC145)/AO145&gt;1,1.00001,(CC145)/AO145),IF(Q145="Capacidad",IF(((CC145-R145)/(AO145-R145))&gt;1,1.00001,((CC145-R145)/(AO145-R145))),IF(Q145="Reducción",IF(((R145-CC145)/(R145-CC145))&gt;1,1.00001,((R145-CC145)/(R145-CC145))),"Revisar acumulación"))))))))))),"Revisar fórmula")</f>
        <v>No se reportó avance</v>
      </c>
      <c r="CN145" s="89" t="str">
        <f t="shared" ref="CN145:CN208" si="38">+IFERROR(IF(M145=M144,"No requiere reporte",IF(OR(AP145=0,AP145=""),"No aplica, no hay meta",IF(AP145="NA","No aplica, no hay meta",IF(CE145="","No se reportó avance",IF(OR(AND(Q145="Capacidad",OR(R145="",R145=0,R145="NA")),AND(Q145="Reducción",OR(R145="",R145=0,R145="NA"))),"Se requiere valor de línea base para este tipo de acumulación",IF(OR(AND(Q145="Flujo",OR(R145&lt;&gt;"",R145&lt;&gt;0,R145&lt;&gt;"NA"),CE145="NA"),AND(Q145="Stock",OR(R145&lt;&gt;"",R145&lt;&gt;0,R145&lt;&gt;"NA"),CE145="NA")),"No aplica",IF(Q145="Flujo",IF(CE145/AP145&gt;1,1.00001,CE145/AP145),IF(Q145="Stock",IF(CE145/AP145&gt;1,1.00001,CE145/AP145),IF(Q145="Acumulado",IF((CE145)/AP145&gt;1,1.00001,(CE145)/AP145),IF(Q145="Capacidad",IF(((CE145-R145)/(AP145-R145))&gt;1,1.00001,((CE145-R145)/(AP145-R145))),IF(Q145="Reducción",IF(((R145-CE145)/(R145-CE145))&gt;1,1.00001,((R145-CE145)/(R145-CE145))),"Revisar acumulación"))))))))))),"Revisar fórmula")</f>
        <v>No se reportó avance</v>
      </c>
      <c r="CO145" s="720" t="s">
        <v>1362</v>
      </c>
      <c r="CP145" s="801" t="s">
        <v>1363</v>
      </c>
      <c r="CQ145" s="686" t="s">
        <v>1364</v>
      </c>
      <c r="CR145" s="686" t="s">
        <v>1364</v>
      </c>
      <c r="CS145" s="686" t="s">
        <v>1365</v>
      </c>
      <c r="CT145" s="686" t="s">
        <v>1219</v>
      </c>
      <c r="CU145" s="686" t="s">
        <v>233</v>
      </c>
      <c r="CV145" s="686">
        <v>4</v>
      </c>
      <c r="CW145" s="686" t="s">
        <v>402</v>
      </c>
      <c r="CX145" s="681">
        <v>46042</v>
      </c>
      <c r="CY145" s="681">
        <v>46387</v>
      </c>
      <c r="CZ145" s="686">
        <v>1</v>
      </c>
      <c r="DA145" s="686">
        <v>1</v>
      </c>
      <c r="DB145" s="686">
        <v>1</v>
      </c>
      <c r="DC145" s="686">
        <v>1</v>
      </c>
      <c r="DD145" s="686">
        <v>4</v>
      </c>
      <c r="DE145" s="665" t="s">
        <v>182</v>
      </c>
      <c r="DF145" s="665" t="s">
        <v>182</v>
      </c>
      <c r="DG145" s="665" t="s">
        <v>182</v>
      </c>
      <c r="DH145" s="319" t="s">
        <v>182</v>
      </c>
      <c r="DI145" s="686" t="s">
        <v>1245</v>
      </c>
      <c r="DJ145" s="720" t="s">
        <v>1178</v>
      </c>
      <c r="DK145" s="720" t="s">
        <v>1366</v>
      </c>
      <c r="DL145" s="665" t="s">
        <v>337</v>
      </c>
      <c r="DM145" s="802"/>
      <c r="DN145" s="170"/>
      <c r="DO145" s="692"/>
      <c r="DP145" s="170"/>
      <c r="DQ145" s="692"/>
      <c r="DR145" s="692"/>
      <c r="DS145" s="170"/>
      <c r="DT145" s="692"/>
      <c r="DU145" s="170"/>
      <c r="DV145" s="692"/>
      <c r="DW145" s="692"/>
      <c r="DX145" s="317"/>
      <c r="DY145" s="823"/>
      <c r="DZ145" s="170"/>
      <c r="EA145" s="692"/>
      <c r="EB145" s="692"/>
      <c r="EC145" s="170"/>
      <c r="ED145" s="170"/>
      <c r="EE145" s="170"/>
      <c r="EF145" s="170"/>
      <c r="EG145" s="170"/>
      <c r="EH145" s="170"/>
      <c r="EI145" s="170"/>
      <c r="EJ145" s="170"/>
      <c r="EK145" s="262"/>
      <c r="EL145" s="91" t="str">
        <f t="shared" ref="EL145:EL208" si="39">+IFERROR(IF(CP145=CP144,"No requiere reporte",IF(OR(CZ145=0,CZ145=""),"No aplica, no hay meta",IF(CZ145="NA","No aplica, no hay meta",IF(DN145="","No se reportó avance",IF(OR(AND(CU145="Capacidad",OR(CV145="",CV145=0,CV145="NA")),AND(CU145="Reducción",OR(CV145="",CV145=0,CV145="NA"))),"Se requiere valor de línea base para este tipo de acumulación",IF(OR(AND(CU145="Flujo",OR(CV145&lt;&gt;"",CV145&lt;&gt;0,CV145&lt;&gt;"NA"),DN145="NA"),AND(CU145="Stock",OR(CV145&lt;&gt;"",CV145&lt;&gt;0,CV145&lt;&gt;"NA"),DN145="NA")),"No aplica",IF(CU145="Flujo",IF(DN145/CZ145&gt;1,1.00001,DN145/CZ145),IF(CU145="Stock",IF(DN145/CZ145&gt;1,1.00001,DN145/CZ145),IF(CU145="Acumulado",IF((DN145)/CZ145&gt;1,1.00001,(DN145)/CZ145),IF(CU145="Capacidad",IF(((DN145-CV145)/(CZ145-CV145))&gt;1,1.00001,((DN145-CV145)/(CZ145-CV145))),IF(CU145="Reducción",IF(((CV145-DN145)/(CV145-DN145))&gt;1,1.00001,((CV145-DN145)/(CV145-DN145))),"Revisar acumulación"))))))))))),"Revisar fórmula")</f>
        <v>No se reportó avance</v>
      </c>
      <c r="EM145" s="83" t="str">
        <f t="shared" ref="EM145:EM208" si="40">+IFERROR(IF(CP145=CP144,"No requiere reporte",IF(OR(DD145=0,DD145=""),"No aplica, no hay meta",IF(DD145="NA","No aplica, no hay meta",IF(EH145="","No se reportó avance",IF(OR(AND(CU145="Capacidad",OR(CV145="",CV145=0,CV145="NA")),AND(CU145="Reducción",OR(CV145="",CV145=0,CV145="NA"))),"Se requiere valor de línea base para este tipo de acumulación",IF(OR(AND(CU145="Flujo",OR(CV145&lt;&gt;"",CV145&lt;&gt;0,CV145&lt;&gt;"NA"),EH145="NA"),AND(CU145="Stock",OR(CV145&lt;&gt;"",CV145&lt;&gt;0,CV145&lt;&gt;"NA"),CV145="NA")),"No aplica",IF(CU145="Flujo",IF(EH145/DD145&gt;1,1.00001,EH145/DD145),IF(CU145="Stock",IF(EH145/DD145&gt;1,1.00001,EH145/DD145),IF(CU145="Acumulado",IF((EH145)/DD145&gt;1,1.00001,(EH145)/DD145),IF(CU145="Capacidad",IF(((EH145-CV145)/(DD145-CV145))&gt;1,1.00001,((EH145-CV145)/(DD145-CV145))),IF(CU145="Reducción",IF(((CV145-EH145)/(CV145-DD145))&gt;1,1.00001,((CV145-EH145)/(CV145-DD145))),"Revisar acumulación"))))))))))),"Revisar fórmula")</f>
        <v>No se reportó avance</v>
      </c>
      <c r="EN145" s="654" t="s">
        <v>1367</v>
      </c>
      <c r="EO145" s="93" t="str">
        <f t="shared" si="34"/>
        <v>Gestión</v>
      </c>
      <c r="EP145" s="93" t="str">
        <f t="shared" si="35"/>
        <v>7</v>
      </c>
    </row>
    <row r="146" spans="1:146" s="71" customFormat="1" ht="150" customHeight="1">
      <c r="A146" s="317" t="s">
        <v>1152</v>
      </c>
      <c r="B146" s="173" t="s">
        <v>1153</v>
      </c>
      <c r="C146" s="317" t="s">
        <v>1350</v>
      </c>
      <c r="D146" s="317" t="s">
        <v>1351</v>
      </c>
      <c r="E146" s="317" t="s">
        <v>1352</v>
      </c>
      <c r="F146" s="317" t="s">
        <v>182</v>
      </c>
      <c r="G146" s="317" t="s">
        <v>182</v>
      </c>
      <c r="H146" s="317" t="s">
        <v>182</v>
      </c>
      <c r="I146" s="317" t="s">
        <v>454</v>
      </c>
      <c r="J146" s="170" t="s">
        <v>156</v>
      </c>
      <c r="K146" s="317" t="s">
        <v>1157</v>
      </c>
      <c r="L146" s="262">
        <v>6</v>
      </c>
      <c r="M146" s="170" t="s">
        <v>1353</v>
      </c>
      <c r="N146" s="170" t="s">
        <v>1354</v>
      </c>
      <c r="O146" s="170" t="s">
        <v>1302</v>
      </c>
      <c r="P146" s="170" t="s">
        <v>200</v>
      </c>
      <c r="Q146" s="262" t="s">
        <v>233</v>
      </c>
      <c r="R146" s="170">
        <v>4</v>
      </c>
      <c r="S146" s="170" t="s">
        <v>252</v>
      </c>
      <c r="T146" s="217">
        <v>45292</v>
      </c>
      <c r="U146" s="217">
        <v>45657</v>
      </c>
      <c r="V146" s="219">
        <v>0.25</v>
      </c>
      <c r="W146" s="219">
        <v>0.25</v>
      </c>
      <c r="X146" s="219">
        <v>0.25</v>
      </c>
      <c r="Y146" s="219">
        <v>0.25</v>
      </c>
      <c r="Z146" s="219">
        <v>1</v>
      </c>
      <c r="AA146" s="173">
        <v>0.25</v>
      </c>
      <c r="AB146" s="173">
        <v>0.25</v>
      </c>
      <c r="AC146" s="173">
        <v>0.25</v>
      </c>
      <c r="AD146" s="173">
        <v>0.25</v>
      </c>
      <c r="AE146" s="219">
        <v>1</v>
      </c>
      <c r="AF146" s="173">
        <v>0.25</v>
      </c>
      <c r="AG146" s="173">
        <v>0.25</v>
      </c>
      <c r="AH146" s="173">
        <v>0.25</v>
      </c>
      <c r="AI146" s="173">
        <v>0.25</v>
      </c>
      <c r="AJ146" s="219">
        <v>1</v>
      </c>
      <c r="AK146" s="218"/>
      <c r="AL146" s="218"/>
      <c r="AM146" s="218"/>
      <c r="AN146" s="218"/>
      <c r="AO146" s="318"/>
      <c r="AP146" s="318">
        <v>1</v>
      </c>
      <c r="AQ146" s="170"/>
      <c r="AR146" s="170"/>
      <c r="AS146" s="170"/>
      <c r="AT146" s="170"/>
      <c r="AU146" s="170"/>
      <c r="AV146" s="170"/>
      <c r="AW146" s="170"/>
      <c r="AX146" s="170"/>
      <c r="AY146" s="170" t="s">
        <v>182</v>
      </c>
      <c r="AZ146" s="692" t="s">
        <v>182</v>
      </c>
      <c r="BA146" s="175"/>
      <c r="BB146" s="175"/>
      <c r="BC146" s="175"/>
      <c r="BD146" s="175"/>
      <c r="BE146" s="175"/>
      <c r="BF146" s="175"/>
      <c r="BG146" s="175"/>
      <c r="BH146" s="175"/>
      <c r="BI146" s="170" t="s">
        <v>182</v>
      </c>
      <c r="BJ146" s="692" t="s">
        <v>182</v>
      </c>
      <c r="BK146" s="170" t="s">
        <v>182</v>
      </c>
      <c r="BL146" s="692" t="s">
        <v>182</v>
      </c>
      <c r="BM146" s="175"/>
      <c r="BN146" s="315"/>
      <c r="BO146" s="175"/>
      <c r="BP146" s="315"/>
      <c r="BQ146" s="175"/>
      <c r="BR146" s="175"/>
      <c r="BS146" s="173"/>
      <c r="BT146" s="170"/>
      <c r="BU146" s="175"/>
      <c r="BV146" s="175"/>
      <c r="BW146" s="175"/>
      <c r="BX146" s="175"/>
      <c r="BY146" s="175"/>
      <c r="BZ146" s="175"/>
      <c r="CA146" s="175"/>
      <c r="CB146" s="175"/>
      <c r="CC146" s="175"/>
      <c r="CD146" s="175"/>
      <c r="CE146" s="170"/>
      <c r="CF146" s="170" t="s">
        <v>182</v>
      </c>
      <c r="CG146" s="170"/>
      <c r="CH146" s="170"/>
      <c r="CI146" s="170"/>
      <c r="CJ146" s="83" t="str">
        <f t="shared" si="28"/>
        <v>No aplica</v>
      </c>
      <c r="CK146" s="83" t="str">
        <f t="shared" si="29"/>
        <v>No aplica</v>
      </c>
      <c r="CL146" s="83" t="str">
        <f t="shared" si="36"/>
        <v>No requiere reporte</v>
      </c>
      <c r="CM146" s="89" t="str">
        <f t="shared" si="37"/>
        <v>No requiere reporte</v>
      </c>
      <c r="CN146" s="89" t="str">
        <f t="shared" si="38"/>
        <v>No requiere reporte</v>
      </c>
      <c r="CO146" s="687" t="s">
        <v>1368</v>
      </c>
      <c r="CP146" s="801" t="s">
        <v>1369</v>
      </c>
      <c r="CQ146" s="686" t="s">
        <v>1370</v>
      </c>
      <c r="CR146" s="686" t="s">
        <v>1370</v>
      </c>
      <c r="CS146" s="686" t="s">
        <v>1371</v>
      </c>
      <c r="CT146" s="686" t="s">
        <v>1219</v>
      </c>
      <c r="CU146" s="686" t="s">
        <v>233</v>
      </c>
      <c r="CV146" s="686">
        <v>4</v>
      </c>
      <c r="CW146" s="686" t="s">
        <v>402</v>
      </c>
      <c r="CX146" s="681">
        <v>46042</v>
      </c>
      <c r="CY146" s="681">
        <v>46387</v>
      </c>
      <c r="CZ146" s="686">
        <v>1</v>
      </c>
      <c r="DA146" s="686">
        <v>1</v>
      </c>
      <c r="DB146" s="686">
        <v>1</v>
      </c>
      <c r="DC146" s="686">
        <v>1</v>
      </c>
      <c r="DD146" s="686">
        <v>4</v>
      </c>
      <c r="DE146" s="665" t="s">
        <v>182</v>
      </c>
      <c r="DF146" s="665" t="s">
        <v>182</v>
      </c>
      <c r="DG146" s="665" t="s">
        <v>182</v>
      </c>
      <c r="DH146" s="319" t="s">
        <v>182</v>
      </c>
      <c r="DI146" s="686" t="s">
        <v>1245</v>
      </c>
      <c r="DJ146" s="720" t="s">
        <v>1178</v>
      </c>
      <c r="DK146" s="720" t="s">
        <v>1366</v>
      </c>
      <c r="DL146" s="665" t="s">
        <v>201</v>
      </c>
      <c r="DM146" s="802"/>
      <c r="DN146" s="170"/>
      <c r="DO146" s="692"/>
      <c r="DP146" s="170"/>
      <c r="DQ146" s="692"/>
      <c r="DR146" s="692"/>
      <c r="DS146" s="170"/>
      <c r="DT146" s="692"/>
      <c r="DU146" s="170"/>
      <c r="DV146" s="692"/>
      <c r="DW146" s="692"/>
      <c r="DX146" s="317"/>
      <c r="DY146" s="823"/>
      <c r="DZ146" s="170"/>
      <c r="EA146" s="692"/>
      <c r="EB146" s="692"/>
      <c r="EC146" s="170"/>
      <c r="ED146" s="170"/>
      <c r="EE146" s="170"/>
      <c r="EF146" s="170"/>
      <c r="EG146" s="170"/>
      <c r="EH146" s="170"/>
      <c r="EI146" s="170"/>
      <c r="EJ146" s="170"/>
      <c r="EK146" s="262"/>
      <c r="EL146" s="91" t="str">
        <f t="shared" si="39"/>
        <v>No se reportó avance</v>
      </c>
      <c r="EM146" s="83" t="str">
        <f t="shared" si="40"/>
        <v>No se reportó avance</v>
      </c>
      <c r="EN146" s="808"/>
      <c r="EO146" s="93" t="str">
        <f t="shared" si="34"/>
        <v>Gestión</v>
      </c>
      <c r="EP146" s="93" t="str">
        <f t="shared" si="35"/>
        <v>7</v>
      </c>
    </row>
    <row r="147" spans="1:146" s="71" customFormat="1" ht="150" customHeight="1">
      <c r="A147" s="307" t="s">
        <v>1152</v>
      </c>
      <c r="B147" s="307" t="s">
        <v>1153</v>
      </c>
      <c r="C147" s="307" t="s">
        <v>1350</v>
      </c>
      <c r="D147" s="307" t="s">
        <v>1351</v>
      </c>
      <c r="E147" s="307" t="s">
        <v>1352</v>
      </c>
      <c r="F147" s="307" t="s">
        <v>182</v>
      </c>
      <c r="G147" s="307" t="s">
        <v>182</v>
      </c>
      <c r="H147" s="307" t="s">
        <v>182</v>
      </c>
      <c r="I147" s="307" t="s">
        <v>454</v>
      </c>
      <c r="J147" s="203" t="s">
        <v>156</v>
      </c>
      <c r="K147" s="307" t="s">
        <v>1157</v>
      </c>
      <c r="L147" s="260">
        <v>7</v>
      </c>
      <c r="M147" s="255" t="s">
        <v>1372</v>
      </c>
      <c r="N147" s="255" t="s">
        <v>1373</v>
      </c>
      <c r="O147" s="255" t="s">
        <v>1374</v>
      </c>
      <c r="P147" s="255" t="s">
        <v>1161</v>
      </c>
      <c r="Q147" s="260" t="s">
        <v>233</v>
      </c>
      <c r="R147" s="255">
        <v>16</v>
      </c>
      <c r="S147" s="255" t="s">
        <v>402</v>
      </c>
      <c r="T147" s="308">
        <v>45292</v>
      </c>
      <c r="U147" s="308">
        <v>45657</v>
      </c>
      <c r="V147" s="309">
        <v>3</v>
      </c>
      <c r="W147" s="309">
        <v>5</v>
      </c>
      <c r="X147" s="309">
        <v>4</v>
      </c>
      <c r="Y147" s="309">
        <v>4</v>
      </c>
      <c r="Z147" s="327">
        <v>16</v>
      </c>
      <c r="AA147" s="328">
        <v>4</v>
      </c>
      <c r="AB147" s="328">
        <v>4</v>
      </c>
      <c r="AC147" s="329">
        <v>4</v>
      </c>
      <c r="AD147" s="330">
        <v>4</v>
      </c>
      <c r="AE147" s="331">
        <v>16</v>
      </c>
      <c r="AF147" s="331">
        <v>4</v>
      </c>
      <c r="AG147" s="331">
        <v>4</v>
      </c>
      <c r="AH147" s="331">
        <v>4</v>
      </c>
      <c r="AI147" s="331">
        <v>4</v>
      </c>
      <c r="AJ147" s="331">
        <v>16</v>
      </c>
      <c r="AK147" s="332">
        <v>3</v>
      </c>
      <c r="AL147" s="332">
        <v>3</v>
      </c>
      <c r="AM147" s="332">
        <v>3</v>
      </c>
      <c r="AN147" s="332">
        <v>3</v>
      </c>
      <c r="AO147" s="333">
        <v>12</v>
      </c>
      <c r="AP147" s="334">
        <v>64</v>
      </c>
      <c r="AQ147" s="335">
        <v>3</v>
      </c>
      <c r="AR147" s="335"/>
      <c r="AS147" s="335">
        <v>5</v>
      </c>
      <c r="AT147" s="335"/>
      <c r="AU147" s="335">
        <v>4</v>
      </c>
      <c r="AV147" s="335"/>
      <c r="AW147" s="335">
        <v>4</v>
      </c>
      <c r="AX147" s="335"/>
      <c r="AY147" s="335">
        <v>16</v>
      </c>
      <c r="AZ147" s="692" t="s">
        <v>1375</v>
      </c>
      <c r="BA147" s="335">
        <v>4</v>
      </c>
      <c r="BB147" s="175" t="s">
        <v>1376</v>
      </c>
      <c r="BC147" s="335">
        <v>4</v>
      </c>
      <c r="BD147" s="175" t="s">
        <v>1377</v>
      </c>
      <c r="BE147" s="335">
        <v>4</v>
      </c>
      <c r="BF147" s="175" t="s">
        <v>1378</v>
      </c>
      <c r="BG147" s="175"/>
      <c r="BH147" s="175"/>
      <c r="BI147" s="336">
        <v>16</v>
      </c>
      <c r="BJ147" s="315" t="s">
        <v>1379</v>
      </c>
      <c r="BK147" s="336">
        <v>4</v>
      </c>
      <c r="BL147" s="315" t="s">
        <v>1380</v>
      </c>
      <c r="BM147" s="336">
        <v>4</v>
      </c>
      <c r="BN147" s="315" t="s">
        <v>1381</v>
      </c>
      <c r="BO147" s="336">
        <f>(4/4)</f>
        <v>1</v>
      </c>
      <c r="BP147" s="315" t="s">
        <v>1382</v>
      </c>
      <c r="BQ147" s="336"/>
      <c r="BR147" s="336"/>
      <c r="BS147" s="336"/>
      <c r="BT147" s="336"/>
      <c r="BU147" s="336"/>
      <c r="BV147" s="336"/>
      <c r="BW147" s="336"/>
      <c r="BX147" s="336"/>
      <c r="BY147" s="336"/>
      <c r="BZ147" s="336"/>
      <c r="CA147" s="336"/>
      <c r="CB147" s="336"/>
      <c r="CC147" s="336"/>
      <c r="CD147" s="336"/>
      <c r="CE147" s="336"/>
      <c r="CF147" s="336" t="s">
        <v>1383</v>
      </c>
      <c r="CG147" s="319"/>
      <c r="CH147" s="213"/>
      <c r="CI147" s="213"/>
      <c r="CJ147" s="83" t="str">
        <f t="shared" si="28"/>
        <v>No aplica</v>
      </c>
      <c r="CK147" s="83" t="str">
        <f t="shared" si="29"/>
        <v>No aplica</v>
      </c>
      <c r="CL147" s="83" t="str">
        <f t="shared" si="36"/>
        <v>No se reportó avance</v>
      </c>
      <c r="CM147" s="89" t="str">
        <f t="shared" si="37"/>
        <v>No se reportó avance</v>
      </c>
      <c r="CN147" s="89" t="str">
        <f t="shared" si="38"/>
        <v>No se reportó avance</v>
      </c>
      <c r="CO147" s="665" t="s">
        <v>1384</v>
      </c>
      <c r="CP147" s="801" t="s">
        <v>1385</v>
      </c>
      <c r="CQ147" s="665" t="s">
        <v>1386</v>
      </c>
      <c r="CR147" s="686" t="s">
        <v>1387</v>
      </c>
      <c r="CS147" s="824" t="s">
        <v>1388</v>
      </c>
      <c r="CT147" s="687" t="s">
        <v>1161</v>
      </c>
      <c r="CU147" s="686" t="s">
        <v>233</v>
      </c>
      <c r="CV147" s="687">
        <v>12</v>
      </c>
      <c r="CW147" s="687" t="s">
        <v>234</v>
      </c>
      <c r="CX147" s="809">
        <v>46024</v>
      </c>
      <c r="CY147" s="681">
        <v>46387</v>
      </c>
      <c r="CZ147" s="687">
        <v>3</v>
      </c>
      <c r="DA147" s="687">
        <v>3</v>
      </c>
      <c r="DB147" s="687">
        <v>3</v>
      </c>
      <c r="DC147" s="687">
        <v>3</v>
      </c>
      <c r="DD147" s="686">
        <v>12</v>
      </c>
      <c r="DE147" s="665" t="s">
        <v>182</v>
      </c>
      <c r="DF147" s="665" t="s">
        <v>182</v>
      </c>
      <c r="DG147" s="665" t="s">
        <v>182</v>
      </c>
      <c r="DH147" s="319" t="s">
        <v>182</v>
      </c>
      <c r="DI147" s="686" t="s">
        <v>1245</v>
      </c>
      <c r="DJ147" s="720" t="s">
        <v>1178</v>
      </c>
      <c r="DK147" s="720" t="s">
        <v>1366</v>
      </c>
      <c r="DL147" s="665" t="s">
        <v>201</v>
      </c>
      <c r="DM147" s="802"/>
      <c r="DN147" s="170"/>
      <c r="DO147" s="692"/>
      <c r="DP147" s="170"/>
      <c r="DQ147" s="692"/>
      <c r="DR147" s="692"/>
      <c r="DS147" s="170"/>
      <c r="DT147" s="692"/>
      <c r="DU147" s="170"/>
      <c r="DV147" s="692"/>
      <c r="DW147" s="692"/>
      <c r="DX147" s="170"/>
      <c r="DY147" s="692"/>
      <c r="DZ147" s="170"/>
      <c r="EA147" s="692"/>
      <c r="EB147" s="692"/>
      <c r="EC147" s="170"/>
      <c r="ED147" s="170"/>
      <c r="EE147" s="170"/>
      <c r="EF147" s="170"/>
      <c r="EG147" s="170"/>
      <c r="EH147" s="170"/>
      <c r="EI147" s="170"/>
      <c r="EJ147" s="170"/>
      <c r="EK147" s="262"/>
      <c r="EL147" s="91" t="str">
        <f t="shared" si="39"/>
        <v>No se reportó avance</v>
      </c>
      <c r="EM147" s="83" t="str">
        <f t="shared" si="40"/>
        <v>No se reportó avance</v>
      </c>
      <c r="EN147" s="654" t="s">
        <v>1389</v>
      </c>
      <c r="EO147" s="93" t="str">
        <f t="shared" si="34"/>
        <v>Producto</v>
      </c>
      <c r="EP147" s="93" t="str">
        <f t="shared" si="35"/>
        <v>7</v>
      </c>
    </row>
    <row r="148" spans="1:146" s="71" customFormat="1" ht="150" customHeight="1">
      <c r="A148" s="317" t="s">
        <v>1152</v>
      </c>
      <c r="B148" s="173" t="s">
        <v>1153</v>
      </c>
      <c r="C148" s="317" t="s">
        <v>1350</v>
      </c>
      <c r="D148" s="317" t="s">
        <v>1351</v>
      </c>
      <c r="E148" s="317" t="s">
        <v>1352</v>
      </c>
      <c r="F148" s="317" t="s">
        <v>182</v>
      </c>
      <c r="G148" s="317" t="s">
        <v>182</v>
      </c>
      <c r="H148" s="317" t="s">
        <v>182</v>
      </c>
      <c r="I148" s="317" t="s">
        <v>454</v>
      </c>
      <c r="J148" s="170" t="s">
        <v>156</v>
      </c>
      <c r="K148" s="317" t="s">
        <v>1157</v>
      </c>
      <c r="L148" s="262">
        <v>7</v>
      </c>
      <c r="M148" s="170" t="s">
        <v>1372</v>
      </c>
      <c r="N148" s="170" t="s">
        <v>1373</v>
      </c>
      <c r="O148" s="170" t="s">
        <v>1390</v>
      </c>
      <c r="P148" s="170" t="s">
        <v>1161</v>
      </c>
      <c r="Q148" s="262" t="s">
        <v>233</v>
      </c>
      <c r="R148" s="170">
        <v>16</v>
      </c>
      <c r="S148" s="170" t="s">
        <v>402</v>
      </c>
      <c r="T148" s="217">
        <v>45292</v>
      </c>
      <c r="U148" s="217">
        <v>45657</v>
      </c>
      <c r="V148" s="219">
        <v>3</v>
      </c>
      <c r="W148" s="219">
        <v>5</v>
      </c>
      <c r="X148" s="219">
        <v>4</v>
      </c>
      <c r="Y148" s="219">
        <v>4</v>
      </c>
      <c r="Z148" s="337">
        <v>16</v>
      </c>
      <c r="AA148" s="262">
        <v>3</v>
      </c>
      <c r="AB148" s="262">
        <v>5</v>
      </c>
      <c r="AC148" s="258">
        <v>4</v>
      </c>
      <c r="AD148" s="338">
        <v>4</v>
      </c>
      <c r="AE148" s="339">
        <v>16</v>
      </c>
      <c r="AF148" s="339">
        <v>16</v>
      </c>
      <c r="AG148" s="339">
        <v>16</v>
      </c>
      <c r="AH148" s="339">
        <v>16</v>
      </c>
      <c r="AI148" s="339">
        <v>16</v>
      </c>
      <c r="AJ148" s="339">
        <v>16</v>
      </c>
      <c r="AK148" s="340"/>
      <c r="AL148" s="340"/>
      <c r="AM148" s="340"/>
      <c r="AN148" s="340"/>
      <c r="AO148" s="340"/>
      <c r="AP148" s="341">
        <v>64</v>
      </c>
      <c r="AQ148" s="170"/>
      <c r="AR148" s="170"/>
      <c r="AS148" s="170"/>
      <c r="AT148" s="170"/>
      <c r="AU148" s="170"/>
      <c r="AV148" s="170"/>
      <c r="AW148" s="170"/>
      <c r="AX148" s="170"/>
      <c r="AY148" s="170" t="s">
        <v>182</v>
      </c>
      <c r="AZ148" s="692" t="s">
        <v>182</v>
      </c>
      <c r="BA148" s="175"/>
      <c r="BB148" s="175"/>
      <c r="BC148" s="175"/>
      <c r="BD148" s="175"/>
      <c r="BE148" s="175"/>
      <c r="BF148" s="175"/>
      <c r="BG148" s="175"/>
      <c r="BH148" s="175"/>
      <c r="BI148" s="170" t="s">
        <v>182</v>
      </c>
      <c r="BJ148" s="692" t="s">
        <v>182</v>
      </c>
      <c r="BK148" s="170" t="s">
        <v>182</v>
      </c>
      <c r="BL148" s="692" t="s">
        <v>182</v>
      </c>
      <c r="BM148" s="175"/>
      <c r="BN148" s="315"/>
      <c r="BO148" s="175"/>
      <c r="BP148" s="315"/>
      <c r="BQ148" s="175"/>
      <c r="BR148" s="175"/>
      <c r="BS148" s="170"/>
      <c r="BT148" s="170"/>
      <c r="BU148" s="175"/>
      <c r="BV148" s="175"/>
      <c r="BW148" s="175"/>
      <c r="BX148" s="175"/>
      <c r="BY148" s="175"/>
      <c r="BZ148" s="175"/>
      <c r="CA148" s="175"/>
      <c r="CB148" s="175"/>
      <c r="CC148" s="175"/>
      <c r="CD148" s="175"/>
      <c r="CE148" s="170"/>
      <c r="CF148" s="170" t="s">
        <v>182</v>
      </c>
      <c r="CG148" s="170"/>
      <c r="CH148" s="170"/>
      <c r="CI148" s="170"/>
      <c r="CJ148" s="83" t="str">
        <f t="shared" si="28"/>
        <v>No aplica</v>
      </c>
      <c r="CK148" s="83" t="str">
        <f t="shared" si="29"/>
        <v>No aplica</v>
      </c>
      <c r="CL148" s="83" t="str">
        <f t="shared" si="36"/>
        <v>No requiere reporte</v>
      </c>
      <c r="CM148" s="89" t="str">
        <f t="shared" si="37"/>
        <v>No requiere reporte</v>
      </c>
      <c r="CN148" s="89" t="str">
        <f t="shared" si="38"/>
        <v>No requiere reporte</v>
      </c>
      <c r="CO148" s="687" t="s">
        <v>1391</v>
      </c>
      <c r="CP148" s="801" t="s">
        <v>1392</v>
      </c>
      <c r="CQ148" s="686" t="s">
        <v>1393</v>
      </c>
      <c r="CR148" s="686" t="s">
        <v>1394</v>
      </c>
      <c r="CS148" s="686" t="s">
        <v>1395</v>
      </c>
      <c r="CT148" s="686" t="s">
        <v>931</v>
      </c>
      <c r="CU148" s="686" t="s">
        <v>233</v>
      </c>
      <c r="CV148" s="686">
        <v>4</v>
      </c>
      <c r="CW148" s="686" t="s">
        <v>402</v>
      </c>
      <c r="CX148" s="809">
        <v>46024</v>
      </c>
      <c r="CY148" s="681">
        <v>46387</v>
      </c>
      <c r="CZ148" s="686">
        <v>1</v>
      </c>
      <c r="DA148" s="686">
        <v>1</v>
      </c>
      <c r="DB148" s="686">
        <v>1</v>
      </c>
      <c r="DC148" s="686">
        <v>1</v>
      </c>
      <c r="DD148" s="686">
        <v>4</v>
      </c>
      <c r="DE148" s="665" t="s">
        <v>182</v>
      </c>
      <c r="DF148" s="665" t="s">
        <v>182</v>
      </c>
      <c r="DG148" s="665" t="s">
        <v>182</v>
      </c>
      <c r="DH148" s="319" t="s">
        <v>182</v>
      </c>
      <c r="DI148" s="686" t="s">
        <v>1245</v>
      </c>
      <c r="DJ148" s="720" t="s">
        <v>1178</v>
      </c>
      <c r="DK148" s="720" t="s">
        <v>1366</v>
      </c>
      <c r="DL148" s="665" t="s">
        <v>201</v>
      </c>
      <c r="DM148" s="802"/>
      <c r="DN148" s="170"/>
      <c r="DO148" s="692"/>
      <c r="DP148" s="170"/>
      <c r="DQ148" s="692"/>
      <c r="DR148" s="692"/>
      <c r="DS148" s="170"/>
      <c r="DT148" s="692"/>
      <c r="DU148" s="170"/>
      <c r="DV148" s="692"/>
      <c r="DW148" s="692"/>
      <c r="DX148" s="317"/>
      <c r="DY148" s="823"/>
      <c r="DZ148" s="170"/>
      <c r="EA148" s="692"/>
      <c r="EB148" s="692"/>
      <c r="EC148" s="170"/>
      <c r="ED148" s="170"/>
      <c r="EE148" s="170"/>
      <c r="EF148" s="170"/>
      <c r="EG148" s="170"/>
      <c r="EH148" s="170"/>
      <c r="EI148" s="170"/>
      <c r="EJ148" s="170"/>
      <c r="EK148" s="262"/>
      <c r="EL148" s="91" t="str">
        <f t="shared" si="39"/>
        <v>No se reportó avance</v>
      </c>
      <c r="EM148" s="83" t="str">
        <f t="shared" si="40"/>
        <v>No se reportó avance</v>
      </c>
      <c r="EN148" s="808"/>
      <c r="EO148" s="93" t="str">
        <f t="shared" si="34"/>
        <v>Producto</v>
      </c>
      <c r="EP148" s="93" t="str">
        <f t="shared" si="35"/>
        <v>7</v>
      </c>
    </row>
    <row r="149" spans="1:146" s="93" customFormat="1" ht="150" customHeight="1">
      <c r="A149" s="98" t="s">
        <v>1396</v>
      </c>
      <c r="B149" s="99" t="s">
        <v>1397</v>
      </c>
      <c r="C149" s="99" t="s">
        <v>1398</v>
      </c>
      <c r="D149" s="99" t="s">
        <v>1399</v>
      </c>
      <c r="E149" s="75" t="s">
        <v>1400</v>
      </c>
      <c r="F149" s="98" t="s">
        <v>201</v>
      </c>
      <c r="G149" s="98" t="s">
        <v>201</v>
      </c>
      <c r="H149" s="342"/>
      <c r="I149" s="74" t="s">
        <v>454</v>
      </c>
      <c r="J149" s="74" t="s">
        <v>455</v>
      </c>
      <c r="K149" s="98" t="s">
        <v>535</v>
      </c>
      <c r="L149" s="78">
        <v>1</v>
      </c>
      <c r="M149" s="78" t="s">
        <v>1401</v>
      </c>
      <c r="N149" s="78" t="s">
        <v>1402</v>
      </c>
      <c r="O149" s="78" t="s">
        <v>1403</v>
      </c>
      <c r="P149" s="78" t="s">
        <v>161</v>
      </c>
      <c r="Q149" s="78" t="s">
        <v>275</v>
      </c>
      <c r="R149" s="82">
        <v>0</v>
      </c>
      <c r="S149" s="78" t="s">
        <v>163</v>
      </c>
      <c r="T149" s="80">
        <v>44928</v>
      </c>
      <c r="U149" s="80">
        <v>46387</v>
      </c>
      <c r="V149" s="343">
        <v>0</v>
      </c>
      <c r="W149" s="343">
        <v>0.17860000000000001</v>
      </c>
      <c r="X149" s="343">
        <v>0.46429999999999999</v>
      </c>
      <c r="Y149" s="343">
        <v>0.35709999999999997</v>
      </c>
      <c r="Z149" s="344">
        <v>1</v>
      </c>
      <c r="AA149" s="343">
        <v>0.25</v>
      </c>
      <c r="AB149" s="343">
        <v>0.5</v>
      </c>
      <c r="AC149" s="343">
        <v>0.75</v>
      </c>
      <c r="AD149" s="343">
        <v>1</v>
      </c>
      <c r="AE149" s="344">
        <v>1</v>
      </c>
      <c r="AF149" s="344">
        <v>0.3</v>
      </c>
      <c r="AG149" s="344">
        <v>0.6</v>
      </c>
      <c r="AH149" s="344">
        <v>0.9</v>
      </c>
      <c r="AI149" s="344">
        <v>1</v>
      </c>
      <c r="AJ149" s="344">
        <v>1</v>
      </c>
      <c r="AK149" s="345">
        <v>0.1</v>
      </c>
      <c r="AL149" s="345">
        <v>0.3</v>
      </c>
      <c r="AM149" s="345">
        <v>0.5</v>
      </c>
      <c r="AN149" s="345">
        <v>0.1</v>
      </c>
      <c r="AO149" s="346">
        <f>SUM(AK149:AN149)</f>
        <v>1</v>
      </c>
      <c r="AP149" s="344">
        <v>1</v>
      </c>
      <c r="AQ149" s="97">
        <v>0</v>
      </c>
      <c r="AR149" s="97" t="s">
        <v>1404</v>
      </c>
      <c r="AS149" s="97">
        <v>0</v>
      </c>
      <c r="AT149" s="97" t="s">
        <v>1404</v>
      </c>
      <c r="AU149" s="97">
        <v>0.27</v>
      </c>
      <c r="AV149" s="97" t="s">
        <v>1405</v>
      </c>
      <c r="AW149" s="97">
        <v>0.73</v>
      </c>
      <c r="AX149" s="97" t="s">
        <v>1406</v>
      </c>
      <c r="AY149" s="97">
        <v>1.07</v>
      </c>
      <c r="AZ149" s="106" t="s">
        <v>1407</v>
      </c>
      <c r="BA149" s="83">
        <f>(2/8)</f>
        <v>0.25</v>
      </c>
      <c r="BB149" s="117" t="s">
        <v>1408</v>
      </c>
      <c r="BC149" s="83">
        <f>(4/9)</f>
        <v>0.44444444444444442</v>
      </c>
      <c r="BD149" s="117" t="s">
        <v>1409</v>
      </c>
      <c r="BE149" s="83">
        <f>(8/9)</f>
        <v>0.88888888888888884</v>
      </c>
      <c r="BF149" s="117" t="s">
        <v>1410</v>
      </c>
      <c r="BG149" s="83">
        <f>(9/9)</f>
        <v>1</v>
      </c>
      <c r="BH149" s="117" t="s">
        <v>1411</v>
      </c>
      <c r="BI149" s="83">
        <v>1</v>
      </c>
      <c r="BJ149" s="87" t="s">
        <v>1412</v>
      </c>
      <c r="BK149" s="85">
        <f>335/335*30%</f>
        <v>0.3</v>
      </c>
      <c r="BL149" s="86" t="s">
        <v>1413</v>
      </c>
      <c r="BM149" s="83">
        <f>(5/7)*60%</f>
        <v>0.42857142857142855</v>
      </c>
      <c r="BN149" s="87" t="s">
        <v>1414</v>
      </c>
      <c r="BO149" s="83">
        <f>(3/6)*90%</f>
        <v>0.45</v>
      </c>
      <c r="BP149" s="87" t="s">
        <v>1415</v>
      </c>
      <c r="BQ149" s="83"/>
      <c r="BR149" s="83"/>
      <c r="BS149" s="83">
        <f>(343/348)*90%</f>
        <v>0.88706896551724135</v>
      </c>
      <c r="BT149" s="83"/>
      <c r="BU149" s="83"/>
      <c r="BV149" s="83"/>
      <c r="BW149" s="83"/>
      <c r="BX149" s="83"/>
      <c r="BY149" s="83"/>
      <c r="BZ149" s="83"/>
      <c r="CA149" s="83"/>
      <c r="CB149" s="83"/>
      <c r="CC149" s="83"/>
      <c r="CD149" s="83"/>
      <c r="CE149" s="83" t="s">
        <v>201</v>
      </c>
      <c r="CF149" s="347"/>
      <c r="CG149" s="623">
        <f>+SUM(DH149:DH156)</f>
        <v>8000347811</v>
      </c>
      <c r="CH149" s="624"/>
      <c r="CI149" s="624"/>
      <c r="CJ149" s="83">
        <f t="shared" si="28"/>
        <v>0</v>
      </c>
      <c r="CK149" s="83">
        <f t="shared" si="29"/>
        <v>0</v>
      </c>
      <c r="CL149" s="83" t="str">
        <f t="shared" si="36"/>
        <v>No se reportó avance</v>
      </c>
      <c r="CM149" s="89" t="str">
        <f t="shared" si="37"/>
        <v>No se reportó avance</v>
      </c>
      <c r="CN149" s="89" t="str">
        <f t="shared" si="38"/>
        <v>Revisar fórmula</v>
      </c>
      <c r="CO149" s="145" t="s">
        <v>177</v>
      </c>
      <c r="CP149" s="145" t="s">
        <v>1416</v>
      </c>
      <c r="CQ149" s="145" t="s">
        <v>1417</v>
      </c>
      <c r="CR149" s="178" t="s">
        <v>1418</v>
      </c>
      <c r="CS149" s="145" t="s">
        <v>1419</v>
      </c>
      <c r="CT149" s="145" t="s">
        <v>161</v>
      </c>
      <c r="CU149" s="178" t="s">
        <v>233</v>
      </c>
      <c r="CV149" s="178">
        <v>0</v>
      </c>
      <c r="CW149" s="178" t="s">
        <v>234</v>
      </c>
      <c r="CX149" s="688">
        <v>46037</v>
      </c>
      <c r="CY149" s="688">
        <v>46387</v>
      </c>
      <c r="CZ149" s="178">
        <v>2</v>
      </c>
      <c r="DA149" s="178">
        <v>1</v>
      </c>
      <c r="DB149" s="178">
        <v>0</v>
      </c>
      <c r="DC149" s="178">
        <v>1</v>
      </c>
      <c r="DD149" s="178">
        <f>SUM(CZ149:DC149)</f>
        <v>4</v>
      </c>
      <c r="DE149" s="178" t="s">
        <v>396</v>
      </c>
      <c r="DF149" s="178" t="s">
        <v>1420</v>
      </c>
      <c r="DG149" s="825" t="s">
        <v>1421</v>
      </c>
      <c r="DH149" s="465">
        <v>915121021</v>
      </c>
      <c r="DI149" s="145" t="s">
        <v>1422</v>
      </c>
      <c r="DJ149" s="145" t="s">
        <v>558</v>
      </c>
      <c r="DK149" s="145" t="s">
        <v>1423</v>
      </c>
      <c r="DL149" s="145" t="s">
        <v>4687</v>
      </c>
      <c r="DM149" s="145"/>
      <c r="DN149" s="145"/>
      <c r="DO149" s="677"/>
      <c r="DP149" s="145"/>
      <c r="DQ149" s="677"/>
      <c r="DR149" s="677"/>
      <c r="DS149" s="145"/>
      <c r="DT149" s="677"/>
      <c r="DU149" s="293"/>
      <c r="DV149" s="677"/>
      <c r="DW149" s="677"/>
      <c r="DX149" s="145"/>
      <c r="DY149" s="677"/>
      <c r="DZ149" s="145"/>
      <c r="EA149" s="145"/>
      <c r="EB149" s="145"/>
      <c r="EC149" s="145"/>
      <c r="ED149" s="145"/>
      <c r="EE149" s="145"/>
      <c r="EF149" s="145"/>
      <c r="EG149" s="145"/>
      <c r="EH149" s="145"/>
      <c r="EI149" s="84"/>
      <c r="EJ149" s="84"/>
      <c r="EK149" s="131"/>
      <c r="EL149" s="91" t="str">
        <f t="shared" si="39"/>
        <v>No se reportó avance</v>
      </c>
      <c r="EM149" s="83" t="str">
        <f t="shared" si="40"/>
        <v>No se reportó avance</v>
      </c>
      <c r="EN149" s="86"/>
      <c r="EO149" s="93" t="str">
        <f t="shared" si="34"/>
        <v>Producto</v>
      </c>
      <c r="EP149" s="93" t="str">
        <f t="shared" si="35"/>
        <v>7</v>
      </c>
    </row>
    <row r="150" spans="1:146" s="93" customFormat="1" ht="150" customHeight="1">
      <c r="A150" s="94" t="s">
        <v>1396</v>
      </c>
      <c r="B150" s="94" t="s">
        <v>1397</v>
      </c>
      <c r="C150" s="97" t="s">
        <v>1398</v>
      </c>
      <c r="D150" s="97" t="s">
        <v>1399</v>
      </c>
      <c r="E150" s="85" t="s">
        <v>1400</v>
      </c>
      <c r="F150" s="94" t="s">
        <v>201</v>
      </c>
      <c r="G150" s="94" t="s">
        <v>201</v>
      </c>
      <c r="H150" s="178"/>
      <c r="I150" s="84" t="s">
        <v>454</v>
      </c>
      <c r="J150" s="84" t="s">
        <v>455</v>
      </c>
      <c r="K150" s="94" t="s">
        <v>535</v>
      </c>
      <c r="L150" s="84">
        <v>1</v>
      </c>
      <c r="M150" s="84" t="s">
        <v>1401</v>
      </c>
      <c r="N150" s="84" t="s">
        <v>1424</v>
      </c>
      <c r="O150" s="84" t="s">
        <v>1403</v>
      </c>
      <c r="P150" s="84" t="s">
        <v>161</v>
      </c>
      <c r="Q150" s="84" t="s">
        <v>275</v>
      </c>
      <c r="R150" s="83">
        <v>0</v>
      </c>
      <c r="S150" s="84" t="s">
        <v>163</v>
      </c>
      <c r="T150" s="90">
        <v>44928</v>
      </c>
      <c r="U150" s="90">
        <v>46387</v>
      </c>
      <c r="V150" s="348">
        <v>0</v>
      </c>
      <c r="W150" s="348">
        <v>0.17860000000000001</v>
      </c>
      <c r="X150" s="348">
        <v>0.46429999999999999</v>
      </c>
      <c r="Y150" s="348">
        <v>0.35709999999999997</v>
      </c>
      <c r="Z150" s="348">
        <v>1</v>
      </c>
      <c r="AA150" s="348">
        <v>0.25</v>
      </c>
      <c r="AB150" s="348">
        <v>0.5</v>
      </c>
      <c r="AC150" s="348">
        <v>0.75</v>
      </c>
      <c r="AD150" s="348">
        <v>1</v>
      </c>
      <c r="AE150" s="348">
        <v>1</v>
      </c>
      <c r="AF150" s="348">
        <v>0.3</v>
      </c>
      <c r="AG150" s="348">
        <v>0.6</v>
      </c>
      <c r="AH150" s="348">
        <v>0.9</v>
      </c>
      <c r="AI150" s="348">
        <v>1</v>
      </c>
      <c r="AJ150" s="348">
        <v>1</v>
      </c>
      <c r="AK150" s="349"/>
      <c r="AL150" s="349"/>
      <c r="AM150" s="349"/>
      <c r="AN150" s="349"/>
      <c r="AO150" s="349"/>
      <c r="AP150" s="348">
        <v>1</v>
      </c>
      <c r="AQ150" s="94"/>
      <c r="AR150" s="94"/>
      <c r="AS150" s="94"/>
      <c r="AT150" s="94"/>
      <c r="AU150" s="94"/>
      <c r="AV150" s="94"/>
      <c r="AW150" s="94"/>
      <c r="AX150" s="94"/>
      <c r="AY150" s="94"/>
      <c r="AZ150" s="106"/>
      <c r="BA150" s="117"/>
      <c r="BB150" s="117"/>
      <c r="BC150" s="117"/>
      <c r="BD150" s="117"/>
      <c r="BE150" s="117"/>
      <c r="BF150" s="117"/>
      <c r="BG150" s="117"/>
      <c r="BH150" s="117"/>
      <c r="BI150" s="350"/>
      <c r="BJ150" s="107"/>
      <c r="BK150" s="350"/>
      <c r="BL150" s="107"/>
      <c r="BM150" s="350"/>
      <c r="BN150" s="107"/>
      <c r="BO150" s="350"/>
      <c r="BP150" s="107"/>
      <c r="BQ150" s="350"/>
      <c r="BR150" s="350"/>
      <c r="BS150" s="350"/>
      <c r="BT150" s="350"/>
      <c r="BU150" s="350"/>
      <c r="BV150" s="350"/>
      <c r="BW150" s="350"/>
      <c r="BX150" s="350"/>
      <c r="BY150" s="350"/>
      <c r="BZ150" s="350"/>
      <c r="CA150" s="350"/>
      <c r="CB150" s="350"/>
      <c r="CC150" s="350"/>
      <c r="CD150" s="350"/>
      <c r="CE150" s="117"/>
      <c r="CF150" s="347"/>
      <c r="CG150" s="625"/>
      <c r="CH150" s="630"/>
      <c r="CI150" s="630"/>
      <c r="CJ150" s="83" t="str">
        <f t="shared" si="28"/>
        <v>No aplica</v>
      </c>
      <c r="CK150" s="83" t="str">
        <f t="shared" si="29"/>
        <v>No aplica</v>
      </c>
      <c r="CL150" s="83" t="str">
        <f t="shared" si="36"/>
        <v>No requiere reporte</v>
      </c>
      <c r="CM150" s="89" t="str">
        <f t="shared" si="37"/>
        <v>No requiere reporte</v>
      </c>
      <c r="CN150" s="89" t="str">
        <f t="shared" si="38"/>
        <v>No requiere reporte</v>
      </c>
      <c r="CO150" s="145" t="s">
        <v>185</v>
      </c>
      <c r="CP150" s="145" t="s">
        <v>1425</v>
      </c>
      <c r="CQ150" s="145" t="s">
        <v>1426</v>
      </c>
      <c r="CR150" s="178" t="s">
        <v>1427</v>
      </c>
      <c r="CS150" s="145" t="s">
        <v>1428</v>
      </c>
      <c r="CT150" s="145" t="s">
        <v>161</v>
      </c>
      <c r="CU150" s="178" t="s">
        <v>233</v>
      </c>
      <c r="CV150" s="178">
        <v>0</v>
      </c>
      <c r="CW150" s="178" t="s">
        <v>234</v>
      </c>
      <c r="CX150" s="688">
        <v>46266</v>
      </c>
      <c r="CY150" s="688">
        <v>46387</v>
      </c>
      <c r="CZ150" s="178">
        <v>0</v>
      </c>
      <c r="DA150" s="178">
        <v>0</v>
      </c>
      <c r="DB150" s="178">
        <v>1</v>
      </c>
      <c r="DC150" s="178">
        <v>1</v>
      </c>
      <c r="DD150" s="178">
        <f>SUM(CZ150:DC150)</f>
        <v>2</v>
      </c>
      <c r="DE150" s="178" t="s">
        <v>396</v>
      </c>
      <c r="DF150" s="178" t="s">
        <v>1420</v>
      </c>
      <c r="DG150" s="825" t="s">
        <v>1421</v>
      </c>
      <c r="DH150" s="465">
        <v>6145558043</v>
      </c>
      <c r="DI150" s="145" t="s">
        <v>1422</v>
      </c>
      <c r="DJ150" s="145" t="s">
        <v>558</v>
      </c>
      <c r="DK150" s="145" t="s">
        <v>1423</v>
      </c>
      <c r="DL150" s="145" t="s">
        <v>4687</v>
      </c>
      <c r="DM150" s="145"/>
      <c r="DN150" s="84"/>
      <c r="DO150" s="86"/>
      <c r="DP150" s="84"/>
      <c r="DQ150" s="86"/>
      <c r="DR150" s="86"/>
      <c r="DS150" s="84"/>
      <c r="DT150" s="86"/>
      <c r="DU150" s="148"/>
      <c r="DV150" s="86"/>
      <c r="DW150" s="86"/>
      <c r="DX150" s="84"/>
      <c r="DY150" s="86"/>
      <c r="DZ150" s="84"/>
      <c r="EA150" s="84"/>
      <c r="EB150" s="84"/>
      <c r="EC150" s="84"/>
      <c r="ED150" s="84"/>
      <c r="EE150" s="84"/>
      <c r="EF150" s="84"/>
      <c r="EG150" s="84"/>
      <c r="EH150" s="84"/>
      <c r="EI150" s="84"/>
      <c r="EJ150" s="84"/>
      <c r="EK150" s="131"/>
      <c r="EL150" s="91" t="str">
        <f t="shared" si="39"/>
        <v>No aplica, no hay meta</v>
      </c>
      <c r="EM150" s="83" t="str">
        <f t="shared" si="40"/>
        <v>No se reportó avance</v>
      </c>
      <c r="EN150" s="86"/>
      <c r="EO150" s="93" t="str">
        <f t="shared" si="34"/>
        <v>Producto</v>
      </c>
      <c r="EP150" s="93" t="str">
        <f t="shared" si="35"/>
        <v>7</v>
      </c>
    </row>
    <row r="151" spans="1:146" s="93" customFormat="1" ht="150" customHeight="1">
      <c r="A151" s="94" t="s">
        <v>1396</v>
      </c>
      <c r="B151" s="94" t="s">
        <v>1397</v>
      </c>
      <c r="C151" s="97" t="s">
        <v>1398</v>
      </c>
      <c r="D151" s="97" t="s">
        <v>1399</v>
      </c>
      <c r="E151" s="85" t="s">
        <v>1400</v>
      </c>
      <c r="F151" s="94" t="s">
        <v>201</v>
      </c>
      <c r="G151" s="94" t="s">
        <v>201</v>
      </c>
      <c r="H151" s="178"/>
      <c r="I151" s="84" t="s">
        <v>454</v>
      </c>
      <c r="J151" s="84" t="s">
        <v>455</v>
      </c>
      <c r="K151" s="94" t="s">
        <v>535</v>
      </c>
      <c r="L151" s="84">
        <v>1</v>
      </c>
      <c r="M151" s="84" t="s">
        <v>1401</v>
      </c>
      <c r="N151" s="84" t="s">
        <v>1424</v>
      </c>
      <c r="O151" s="84" t="s">
        <v>1403</v>
      </c>
      <c r="P151" s="84" t="s">
        <v>161</v>
      </c>
      <c r="Q151" s="84" t="s">
        <v>275</v>
      </c>
      <c r="R151" s="83">
        <v>0</v>
      </c>
      <c r="S151" s="84" t="s">
        <v>163</v>
      </c>
      <c r="T151" s="90">
        <v>44928</v>
      </c>
      <c r="U151" s="90">
        <v>46387</v>
      </c>
      <c r="V151" s="348">
        <v>0</v>
      </c>
      <c r="W151" s="348">
        <v>0.17860000000000001</v>
      </c>
      <c r="X151" s="348">
        <v>0.46429999999999999</v>
      </c>
      <c r="Y151" s="348">
        <v>0.35709999999999997</v>
      </c>
      <c r="Z151" s="348">
        <v>1</v>
      </c>
      <c r="AA151" s="348">
        <v>0.25</v>
      </c>
      <c r="AB151" s="348">
        <v>0.5</v>
      </c>
      <c r="AC151" s="348">
        <v>0.75</v>
      </c>
      <c r="AD151" s="348">
        <v>1</v>
      </c>
      <c r="AE151" s="348">
        <v>1</v>
      </c>
      <c r="AF151" s="348">
        <v>0.3</v>
      </c>
      <c r="AG151" s="348">
        <v>0.6</v>
      </c>
      <c r="AH151" s="348">
        <v>0.9</v>
      </c>
      <c r="AI151" s="348">
        <v>1</v>
      </c>
      <c r="AJ151" s="348">
        <v>1</v>
      </c>
      <c r="AK151" s="349"/>
      <c r="AL151" s="349"/>
      <c r="AM151" s="349"/>
      <c r="AN151" s="349"/>
      <c r="AO151" s="349"/>
      <c r="AP151" s="348">
        <v>1</v>
      </c>
      <c r="AQ151" s="94"/>
      <c r="AR151" s="94"/>
      <c r="AS151" s="94"/>
      <c r="AT151" s="94"/>
      <c r="AU151" s="94"/>
      <c r="AV151" s="94"/>
      <c r="AW151" s="94"/>
      <c r="AX151" s="94"/>
      <c r="AY151" s="94"/>
      <c r="AZ151" s="106"/>
      <c r="BA151" s="117"/>
      <c r="BB151" s="117"/>
      <c r="BC151" s="117"/>
      <c r="BD151" s="117"/>
      <c r="BE151" s="117"/>
      <c r="BF151" s="117"/>
      <c r="BG151" s="117"/>
      <c r="BH151" s="117"/>
      <c r="BI151" s="117"/>
      <c r="BJ151" s="87"/>
      <c r="BK151" s="117"/>
      <c r="BL151" s="87"/>
      <c r="BM151" s="117"/>
      <c r="BN151" s="87"/>
      <c r="BO151" s="117"/>
      <c r="BP151" s="87"/>
      <c r="BQ151" s="117"/>
      <c r="BR151" s="117"/>
      <c r="BS151" s="117"/>
      <c r="BT151" s="117"/>
      <c r="BU151" s="117"/>
      <c r="BV151" s="117"/>
      <c r="BW151" s="117"/>
      <c r="BX151" s="117"/>
      <c r="BY151" s="117"/>
      <c r="BZ151" s="117"/>
      <c r="CA151" s="117"/>
      <c r="CB151" s="117"/>
      <c r="CC151" s="117"/>
      <c r="CD151" s="117"/>
      <c r="CE151" s="117"/>
      <c r="CF151" s="347"/>
      <c r="CG151" s="625"/>
      <c r="CH151" s="630"/>
      <c r="CI151" s="630"/>
      <c r="CJ151" s="83" t="str">
        <f t="shared" si="28"/>
        <v>No aplica</v>
      </c>
      <c r="CK151" s="83" t="str">
        <f t="shared" si="29"/>
        <v>No aplica</v>
      </c>
      <c r="CL151" s="83" t="str">
        <f t="shared" si="36"/>
        <v>No requiere reporte</v>
      </c>
      <c r="CM151" s="89" t="str">
        <f t="shared" si="37"/>
        <v>No requiere reporte</v>
      </c>
      <c r="CN151" s="89" t="str">
        <f t="shared" si="38"/>
        <v>No requiere reporte</v>
      </c>
      <c r="CO151" s="145" t="s">
        <v>190</v>
      </c>
      <c r="CP151" s="145" t="s">
        <v>1429</v>
      </c>
      <c r="CQ151" s="145" t="s">
        <v>1426</v>
      </c>
      <c r="CR151" s="178" t="s">
        <v>1427</v>
      </c>
      <c r="CS151" s="145" t="s">
        <v>1428</v>
      </c>
      <c r="CT151" s="145" t="s">
        <v>161</v>
      </c>
      <c r="CU151" s="178" t="s">
        <v>233</v>
      </c>
      <c r="CV151" s="178">
        <v>0</v>
      </c>
      <c r="CW151" s="178" t="s">
        <v>234</v>
      </c>
      <c r="CX151" s="688">
        <v>46266</v>
      </c>
      <c r="CY151" s="688">
        <v>46387</v>
      </c>
      <c r="CZ151" s="178">
        <v>0</v>
      </c>
      <c r="DA151" s="178">
        <v>0</v>
      </c>
      <c r="DB151" s="178">
        <v>1</v>
      </c>
      <c r="DC151" s="178">
        <v>1</v>
      </c>
      <c r="DD151" s="178">
        <f>SUM(CZ151:DC151)</f>
        <v>2</v>
      </c>
      <c r="DE151" s="178" t="s">
        <v>396</v>
      </c>
      <c r="DF151" s="178" t="s">
        <v>1420</v>
      </c>
      <c r="DG151" s="825" t="s">
        <v>1421</v>
      </c>
      <c r="DH151" s="604">
        <v>350892441</v>
      </c>
      <c r="DI151" s="145" t="s">
        <v>1422</v>
      </c>
      <c r="DJ151" s="145" t="s">
        <v>558</v>
      </c>
      <c r="DK151" s="145" t="s">
        <v>1423</v>
      </c>
      <c r="DL151" s="145" t="s">
        <v>279</v>
      </c>
      <c r="DM151" s="145"/>
      <c r="DN151" s="84"/>
      <c r="DO151" s="86"/>
      <c r="DP151" s="84"/>
      <c r="DQ151" s="86"/>
      <c r="DR151" s="86"/>
      <c r="DS151" s="84"/>
      <c r="DT151" s="86"/>
      <c r="DU151" s="148"/>
      <c r="DV151" s="86"/>
      <c r="DW151" s="86"/>
      <c r="DX151" s="84"/>
      <c r="DY151" s="86"/>
      <c r="DZ151" s="351"/>
      <c r="EA151" s="84"/>
      <c r="EB151" s="84"/>
      <c r="EC151" s="84"/>
      <c r="ED151" s="84"/>
      <c r="EE151" s="84"/>
      <c r="EF151" s="84"/>
      <c r="EG151" s="84"/>
      <c r="EH151" s="84"/>
      <c r="EI151" s="84"/>
      <c r="EJ151" s="84"/>
      <c r="EK151" s="131"/>
      <c r="EL151" s="91" t="str">
        <f t="shared" si="39"/>
        <v>No aplica, no hay meta</v>
      </c>
      <c r="EM151" s="83" t="str">
        <f t="shared" si="40"/>
        <v>No se reportó avance</v>
      </c>
      <c r="EN151" s="86"/>
      <c r="EO151" s="93" t="str">
        <f t="shared" si="34"/>
        <v>Producto</v>
      </c>
      <c r="EP151" s="93" t="str">
        <f t="shared" si="35"/>
        <v>7</v>
      </c>
    </row>
    <row r="152" spans="1:146" s="93" customFormat="1" ht="150" customHeight="1">
      <c r="A152" s="94" t="s">
        <v>1396</v>
      </c>
      <c r="B152" s="94" t="s">
        <v>1397</v>
      </c>
      <c r="C152" s="97" t="s">
        <v>1398</v>
      </c>
      <c r="D152" s="97" t="s">
        <v>1399</v>
      </c>
      <c r="E152" s="85" t="s">
        <v>1400</v>
      </c>
      <c r="F152" s="94" t="s">
        <v>201</v>
      </c>
      <c r="G152" s="94" t="s">
        <v>201</v>
      </c>
      <c r="H152" s="178"/>
      <c r="I152" s="84" t="s">
        <v>454</v>
      </c>
      <c r="J152" s="84" t="s">
        <v>455</v>
      </c>
      <c r="K152" s="94" t="s">
        <v>535</v>
      </c>
      <c r="L152" s="84">
        <v>1</v>
      </c>
      <c r="M152" s="84" t="s">
        <v>1401</v>
      </c>
      <c r="N152" s="84" t="s">
        <v>1424</v>
      </c>
      <c r="O152" s="84" t="s">
        <v>1403</v>
      </c>
      <c r="P152" s="84" t="s">
        <v>161</v>
      </c>
      <c r="Q152" s="84" t="s">
        <v>275</v>
      </c>
      <c r="R152" s="83">
        <v>0</v>
      </c>
      <c r="S152" s="84" t="s">
        <v>163</v>
      </c>
      <c r="T152" s="90">
        <v>44928</v>
      </c>
      <c r="U152" s="90">
        <v>46387</v>
      </c>
      <c r="V152" s="348">
        <v>0</v>
      </c>
      <c r="W152" s="348">
        <v>0.17860000000000001</v>
      </c>
      <c r="X152" s="348">
        <v>0.46429999999999999</v>
      </c>
      <c r="Y152" s="348">
        <v>0.35709999999999997</v>
      </c>
      <c r="Z152" s="348">
        <v>1</v>
      </c>
      <c r="AA152" s="348">
        <v>0.25</v>
      </c>
      <c r="AB152" s="348">
        <v>0.5</v>
      </c>
      <c r="AC152" s="348">
        <v>0.75</v>
      </c>
      <c r="AD152" s="348">
        <v>1</v>
      </c>
      <c r="AE152" s="348">
        <v>1</v>
      </c>
      <c r="AF152" s="348">
        <v>0.3</v>
      </c>
      <c r="AG152" s="348">
        <v>0.6</v>
      </c>
      <c r="AH152" s="348">
        <v>0.9</v>
      </c>
      <c r="AI152" s="348">
        <v>1</v>
      </c>
      <c r="AJ152" s="348">
        <v>1</v>
      </c>
      <c r="AK152" s="349"/>
      <c r="AL152" s="349"/>
      <c r="AM152" s="349"/>
      <c r="AN152" s="349"/>
      <c r="AO152" s="349"/>
      <c r="AP152" s="348">
        <v>1</v>
      </c>
      <c r="AQ152" s="94"/>
      <c r="AR152" s="94"/>
      <c r="AS152" s="94"/>
      <c r="AT152" s="94"/>
      <c r="AU152" s="94"/>
      <c r="AV152" s="94"/>
      <c r="AW152" s="94"/>
      <c r="AX152" s="94"/>
      <c r="AY152" s="94"/>
      <c r="AZ152" s="106"/>
      <c r="BA152" s="117"/>
      <c r="BB152" s="117"/>
      <c r="BC152" s="117"/>
      <c r="BD152" s="117"/>
      <c r="BE152" s="117"/>
      <c r="BF152" s="117"/>
      <c r="BG152" s="117"/>
      <c r="BH152" s="117"/>
      <c r="BI152" s="117"/>
      <c r="BJ152" s="87"/>
      <c r="BK152" s="117"/>
      <c r="BL152" s="87"/>
      <c r="BM152" s="117"/>
      <c r="BN152" s="87"/>
      <c r="BO152" s="117"/>
      <c r="BP152" s="87"/>
      <c r="BQ152" s="117"/>
      <c r="BR152" s="117"/>
      <c r="BS152" s="117"/>
      <c r="BT152" s="117"/>
      <c r="BU152" s="117"/>
      <c r="BV152" s="117"/>
      <c r="BW152" s="117"/>
      <c r="BX152" s="117"/>
      <c r="BY152" s="117"/>
      <c r="BZ152" s="117"/>
      <c r="CA152" s="117"/>
      <c r="CB152" s="117"/>
      <c r="CC152" s="117"/>
      <c r="CD152" s="117"/>
      <c r="CE152" s="117"/>
      <c r="CF152" s="347"/>
      <c r="CG152" s="625"/>
      <c r="CH152" s="630"/>
      <c r="CI152" s="630"/>
      <c r="CJ152" s="83" t="str">
        <f t="shared" si="28"/>
        <v>No aplica</v>
      </c>
      <c r="CK152" s="83" t="str">
        <f t="shared" si="29"/>
        <v>No aplica</v>
      </c>
      <c r="CL152" s="83" t="str">
        <f t="shared" si="36"/>
        <v>No requiere reporte</v>
      </c>
      <c r="CM152" s="89" t="str">
        <f t="shared" si="37"/>
        <v>No requiere reporte</v>
      </c>
      <c r="CN152" s="89" t="str">
        <f t="shared" si="38"/>
        <v>No requiere reporte</v>
      </c>
      <c r="CO152" s="145" t="s">
        <v>195</v>
      </c>
      <c r="CP152" s="145" t="s">
        <v>1430</v>
      </c>
      <c r="CQ152" s="145" t="s">
        <v>1431</v>
      </c>
      <c r="CR152" s="145" t="s">
        <v>1432</v>
      </c>
      <c r="CS152" s="145" t="s">
        <v>1433</v>
      </c>
      <c r="CT152" s="145" t="s">
        <v>161</v>
      </c>
      <c r="CU152" s="178" t="s">
        <v>233</v>
      </c>
      <c r="CV152" s="291">
        <v>0</v>
      </c>
      <c r="CW152" s="178" t="s">
        <v>1434</v>
      </c>
      <c r="CX152" s="688">
        <v>46296</v>
      </c>
      <c r="CY152" s="688">
        <v>46387</v>
      </c>
      <c r="CZ152" s="291">
        <v>0</v>
      </c>
      <c r="DA152" s="689">
        <v>0</v>
      </c>
      <c r="DB152" s="689">
        <v>0</v>
      </c>
      <c r="DC152" s="146">
        <v>1</v>
      </c>
      <c r="DD152" s="146">
        <v>1</v>
      </c>
      <c r="DE152" s="178" t="s">
        <v>396</v>
      </c>
      <c r="DF152" s="178" t="s">
        <v>182</v>
      </c>
      <c r="DG152" s="178" t="s">
        <v>182</v>
      </c>
      <c r="DH152" s="465">
        <v>0</v>
      </c>
      <c r="DI152" s="145" t="s">
        <v>1422</v>
      </c>
      <c r="DJ152" s="145" t="s">
        <v>558</v>
      </c>
      <c r="DK152" s="145" t="s">
        <v>1423</v>
      </c>
      <c r="DL152" s="145" t="s">
        <v>4687</v>
      </c>
      <c r="DM152" s="145"/>
      <c r="DN152" s="84"/>
      <c r="DO152" s="86"/>
      <c r="DP152" s="84"/>
      <c r="DQ152" s="86"/>
      <c r="DR152" s="86"/>
      <c r="DS152" s="83"/>
      <c r="DT152" s="86"/>
      <c r="DU152" s="84"/>
      <c r="DV152" s="86"/>
      <c r="DW152" s="86"/>
      <c r="DX152" s="83"/>
      <c r="DY152" s="86"/>
      <c r="DZ152" s="84"/>
      <c r="EA152" s="86"/>
      <c r="EB152" s="86"/>
      <c r="EC152" s="84"/>
      <c r="ED152" s="84"/>
      <c r="EE152" s="84"/>
      <c r="EF152" s="84"/>
      <c r="EG152" s="84"/>
      <c r="EH152" s="83"/>
      <c r="EI152" s="84"/>
      <c r="EJ152" s="84"/>
      <c r="EK152" s="131"/>
      <c r="EL152" s="91" t="str">
        <f t="shared" si="39"/>
        <v>No aplica, no hay meta</v>
      </c>
      <c r="EM152" s="83" t="str">
        <f t="shared" si="40"/>
        <v>No se reportó avance</v>
      </c>
      <c r="EN152" s="86"/>
      <c r="EO152" s="93" t="str">
        <f t="shared" si="34"/>
        <v>Producto</v>
      </c>
      <c r="EP152" s="93" t="str">
        <f t="shared" si="35"/>
        <v>7</v>
      </c>
    </row>
    <row r="153" spans="1:146" s="93" customFormat="1" ht="150" customHeight="1">
      <c r="A153" s="94" t="s">
        <v>1396</v>
      </c>
      <c r="B153" s="94" t="s">
        <v>1397</v>
      </c>
      <c r="C153" s="97" t="s">
        <v>1398</v>
      </c>
      <c r="D153" s="97" t="s">
        <v>1399</v>
      </c>
      <c r="E153" s="85" t="s">
        <v>1400</v>
      </c>
      <c r="F153" s="94" t="s">
        <v>201</v>
      </c>
      <c r="G153" s="94" t="s">
        <v>201</v>
      </c>
      <c r="H153" s="178"/>
      <c r="I153" s="84" t="s">
        <v>454</v>
      </c>
      <c r="J153" s="84" t="s">
        <v>455</v>
      </c>
      <c r="K153" s="94" t="s">
        <v>535</v>
      </c>
      <c r="L153" s="84">
        <v>1</v>
      </c>
      <c r="M153" s="84" t="s">
        <v>1401</v>
      </c>
      <c r="N153" s="84" t="s">
        <v>1424</v>
      </c>
      <c r="O153" s="84" t="s">
        <v>1403</v>
      </c>
      <c r="P153" s="84" t="s">
        <v>161</v>
      </c>
      <c r="Q153" s="84" t="s">
        <v>275</v>
      </c>
      <c r="R153" s="83">
        <v>0</v>
      </c>
      <c r="S153" s="84" t="s">
        <v>163</v>
      </c>
      <c r="T153" s="90">
        <v>44928</v>
      </c>
      <c r="U153" s="90">
        <v>46387</v>
      </c>
      <c r="V153" s="348">
        <v>0</v>
      </c>
      <c r="W153" s="348">
        <v>0.17860000000000001</v>
      </c>
      <c r="X153" s="348">
        <v>0.46429999999999999</v>
      </c>
      <c r="Y153" s="348">
        <v>0.35709999999999997</v>
      </c>
      <c r="Z153" s="348">
        <v>1</v>
      </c>
      <c r="AA153" s="348">
        <v>0.25</v>
      </c>
      <c r="AB153" s="348">
        <v>0.5</v>
      </c>
      <c r="AC153" s="348">
        <v>0.75</v>
      </c>
      <c r="AD153" s="348">
        <v>1</v>
      </c>
      <c r="AE153" s="348">
        <v>1</v>
      </c>
      <c r="AF153" s="348">
        <v>0.3</v>
      </c>
      <c r="AG153" s="348">
        <v>0.6</v>
      </c>
      <c r="AH153" s="348">
        <v>0.9</v>
      </c>
      <c r="AI153" s="348">
        <v>1</v>
      </c>
      <c r="AJ153" s="348">
        <v>1</v>
      </c>
      <c r="AK153" s="349"/>
      <c r="AL153" s="349"/>
      <c r="AM153" s="349"/>
      <c r="AN153" s="349"/>
      <c r="AO153" s="349"/>
      <c r="AP153" s="348">
        <v>1</v>
      </c>
      <c r="AQ153" s="94"/>
      <c r="AR153" s="94"/>
      <c r="AS153" s="94"/>
      <c r="AT153" s="94"/>
      <c r="AU153" s="94"/>
      <c r="AV153" s="94"/>
      <c r="AW153" s="94"/>
      <c r="AX153" s="94"/>
      <c r="AY153" s="94"/>
      <c r="AZ153" s="106"/>
      <c r="BA153" s="347"/>
      <c r="BB153" s="117"/>
      <c r="BC153" s="352"/>
      <c r="BD153" s="117"/>
      <c r="BE153" s="117"/>
      <c r="BF153" s="117"/>
      <c r="BG153" s="117">
        <f>1000000/2800000</f>
        <v>0.35714285714285715</v>
      </c>
      <c r="BH153" s="117"/>
      <c r="BI153" s="117"/>
      <c r="BJ153" s="87"/>
      <c r="BK153" s="117"/>
      <c r="BL153" s="87"/>
      <c r="BM153" s="117"/>
      <c r="BN153" s="87"/>
      <c r="BO153" s="117"/>
      <c r="BP153" s="87"/>
      <c r="BQ153" s="117"/>
      <c r="BR153" s="117"/>
      <c r="BS153" s="117"/>
      <c r="BT153" s="117"/>
      <c r="BU153" s="117"/>
      <c r="BV153" s="117"/>
      <c r="BW153" s="117"/>
      <c r="BX153" s="117"/>
      <c r="BY153" s="117"/>
      <c r="BZ153" s="117"/>
      <c r="CA153" s="117"/>
      <c r="CB153" s="117"/>
      <c r="CC153" s="117"/>
      <c r="CD153" s="117"/>
      <c r="CE153" s="117"/>
      <c r="CF153" s="347"/>
      <c r="CG153" s="625"/>
      <c r="CH153" s="630"/>
      <c r="CI153" s="630"/>
      <c r="CJ153" s="83" t="str">
        <f t="shared" si="28"/>
        <v>No aplica</v>
      </c>
      <c r="CK153" s="83" t="str">
        <f t="shared" si="29"/>
        <v>No aplica</v>
      </c>
      <c r="CL153" s="83" t="str">
        <f t="shared" si="36"/>
        <v>No requiere reporte</v>
      </c>
      <c r="CM153" s="89" t="str">
        <f t="shared" si="37"/>
        <v>No requiere reporte</v>
      </c>
      <c r="CN153" s="89" t="str">
        <f t="shared" si="38"/>
        <v>No requiere reporte</v>
      </c>
      <c r="CO153" s="145" t="s">
        <v>202</v>
      </c>
      <c r="CP153" s="178" t="s">
        <v>1435</v>
      </c>
      <c r="CQ153" s="145" t="s">
        <v>1426</v>
      </c>
      <c r="CR153" s="178" t="s">
        <v>1427</v>
      </c>
      <c r="CS153" s="145" t="s">
        <v>1428</v>
      </c>
      <c r="CT153" s="145" t="s">
        <v>161</v>
      </c>
      <c r="CU153" s="178" t="s">
        <v>233</v>
      </c>
      <c r="CV153" s="178">
        <v>0</v>
      </c>
      <c r="CW153" s="178" t="s">
        <v>234</v>
      </c>
      <c r="CX153" s="688">
        <v>46266</v>
      </c>
      <c r="CY153" s="688">
        <v>46387</v>
      </c>
      <c r="CZ153" s="178">
        <v>0</v>
      </c>
      <c r="DA153" s="178">
        <v>0</v>
      </c>
      <c r="DB153" s="178">
        <v>1</v>
      </c>
      <c r="DC153" s="178">
        <v>1</v>
      </c>
      <c r="DD153" s="178">
        <f>SUM(CZ153:DC153)</f>
        <v>2</v>
      </c>
      <c r="DE153" s="178" t="s">
        <v>396</v>
      </c>
      <c r="DF153" s="178" t="s">
        <v>1420</v>
      </c>
      <c r="DG153" s="825" t="s">
        <v>1421</v>
      </c>
      <c r="DH153" s="465">
        <v>492636306</v>
      </c>
      <c r="DI153" s="145" t="s">
        <v>1422</v>
      </c>
      <c r="DJ153" s="145" t="s">
        <v>558</v>
      </c>
      <c r="DK153" s="145" t="s">
        <v>1423</v>
      </c>
      <c r="DL153" s="145" t="s">
        <v>279</v>
      </c>
      <c r="DM153" s="145"/>
      <c r="DN153" s="84"/>
      <c r="DO153" s="86"/>
      <c r="DP153" s="84"/>
      <c r="DQ153" s="86"/>
      <c r="DR153" s="86"/>
      <c r="DS153" s="83"/>
      <c r="DT153" s="86"/>
      <c r="DU153" s="84"/>
      <c r="DV153" s="86"/>
      <c r="DW153" s="86"/>
      <c r="DX153" s="83"/>
      <c r="DY153" s="86"/>
      <c r="DZ153" s="84"/>
      <c r="EA153" s="86"/>
      <c r="EB153" s="86"/>
      <c r="EC153" s="84"/>
      <c r="ED153" s="84"/>
      <c r="EE153" s="84"/>
      <c r="EF153" s="84"/>
      <c r="EG153" s="84"/>
      <c r="EH153" s="83"/>
      <c r="EI153" s="84"/>
      <c r="EJ153" s="84"/>
      <c r="EK153" s="131"/>
      <c r="EL153" s="91" t="str">
        <f t="shared" si="39"/>
        <v>No aplica, no hay meta</v>
      </c>
      <c r="EM153" s="83" t="str">
        <f t="shared" si="40"/>
        <v>No se reportó avance</v>
      </c>
      <c r="EN153" s="86"/>
      <c r="EO153" s="93" t="str">
        <f t="shared" si="34"/>
        <v>Producto</v>
      </c>
      <c r="EP153" s="93" t="str">
        <f t="shared" si="35"/>
        <v>7</v>
      </c>
    </row>
    <row r="154" spans="1:146" s="93" customFormat="1" ht="150" customHeight="1">
      <c r="A154" s="94" t="s">
        <v>1396</v>
      </c>
      <c r="B154" s="94" t="s">
        <v>1397</v>
      </c>
      <c r="C154" s="97" t="s">
        <v>1398</v>
      </c>
      <c r="D154" s="97" t="s">
        <v>1399</v>
      </c>
      <c r="E154" s="85" t="s">
        <v>1400</v>
      </c>
      <c r="F154" s="94" t="s">
        <v>201</v>
      </c>
      <c r="G154" s="94" t="s">
        <v>201</v>
      </c>
      <c r="H154" s="178"/>
      <c r="I154" s="84" t="s">
        <v>454</v>
      </c>
      <c r="J154" s="84" t="s">
        <v>455</v>
      </c>
      <c r="K154" s="94" t="s">
        <v>535</v>
      </c>
      <c r="L154" s="84">
        <v>1</v>
      </c>
      <c r="M154" s="84" t="s">
        <v>1401</v>
      </c>
      <c r="N154" s="84" t="s">
        <v>1424</v>
      </c>
      <c r="O154" s="84" t="s">
        <v>1403</v>
      </c>
      <c r="P154" s="84" t="s">
        <v>161</v>
      </c>
      <c r="Q154" s="84" t="s">
        <v>275</v>
      </c>
      <c r="R154" s="83">
        <v>0</v>
      </c>
      <c r="S154" s="84" t="s">
        <v>163</v>
      </c>
      <c r="T154" s="90">
        <v>44928</v>
      </c>
      <c r="U154" s="90">
        <v>46387</v>
      </c>
      <c r="V154" s="348">
        <v>0</v>
      </c>
      <c r="W154" s="348">
        <v>0.17860000000000001</v>
      </c>
      <c r="X154" s="348">
        <v>0.46429999999999999</v>
      </c>
      <c r="Y154" s="348">
        <v>0.35709999999999997</v>
      </c>
      <c r="Z154" s="348">
        <v>1</v>
      </c>
      <c r="AA154" s="348">
        <v>0.25</v>
      </c>
      <c r="AB154" s="348">
        <v>0.5</v>
      </c>
      <c r="AC154" s="348">
        <v>0.75</v>
      </c>
      <c r="AD154" s="348">
        <v>1</v>
      </c>
      <c r="AE154" s="348">
        <v>1</v>
      </c>
      <c r="AF154" s="348">
        <v>0.3</v>
      </c>
      <c r="AG154" s="348">
        <v>0.6</v>
      </c>
      <c r="AH154" s="348">
        <v>0.9</v>
      </c>
      <c r="AI154" s="348">
        <v>1</v>
      </c>
      <c r="AJ154" s="348">
        <v>1</v>
      </c>
      <c r="AK154" s="348"/>
      <c r="AL154" s="348"/>
      <c r="AM154" s="348"/>
      <c r="AN154" s="348"/>
      <c r="AO154" s="348"/>
      <c r="AP154" s="348">
        <v>1</v>
      </c>
      <c r="AQ154" s="94"/>
      <c r="AR154" s="94"/>
      <c r="AS154" s="94"/>
      <c r="AT154" s="94"/>
      <c r="AU154" s="94"/>
      <c r="AV154" s="94"/>
      <c r="AW154" s="94"/>
      <c r="AX154" s="94"/>
      <c r="AY154" s="94"/>
      <c r="AZ154" s="106"/>
      <c r="BA154" s="347"/>
      <c r="BB154" s="117"/>
      <c r="BC154" s="352"/>
      <c r="BD154" s="117"/>
      <c r="BE154" s="117"/>
      <c r="BF154" s="117"/>
      <c r="BG154" s="117">
        <f>1000000/2800000</f>
        <v>0.35714285714285715</v>
      </c>
      <c r="BH154" s="117"/>
      <c r="BI154" s="117"/>
      <c r="BJ154" s="87"/>
      <c r="BK154" s="117"/>
      <c r="BL154" s="87"/>
      <c r="BM154" s="117"/>
      <c r="BN154" s="87"/>
      <c r="BO154" s="117"/>
      <c r="BP154" s="87"/>
      <c r="BQ154" s="117"/>
      <c r="BR154" s="117"/>
      <c r="BS154" s="117"/>
      <c r="BT154" s="117"/>
      <c r="BU154" s="117"/>
      <c r="BV154" s="117"/>
      <c r="BW154" s="117"/>
      <c r="BX154" s="117"/>
      <c r="BY154" s="117"/>
      <c r="BZ154" s="117"/>
      <c r="CA154" s="117"/>
      <c r="CB154" s="117"/>
      <c r="CC154" s="117"/>
      <c r="CD154" s="117"/>
      <c r="CE154" s="117"/>
      <c r="CF154" s="347"/>
      <c r="CG154" s="625"/>
      <c r="CH154" s="630"/>
      <c r="CI154" s="630"/>
      <c r="CJ154" s="83" t="str">
        <f t="shared" si="28"/>
        <v>No aplica</v>
      </c>
      <c r="CK154" s="83" t="str">
        <f t="shared" si="29"/>
        <v>No aplica</v>
      </c>
      <c r="CL154" s="83" t="str">
        <f t="shared" si="36"/>
        <v>No requiere reporte</v>
      </c>
      <c r="CM154" s="89" t="str">
        <f t="shared" si="37"/>
        <v>No requiere reporte</v>
      </c>
      <c r="CN154" s="89" t="str">
        <f t="shared" si="38"/>
        <v>No requiere reporte</v>
      </c>
      <c r="CO154" s="145" t="s">
        <v>775</v>
      </c>
      <c r="CP154" s="178" t="s">
        <v>1436</v>
      </c>
      <c r="CQ154" s="145" t="s">
        <v>1437</v>
      </c>
      <c r="CR154" s="145" t="s">
        <v>1438</v>
      </c>
      <c r="CS154" s="145" t="s">
        <v>1439</v>
      </c>
      <c r="CT154" s="145" t="s">
        <v>161</v>
      </c>
      <c r="CU154" s="145" t="s">
        <v>233</v>
      </c>
      <c r="CV154" s="145">
        <v>0</v>
      </c>
      <c r="CW154" s="145" t="s">
        <v>234</v>
      </c>
      <c r="CX154" s="688">
        <v>46054</v>
      </c>
      <c r="CY154" s="688">
        <v>46387</v>
      </c>
      <c r="CZ154" s="154">
        <v>1</v>
      </c>
      <c r="DA154" s="154">
        <v>1</v>
      </c>
      <c r="DB154" s="154">
        <v>1</v>
      </c>
      <c r="DC154" s="154">
        <v>1</v>
      </c>
      <c r="DD154" s="154">
        <f>SUM(CZ154:DC154)</f>
        <v>4</v>
      </c>
      <c r="DE154" s="178" t="s">
        <v>396</v>
      </c>
      <c r="DF154" s="178" t="s">
        <v>1420</v>
      </c>
      <c r="DG154" s="825" t="s">
        <v>1421</v>
      </c>
      <c r="DH154" s="465">
        <v>96140000</v>
      </c>
      <c r="DI154" s="145" t="s">
        <v>1422</v>
      </c>
      <c r="DJ154" s="145" t="s">
        <v>558</v>
      </c>
      <c r="DK154" s="145" t="s">
        <v>1423</v>
      </c>
      <c r="DL154" s="145" t="s">
        <v>279</v>
      </c>
      <c r="DM154" s="145"/>
      <c r="DN154" s="84"/>
      <c r="DO154" s="86"/>
      <c r="DP154" s="84"/>
      <c r="DQ154" s="86"/>
      <c r="DR154" s="86"/>
      <c r="DS154" s="84"/>
      <c r="DT154" s="86"/>
      <c r="DU154" s="84"/>
      <c r="DV154" s="86"/>
      <c r="DW154" s="86"/>
      <c r="DX154" s="84"/>
      <c r="DY154" s="86"/>
      <c r="DZ154" s="84"/>
      <c r="EA154" s="86"/>
      <c r="EB154" s="86"/>
      <c r="EC154" s="84"/>
      <c r="ED154" s="84"/>
      <c r="EE154" s="84"/>
      <c r="EF154" s="84"/>
      <c r="EG154" s="84"/>
      <c r="EH154" s="84"/>
      <c r="EI154" s="84"/>
      <c r="EJ154" s="84"/>
      <c r="EK154" s="131"/>
      <c r="EL154" s="91" t="str">
        <f t="shared" si="39"/>
        <v>No se reportó avance</v>
      </c>
      <c r="EM154" s="83" t="str">
        <f t="shared" si="40"/>
        <v>No se reportó avance</v>
      </c>
      <c r="EN154" s="86"/>
      <c r="EO154" s="93" t="str">
        <f t="shared" si="34"/>
        <v>Producto</v>
      </c>
      <c r="EP154" s="93" t="str">
        <f t="shared" si="35"/>
        <v>7</v>
      </c>
    </row>
    <row r="155" spans="1:146" s="93" customFormat="1" ht="150" customHeight="1">
      <c r="A155" s="94" t="s">
        <v>1396</v>
      </c>
      <c r="B155" s="94" t="s">
        <v>1397</v>
      </c>
      <c r="C155" s="97" t="s">
        <v>1398</v>
      </c>
      <c r="D155" s="97" t="s">
        <v>1399</v>
      </c>
      <c r="E155" s="85" t="s">
        <v>1400</v>
      </c>
      <c r="F155" s="94" t="s">
        <v>201</v>
      </c>
      <c r="G155" s="94" t="s">
        <v>201</v>
      </c>
      <c r="H155" s="178"/>
      <c r="I155" s="84" t="s">
        <v>454</v>
      </c>
      <c r="J155" s="84" t="s">
        <v>455</v>
      </c>
      <c r="K155" s="94" t="s">
        <v>535</v>
      </c>
      <c r="L155" s="84">
        <v>1</v>
      </c>
      <c r="M155" s="84" t="s">
        <v>1401</v>
      </c>
      <c r="N155" s="84" t="s">
        <v>1424</v>
      </c>
      <c r="O155" s="84" t="s">
        <v>1403</v>
      </c>
      <c r="P155" s="84" t="s">
        <v>161</v>
      </c>
      <c r="Q155" s="84" t="s">
        <v>275</v>
      </c>
      <c r="R155" s="83">
        <v>0</v>
      </c>
      <c r="S155" s="84" t="s">
        <v>163</v>
      </c>
      <c r="T155" s="90">
        <v>44928</v>
      </c>
      <c r="U155" s="90">
        <v>46387</v>
      </c>
      <c r="V155" s="348">
        <v>0</v>
      </c>
      <c r="W155" s="348">
        <v>0.17860000000000001</v>
      </c>
      <c r="X155" s="348">
        <v>0.46429999999999999</v>
      </c>
      <c r="Y155" s="348">
        <v>0.35709999999999997</v>
      </c>
      <c r="Z155" s="348">
        <v>1</v>
      </c>
      <c r="AA155" s="348">
        <v>0.25</v>
      </c>
      <c r="AB155" s="348">
        <v>0.5</v>
      </c>
      <c r="AC155" s="348">
        <v>0.75</v>
      </c>
      <c r="AD155" s="348">
        <v>1</v>
      </c>
      <c r="AE155" s="348">
        <v>1</v>
      </c>
      <c r="AF155" s="348">
        <v>0.3</v>
      </c>
      <c r="AG155" s="348">
        <v>0.6</v>
      </c>
      <c r="AH155" s="348">
        <v>0.9</v>
      </c>
      <c r="AI155" s="348">
        <v>1</v>
      </c>
      <c r="AJ155" s="348">
        <v>1</v>
      </c>
      <c r="AK155" s="349"/>
      <c r="AL155" s="349"/>
      <c r="AM155" s="349"/>
      <c r="AN155" s="349"/>
      <c r="AO155" s="349"/>
      <c r="AP155" s="348">
        <v>1</v>
      </c>
      <c r="AQ155" s="97"/>
      <c r="AR155" s="97"/>
      <c r="AS155" s="97"/>
      <c r="AT155" s="97"/>
      <c r="AU155" s="97"/>
      <c r="AV155" s="97"/>
      <c r="AW155" s="97"/>
      <c r="AX155" s="97"/>
      <c r="AY155" s="97"/>
      <c r="AZ155" s="106"/>
      <c r="BA155" s="347"/>
      <c r="BB155" s="117"/>
      <c r="BC155" s="352"/>
      <c r="BD155" s="117"/>
      <c r="BE155" s="117"/>
      <c r="BF155" s="117"/>
      <c r="BG155" s="117">
        <f>1000000/2800000</f>
        <v>0.35714285714285715</v>
      </c>
      <c r="BH155" s="117"/>
      <c r="BI155" s="117"/>
      <c r="BJ155" s="87"/>
      <c r="BK155" s="117"/>
      <c r="BL155" s="87"/>
      <c r="BM155" s="117"/>
      <c r="BN155" s="87"/>
      <c r="BO155" s="117"/>
      <c r="BP155" s="87"/>
      <c r="BQ155" s="117"/>
      <c r="BR155" s="117"/>
      <c r="BS155" s="117"/>
      <c r="BT155" s="117"/>
      <c r="BU155" s="117"/>
      <c r="BV155" s="117"/>
      <c r="BW155" s="117"/>
      <c r="BX155" s="117"/>
      <c r="BY155" s="117"/>
      <c r="BZ155" s="117"/>
      <c r="CA155" s="117"/>
      <c r="CB155" s="117"/>
      <c r="CC155" s="117"/>
      <c r="CD155" s="117"/>
      <c r="CE155" s="117"/>
      <c r="CF155" s="347"/>
      <c r="CG155" s="625"/>
      <c r="CH155" s="630"/>
      <c r="CI155" s="630"/>
      <c r="CJ155" s="83" t="str">
        <f t="shared" si="28"/>
        <v>No aplica</v>
      </c>
      <c r="CK155" s="83" t="str">
        <f t="shared" si="29"/>
        <v>No aplica</v>
      </c>
      <c r="CL155" s="83" t="str">
        <f t="shared" si="36"/>
        <v>No requiere reporte</v>
      </c>
      <c r="CM155" s="89" t="str">
        <f t="shared" si="37"/>
        <v>No requiere reporte</v>
      </c>
      <c r="CN155" s="89" t="str">
        <f t="shared" si="38"/>
        <v>No requiere reporte</v>
      </c>
      <c r="CO155" s="145" t="s">
        <v>1440</v>
      </c>
      <c r="CP155" s="178" t="s">
        <v>1441</v>
      </c>
      <c r="CQ155" s="145" t="s">
        <v>1442</v>
      </c>
      <c r="CR155" s="145" t="s">
        <v>1443</v>
      </c>
      <c r="CS155" s="145" t="s">
        <v>1443</v>
      </c>
      <c r="CT155" s="145" t="s">
        <v>1444</v>
      </c>
      <c r="CU155" s="145" t="s">
        <v>233</v>
      </c>
      <c r="CV155" s="145">
        <v>0</v>
      </c>
      <c r="CW155" s="145" t="s">
        <v>234</v>
      </c>
      <c r="CX155" s="688">
        <v>46054</v>
      </c>
      <c r="CY155" s="688">
        <v>46387</v>
      </c>
      <c r="CZ155" s="154">
        <v>1</v>
      </c>
      <c r="DA155" s="154">
        <v>1</v>
      </c>
      <c r="DB155" s="154">
        <v>1</v>
      </c>
      <c r="DC155" s="154">
        <v>1</v>
      </c>
      <c r="DD155" s="154">
        <f>SUM(CZ155:DC155)</f>
        <v>4</v>
      </c>
      <c r="DE155" s="178" t="s">
        <v>1445</v>
      </c>
      <c r="DF155" s="178" t="s">
        <v>182</v>
      </c>
      <c r="DG155" s="178" t="s">
        <v>182</v>
      </c>
      <c r="DH155" s="465"/>
      <c r="DI155" s="145" t="s">
        <v>1446</v>
      </c>
      <c r="DJ155" s="145" t="s">
        <v>558</v>
      </c>
      <c r="DK155" s="145" t="s">
        <v>1423</v>
      </c>
      <c r="DL155" s="145" t="s">
        <v>182</v>
      </c>
      <c r="DM155" s="145"/>
      <c r="DN155" s="84"/>
      <c r="DO155" s="86"/>
      <c r="DP155" s="84"/>
      <c r="DQ155" s="86"/>
      <c r="DR155" s="86"/>
      <c r="DS155" s="84"/>
      <c r="DT155" s="86"/>
      <c r="DU155" s="84"/>
      <c r="DV155" s="86"/>
      <c r="DW155" s="86"/>
      <c r="DX155" s="84"/>
      <c r="DY155" s="86"/>
      <c r="DZ155" s="84"/>
      <c r="EA155" s="86"/>
      <c r="EB155" s="86"/>
      <c r="EC155" s="84"/>
      <c r="ED155" s="84"/>
      <c r="EE155" s="84"/>
      <c r="EF155" s="84"/>
      <c r="EG155" s="84"/>
      <c r="EH155" s="84"/>
      <c r="EI155" s="84"/>
      <c r="EJ155" s="84"/>
      <c r="EK155" s="131"/>
      <c r="EL155" s="91" t="str">
        <f t="shared" si="39"/>
        <v>No se reportó avance</v>
      </c>
      <c r="EM155" s="83" t="str">
        <f t="shared" si="40"/>
        <v>No se reportó avance</v>
      </c>
      <c r="EN155" s="86"/>
      <c r="EO155" s="93" t="str">
        <f t="shared" si="34"/>
        <v>Producto</v>
      </c>
      <c r="EP155" s="93" t="str">
        <f t="shared" si="35"/>
        <v>7</v>
      </c>
    </row>
    <row r="156" spans="1:146" s="93" customFormat="1" ht="150" customHeight="1">
      <c r="A156" s="94" t="s">
        <v>1396</v>
      </c>
      <c r="B156" s="94" t="s">
        <v>1397</v>
      </c>
      <c r="C156" s="97" t="s">
        <v>1398</v>
      </c>
      <c r="D156" s="97" t="s">
        <v>1399</v>
      </c>
      <c r="E156" s="85" t="s">
        <v>1400</v>
      </c>
      <c r="F156" s="94" t="s">
        <v>201</v>
      </c>
      <c r="G156" s="94" t="s">
        <v>201</v>
      </c>
      <c r="H156" s="178"/>
      <c r="I156" s="84" t="s">
        <v>454</v>
      </c>
      <c r="J156" s="84" t="s">
        <v>455</v>
      </c>
      <c r="K156" s="94" t="s">
        <v>535</v>
      </c>
      <c r="L156" s="84">
        <v>1</v>
      </c>
      <c r="M156" s="84" t="s">
        <v>1401</v>
      </c>
      <c r="N156" s="84" t="s">
        <v>1424</v>
      </c>
      <c r="O156" s="84" t="s">
        <v>1403</v>
      </c>
      <c r="P156" s="84" t="s">
        <v>161</v>
      </c>
      <c r="Q156" s="84" t="s">
        <v>275</v>
      </c>
      <c r="R156" s="83">
        <v>0</v>
      </c>
      <c r="S156" s="84" t="s">
        <v>163</v>
      </c>
      <c r="T156" s="90">
        <v>44928</v>
      </c>
      <c r="U156" s="90">
        <v>46387</v>
      </c>
      <c r="V156" s="348">
        <v>0</v>
      </c>
      <c r="W156" s="348">
        <v>0.17860000000000001</v>
      </c>
      <c r="X156" s="348">
        <v>0.46429999999999999</v>
      </c>
      <c r="Y156" s="348">
        <v>0.35709999999999997</v>
      </c>
      <c r="Z156" s="348">
        <v>1</v>
      </c>
      <c r="AA156" s="348">
        <v>0.25</v>
      </c>
      <c r="AB156" s="348">
        <v>0.5</v>
      </c>
      <c r="AC156" s="348">
        <v>0.75</v>
      </c>
      <c r="AD156" s="348">
        <v>1</v>
      </c>
      <c r="AE156" s="348">
        <v>1</v>
      </c>
      <c r="AF156" s="348">
        <v>0.3</v>
      </c>
      <c r="AG156" s="348">
        <v>0.6</v>
      </c>
      <c r="AH156" s="348">
        <v>0.9</v>
      </c>
      <c r="AI156" s="348">
        <v>1</v>
      </c>
      <c r="AJ156" s="348">
        <v>1</v>
      </c>
      <c r="AK156" s="348"/>
      <c r="AL156" s="348"/>
      <c r="AM156" s="348"/>
      <c r="AN156" s="348"/>
      <c r="AO156" s="348"/>
      <c r="AP156" s="348">
        <v>1</v>
      </c>
      <c r="AQ156" s="94"/>
      <c r="AR156" s="94"/>
      <c r="AS156" s="94"/>
      <c r="AT156" s="94"/>
      <c r="AU156" s="94"/>
      <c r="AV156" s="94"/>
      <c r="AW156" s="94"/>
      <c r="AX156" s="94"/>
      <c r="AY156" s="94"/>
      <c r="AZ156" s="106"/>
      <c r="BA156" s="347"/>
      <c r="BB156" s="117"/>
      <c r="BC156" s="352"/>
      <c r="BD156" s="117"/>
      <c r="BE156" s="117"/>
      <c r="BF156" s="117"/>
      <c r="BG156" s="117">
        <f>1000000/2800000</f>
        <v>0.35714285714285715</v>
      </c>
      <c r="BH156" s="117"/>
      <c r="BI156" s="117"/>
      <c r="BJ156" s="87"/>
      <c r="BK156" s="117"/>
      <c r="BL156" s="87"/>
      <c r="BM156" s="117"/>
      <c r="BN156" s="87"/>
      <c r="BO156" s="117"/>
      <c r="BP156" s="87"/>
      <c r="BQ156" s="117"/>
      <c r="BR156" s="117"/>
      <c r="BS156" s="117"/>
      <c r="BT156" s="117"/>
      <c r="BU156" s="117"/>
      <c r="BV156" s="117"/>
      <c r="BW156" s="117"/>
      <c r="BX156" s="117"/>
      <c r="BY156" s="117"/>
      <c r="BZ156" s="117"/>
      <c r="CA156" s="117"/>
      <c r="CB156" s="117"/>
      <c r="CC156" s="117"/>
      <c r="CD156" s="117"/>
      <c r="CE156" s="117"/>
      <c r="CF156" s="347"/>
      <c r="CG156" s="625"/>
      <c r="CH156" s="630"/>
      <c r="CI156" s="630"/>
      <c r="CJ156" s="83" t="str">
        <f t="shared" si="28"/>
        <v>No aplica</v>
      </c>
      <c r="CK156" s="83" t="str">
        <f t="shared" si="29"/>
        <v>No aplica</v>
      </c>
      <c r="CL156" s="83" t="str">
        <f t="shared" si="36"/>
        <v>No requiere reporte</v>
      </c>
      <c r="CM156" s="89" t="str">
        <f t="shared" si="37"/>
        <v>No requiere reporte</v>
      </c>
      <c r="CN156" s="89" t="str">
        <f t="shared" si="38"/>
        <v>No requiere reporte</v>
      </c>
      <c r="CO156" s="145" t="s">
        <v>1447</v>
      </c>
      <c r="CP156" s="145" t="s">
        <v>1448</v>
      </c>
      <c r="CQ156" s="145" t="s">
        <v>1449</v>
      </c>
      <c r="CR156" s="145" t="s">
        <v>1450</v>
      </c>
      <c r="CS156" s="145" t="s">
        <v>1450</v>
      </c>
      <c r="CT156" s="145" t="s">
        <v>1444</v>
      </c>
      <c r="CU156" s="145" t="s">
        <v>233</v>
      </c>
      <c r="CV156" s="145">
        <v>0</v>
      </c>
      <c r="CW156" s="145" t="s">
        <v>234</v>
      </c>
      <c r="CX156" s="688">
        <v>46054</v>
      </c>
      <c r="CY156" s="688">
        <v>46387</v>
      </c>
      <c r="CZ156" s="154">
        <v>1</v>
      </c>
      <c r="DA156" s="154">
        <v>1</v>
      </c>
      <c r="DB156" s="154">
        <v>1</v>
      </c>
      <c r="DC156" s="154">
        <v>1</v>
      </c>
      <c r="DD156" s="154">
        <f>SUM(CZ156:DC156)</f>
        <v>4</v>
      </c>
      <c r="DE156" s="178" t="s">
        <v>1445</v>
      </c>
      <c r="DF156" s="178" t="s">
        <v>182</v>
      </c>
      <c r="DG156" s="178" t="s">
        <v>182</v>
      </c>
      <c r="DH156" s="465"/>
      <c r="DI156" s="145" t="s">
        <v>1446</v>
      </c>
      <c r="DJ156" s="145" t="s">
        <v>558</v>
      </c>
      <c r="DK156" s="145" t="s">
        <v>1423</v>
      </c>
      <c r="DL156" s="145" t="s">
        <v>182</v>
      </c>
      <c r="DM156" s="145"/>
      <c r="DN156" s="84"/>
      <c r="DO156" s="86"/>
      <c r="DP156" s="84"/>
      <c r="DQ156" s="86"/>
      <c r="DR156" s="86"/>
      <c r="DS156" s="84"/>
      <c r="DT156" s="86"/>
      <c r="DU156" s="84"/>
      <c r="DV156" s="86"/>
      <c r="DW156" s="86"/>
      <c r="DX156" s="84"/>
      <c r="DY156" s="86"/>
      <c r="DZ156" s="84"/>
      <c r="EA156" s="86"/>
      <c r="EB156" s="86"/>
      <c r="EC156" s="84"/>
      <c r="ED156" s="84"/>
      <c r="EE156" s="84"/>
      <c r="EF156" s="84"/>
      <c r="EG156" s="84"/>
      <c r="EH156" s="84"/>
      <c r="EI156" s="84"/>
      <c r="EJ156" s="84"/>
      <c r="EK156" s="131"/>
      <c r="EL156" s="91" t="str">
        <f t="shared" si="39"/>
        <v>No se reportó avance</v>
      </c>
      <c r="EM156" s="83" t="str">
        <f t="shared" si="40"/>
        <v>No se reportó avance</v>
      </c>
      <c r="EN156" s="86"/>
      <c r="EO156" s="93" t="str">
        <f t="shared" si="34"/>
        <v>Producto</v>
      </c>
      <c r="EP156" s="93" t="str">
        <f t="shared" si="35"/>
        <v>7</v>
      </c>
    </row>
    <row r="157" spans="1:146" s="93" customFormat="1" ht="183.75" customHeight="1">
      <c r="A157" s="98" t="s">
        <v>1396</v>
      </c>
      <c r="B157" s="98" t="s">
        <v>1397</v>
      </c>
      <c r="C157" s="99" t="s">
        <v>1398</v>
      </c>
      <c r="D157" s="99" t="s">
        <v>1399</v>
      </c>
      <c r="E157" s="75" t="s">
        <v>1400</v>
      </c>
      <c r="F157" s="98" t="s">
        <v>201</v>
      </c>
      <c r="G157" s="98" t="s">
        <v>201</v>
      </c>
      <c r="H157" s="342"/>
      <c r="I157" s="74" t="s">
        <v>454</v>
      </c>
      <c r="J157" s="74" t="s">
        <v>455</v>
      </c>
      <c r="K157" s="98" t="s">
        <v>535</v>
      </c>
      <c r="L157" s="78">
        <v>2</v>
      </c>
      <c r="M157" s="78" t="s">
        <v>1451</v>
      </c>
      <c r="N157" s="78" t="s">
        <v>1452</v>
      </c>
      <c r="O157" s="78" t="s">
        <v>1453</v>
      </c>
      <c r="P157" s="78" t="s">
        <v>161</v>
      </c>
      <c r="Q157" s="78" t="s">
        <v>1454</v>
      </c>
      <c r="R157" s="82">
        <v>0</v>
      </c>
      <c r="S157" s="78" t="s">
        <v>163</v>
      </c>
      <c r="T157" s="80">
        <v>44928</v>
      </c>
      <c r="U157" s="80">
        <v>46387</v>
      </c>
      <c r="V157" s="75">
        <v>1</v>
      </c>
      <c r="W157" s="343">
        <v>1</v>
      </c>
      <c r="X157" s="343">
        <v>1</v>
      </c>
      <c r="Y157" s="343">
        <v>1</v>
      </c>
      <c r="Z157" s="79">
        <v>1</v>
      </c>
      <c r="AA157" s="343">
        <v>0.25</v>
      </c>
      <c r="AB157" s="343">
        <v>0.5</v>
      </c>
      <c r="AC157" s="343">
        <v>0.75</v>
      </c>
      <c r="AD157" s="343">
        <v>1</v>
      </c>
      <c r="AE157" s="79">
        <v>1</v>
      </c>
      <c r="AF157" s="79">
        <v>0.3</v>
      </c>
      <c r="AG157" s="79">
        <v>0.6</v>
      </c>
      <c r="AH157" s="79">
        <v>0.9</v>
      </c>
      <c r="AI157" s="79">
        <v>1</v>
      </c>
      <c r="AJ157" s="79">
        <v>1</v>
      </c>
      <c r="AK157" s="142">
        <v>0.2</v>
      </c>
      <c r="AL157" s="142">
        <v>0.35</v>
      </c>
      <c r="AM157" s="142">
        <v>0.7</v>
      </c>
      <c r="AN157" s="142">
        <v>1</v>
      </c>
      <c r="AO157" s="177">
        <v>1</v>
      </c>
      <c r="AP157" s="79">
        <v>1</v>
      </c>
      <c r="AQ157" s="97">
        <v>0.09</v>
      </c>
      <c r="AR157" s="97" t="s">
        <v>1455</v>
      </c>
      <c r="AS157" s="97">
        <v>0.33</v>
      </c>
      <c r="AT157" s="97" t="s">
        <v>1456</v>
      </c>
      <c r="AU157" s="97">
        <v>0.51</v>
      </c>
      <c r="AV157" s="97" t="s">
        <v>1457</v>
      </c>
      <c r="AW157" s="97">
        <v>0.76</v>
      </c>
      <c r="AX157" s="97" t="s">
        <v>1458</v>
      </c>
      <c r="AY157" s="97">
        <v>0.76</v>
      </c>
      <c r="AZ157" s="106" t="s">
        <v>1459</v>
      </c>
      <c r="BA157" s="354">
        <f>(832576250/7451557491)</f>
        <v>0.11173184277321709</v>
      </c>
      <c r="BB157" s="117" t="s">
        <v>1460</v>
      </c>
      <c r="BC157" s="354">
        <f>(1155755610/6554602829)</f>
        <v>0.1763273290772871</v>
      </c>
      <c r="BD157" s="117" t="s">
        <v>1461</v>
      </c>
      <c r="BE157" s="354">
        <f>4182217257/7521687098</f>
        <v>0.55602116952087022</v>
      </c>
      <c r="BF157" s="117" t="s">
        <v>1462</v>
      </c>
      <c r="BG157" s="355">
        <f>SUM(DF157:DF160)</f>
        <v>0</v>
      </c>
      <c r="BH157" s="354"/>
      <c r="BI157" s="354">
        <f>(BE157)</f>
        <v>0.55602116952087022</v>
      </c>
      <c r="BJ157" s="356"/>
      <c r="BK157" s="354">
        <f>725649300.84/5746347491</f>
        <v>0.1262800939164436</v>
      </c>
      <c r="BL157" s="87" t="s">
        <v>1463</v>
      </c>
      <c r="BM157" s="354">
        <f>203372534674/574634749100</f>
        <v>0.35391617891630217</v>
      </c>
      <c r="BN157" s="356" t="s">
        <v>1464</v>
      </c>
      <c r="BO157" s="354">
        <f>3776121313.12/5746347491</f>
        <v>0.65713417419225129</v>
      </c>
      <c r="BP157" s="356" t="s">
        <v>1465</v>
      </c>
      <c r="BQ157" s="354"/>
      <c r="BR157" s="354"/>
      <c r="BS157" s="354">
        <f>3776121313.12/5746347491</f>
        <v>0.65713417419225129</v>
      </c>
      <c r="BT157" s="354"/>
      <c r="BU157" s="354"/>
      <c r="BV157" s="354"/>
      <c r="BW157" s="354"/>
      <c r="BX157" s="354"/>
      <c r="BY157" s="354"/>
      <c r="BZ157" s="354"/>
      <c r="CA157" s="354"/>
      <c r="CB157" s="354"/>
      <c r="CC157" s="354"/>
      <c r="CD157" s="354"/>
      <c r="CE157" s="83" t="s">
        <v>201</v>
      </c>
      <c r="CF157" s="347"/>
      <c r="CG157" s="623">
        <f>+SUM(DH157:DH160)</f>
        <v>9246909897</v>
      </c>
      <c r="CH157" s="624"/>
      <c r="CI157" s="624"/>
      <c r="CJ157" s="83">
        <f t="shared" si="28"/>
        <v>0</v>
      </c>
      <c r="CK157" s="83">
        <f t="shared" si="29"/>
        <v>0</v>
      </c>
      <c r="CL157" s="83" t="str">
        <f t="shared" si="36"/>
        <v>No se reportó avance</v>
      </c>
      <c r="CM157" s="89" t="str">
        <f t="shared" si="37"/>
        <v>No se reportó avance</v>
      </c>
      <c r="CN157" s="89" t="str">
        <f t="shared" si="38"/>
        <v>Revisar fórmula</v>
      </c>
      <c r="CO157" s="178" t="s">
        <v>225</v>
      </c>
      <c r="CP157" s="178" t="s">
        <v>1466</v>
      </c>
      <c r="CQ157" s="178" t="s">
        <v>1467</v>
      </c>
      <c r="CR157" s="178" t="s">
        <v>1468</v>
      </c>
      <c r="CS157" s="178" t="s">
        <v>1469</v>
      </c>
      <c r="CT157" s="178" t="s">
        <v>161</v>
      </c>
      <c r="CU157" s="178" t="s">
        <v>275</v>
      </c>
      <c r="CV157" s="291">
        <v>0</v>
      </c>
      <c r="CW157" s="178" t="s">
        <v>163</v>
      </c>
      <c r="CX157" s="688">
        <v>46024</v>
      </c>
      <c r="CY157" s="663">
        <v>46387</v>
      </c>
      <c r="CZ157" s="689">
        <v>0.15</v>
      </c>
      <c r="DA157" s="689">
        <v>0.35</v>
      </c>
      <c r="DB157" s="689">
        <v>0.7</v>
      </c>
      <c r="DC157" s="689">
        <v>0.85</v>
      </c>
      <c r="DD157" s="689">
        <v>0.85</v>
      </c>
      <c r="DE157" s="178" t="s">
        <v>514</v>
      </c>
      <c r="DF157" s="178" t="s">
        <v>1470</v>
      </c>
      <c r="DG157" s="178" t="s">
        <v>1471</v>
      </c>
      <c r="DH157" s="626">
        <v>6126909897</v>
      </c>
      <c r="DI157" s="146" t="s">
        <v>1472</v>
      </c>
      <c r="DJ157" s="145" t="s">
        <v>358</v>
      </c>
      <c r="DK157" s="145" t="s">
        <v>1473</v>
      </c>
      <c r="DL157" s="145" t="s">
        <v>279</v>
      </c>
      <c r="DM157" s="145"/>
      <c r="DN157" s="354"/>
      <c r="DO157" s="86"/>
      <c r="DP157" s="84"/>
      <c r="DQ157" s="86"/>
      <c r="DR157" s="86"/>
      <c r="DS157" s="83"/>
      <c r="DT157" s="86"/>
      <c r="DU157" s="84"/>
      <c r="DV157" s="86"/>
      <c r="DW157" s="86"/>
      <c r="DX157" s="83"/>
      <c r="DY157" s="86"/>
      <c r="DZ157" s="351"/>
      <c r="EA157" s="86"/>
      <c r="EB157" s="86"/>
      <c r="EC157" s="84"/>
      <c r="ED157" s="84"/>
      <c r="EE157" s="84"/>
      <c r="EF157" s="84"/>
      <c r="EG157" s="84"/>
      <c r="EH157" s="83"/>
      <c r="EI157" s="84"/>
      <c r="EJ157" s="84"/>
      <c r="EK157" s="131"/>
      <c r="EL157" s="91" t="str">
        <f t="shared" si="39"/>
        <v>No se reportó avance</v>
      </c>
      <c r="EM157" s="83" t="str">
        <f t="shared" si="40"/>
        <v>No se reportó avance</v>
      </c>
      <c r="EN157" s="86"/>
      <c r="EO157" s="93" t="str">
        <f t="shared" si="34"/>
        <v>Producto</v>
      </c>
      <c r="EP157" s="93" t="str">
        <f t="shared" si="35"/>
        <v>7</v>
      </c>
    </row>
    <row r="158" spans="1:146" s="93" customFormat="1" ht="150" customHeight="1">
      <c r="A158" s="94" t="s">
        <v>1396</v>
      </c>
      <c r="B158" s="94" t="s">
        <v>1397</v>
      </c>
      <c r="C158" s="97" t="s">
        <v>1398</v>
      </c>
      <c r="D158" s="97" t="s">
        <v>1399</v>
      </c>
      <c r="E158" s="85" t="s">
        <v>1400</v>
      </c>
      <c r="F158" s="94"/>
      <c r="G158" s="94"/>
      <c r="H158" s="178"/>
      <c r="I158" s="84" t="s">
        <v>454</v>
      </c>
      <c r="J158" s="84" t="s">
        <v>455</v>
      </c>
      <c r="K158" s="94" t="s">
        <v>535</v>
      </c>
      <c r="L158" s="84">
        <v>2</v>
      </c>
      <c r="M158" s="84" t="s">
        <v>1451</v>
      </c>
      <c r="N158" s="84" t="s">
        <v>1452</v>
      </c>
      <c r="O158" s="84" t="s">
        <v>1453</v>
      </c>
      <c r="P158" s="84" t="s">
        <v>161</v>
      </c>
      <c r="Q158" s="84" t="s">
        <v>1454</v>
      </c>
      <c r="R158" s="83">
        <v>0</v>
      </c>
      <c r="S158" s="84" t="s">
        <v>163</v>
      </c>
      <c r="T158" s="90">
        <v>44928</v>
      </c>
      <c r="U158" s="90">
        <v>46387</v>
      </c>
      <c r="V158" s="85">
        <v>1</v>
      </c>
      <c r="W158" s="348">
        <v>1</v>
      </c>
      <c r="X158" s="348">
        <v>1</v>
      </c>
      <c r="Y158" s="348">
        <v>1</v>
      </c>
      <c r="Z158" s="85">
        <v>1</v>
      </c>
      <c r="AA158" s="348">
        <v>0.25</v>
      </c>
      <c r="AB158" s="348">
        <v>0.5</v>
      </c>
      <c r="AC158" s="348">
        <v>0.75</v>
      </c>
      <c r="AD158" s="348">
        <v>1</v>
      </c>
      <c r="AE158" s="85">
        <v>1</v>
      </c>
      <c r="AF158" s="85">
        <v>0.3</v>
      </c>
      <c r="AG158" s="85">
        <v>0.6</v>
      </c>
      <c r="AH158" s="85">
        <v>0.9</v>
      </c>
      <c r="AI158" s="85">
        <v>1</v>
      </c>
      <c r="AJ158" s="85">
        <v>1</v>
      </c>
      <c r="AK158" s="157"/>
      <c r="AL158" s="157"/>
      <c r="AM158" s="157"/>
      <c r="AN158" s="157"/>
      <c r="AO158" s="157"/>
      <c r="AP158" s="85">
        <v>1</v>
      </c>
      <c r="AQ158" s="83"/>
      <c r="AR158" s="83"/>
      <c r="AS158" s="83"/>
      <c r="AT158" s="83"/>
      <c r="AU158" s="83"/>
      <c r="AV158" s="83"/>
      <c r="AW158" s="83"/>
      <c r="AX158" s="83"/>
      <c r="AY158" s="83"/>
      <c r="AZ158" s="106"/>
      <c r="BA158" s="94"/>
      <c r="BB158" s="117"/>
      <c r="BC158" s="94"/>
      <c r="BD158" s="117"/>
      <c r="BE158" s="94"/>
      <c r="BF158" s="94"/>
      <c r="BG158" s="94"/>
      <c r="BH158" s="94"/>
      <c r="BI158" s="94"/>
      <c r="BJ158" s="106"/>
      <c r="BK158" s="94"/>
      <c r="BL158" s="106"/>
      <c r="BM158" s="94"/>
      <c r="BN158" s="106"/>
      <c r="BO158" s="94"/>
      <c r="BP158" s="106"/>
      <c r="BQ158" s="94"/>
      <c r="BR158" s="94"/>
      <c r="BS158" s="94"/>
      <c r="BT158" s="94"/>
      <c r="BU158" s="94"/>
      <c r="BV158" s="94"/>
      <c r="BW158" s="94"/>
      <c r="BX158" s="94"/>
      <c r="BY158" s="94"/>
      <c r="BZ158" s="94"/>
      <c r="CA158" s="94"/>
      <c r="CB158" s="94"/>
      <c r="CC158" s="94"/>
      <c r="CD158" s="94"/>
      <c r="CE158" s="94"/>
      <c r="CF158" s="347"/>
      <c r="CG158" s="623"/>
      <c r="CH158" s="630"/>
      <c r="CI158" s="630"/>
      <c r="CJ158" s="83" t="str">
        <f t="shared" si="28"/>
        <v>No aplica</v>
      </c>
      <c r="CK158" s="83" t="str">
        <f t="shared" si="29"/>
        <v>No aplica</v>
      </c>
      <c r="CL158" s="83" t="str">
        <f t="shared" si="36"/>
        <v>No requiere reporte</v>
      </c>
      <c r="CM158" s="89" t="str">
        <f t="shared" si="37"/>
        <v>No requiere reporte</v>
      </c>
      <c r="CN158" s="89" t="str">
        <f t="shared" si="38"/>
        <v>No requiere reporte</v>
      </c>
      <c r="CO158" s="178" t="s">
        <v>313</v>
      </c>
      <c r="CP158" s="178" t="s">
        <v>1474</v>
      </c>
      <c r="CQ158" s="178" t="s">
        <v>1475</v>
      </c>
      <c r="CR158" s="178" t="s">
        <v>1476</v>
      </c>
      <c r="CS158" s="178" t="s">
        <v>1477</v>
      </c>
      <c r="CT158" s="178" t="s">
        <v>200</v>
      </c>
      <c r="CU158" s="178" t="s">
        <v>233</v>
      </c>
      <c r="CV158" s="178">
        <v>1</v>
      </c>
      <c r="CW158" s="178" t="s">
        <v>234</v>
      </c>
      <c r="CX158" s="688">
        <v>46024</v>
      </c>
      <c r="CY158" s="663">
        <v>46387</v>
      </c>
      <c r="CZ158" s="178">
        <v>1</v>
      </c>
      <c r="DA158" s="178"/>
      <c r="DB158" s="178"/>
      <c r="DC158" s="178"/>
      <c r="DD158" s="178">
        <v>1</v>
      </c>
      <c r="DE158" s="178" t="s">
        <v>761</v>
      </c>
      <c r="DF158" s="178" t="s">
        <v>1478</v>
      </c>
      <c r="DG158" s="178" t="s">
        <v>1479</v>
      </c>
      <c r="DH158" s="604">
        <f>900000000+2220000000</f>
        <v>3120000000</v>
      </c>
      <c r="DI158" s="146" t="s">
        <v>1472</v>
      </c>
      <c r="DJ158" s="145" t="s">
        <v>358</v>
      </c>
      <c r="DK158" s="145" t="s">
        <v>1480</v>
      </c>
      <c r="DL158" s="145" t="s">
        <v>279</v>
      </c>
      <c r="DM158" s="145"/>
      <c r="DN158" s="84"/>
      <c r="DO158" s="86"/>
      <c r="DP158" s="148"/>
      <c r="DQ158" s="86"/>
      <c r="DR158" s="86"/>
      <c r="DS158" s="84"/>
      <c r="DT158" s="86"/>
      <c r="DU158" s="84"/>
      <c r="DV158" s="86"/>
      <c r="DW158" s="86"/>
      <c r="DX158" s="84"/>
      <c r="DY158" s="86"/>
      <c r="DZ158" s="351"/>
      <c r="EA158" s="84"/>
      <c r="EB158" s="84"/>
      <c r="EC158" s="84"/>
      <c r="ED158" s="84"/>
      <c r="EE158" s="84"/>
      <c r="EF158" s="84"/>
      <c r="EG158" s="84"/>
      <c r="EH158" s="84"/>
      <c r="EI158" s="84"/>
      <c r="EJ158" s="84"/>
      <c r="EK158" s="131"/>
      <c r="EL158" s="91" t="str">
        <f t="shared" si="39"/>
        <v>No se reportó avance</v>
      </c>
      <c r="EM158" s="83" t="str">
        <f t="shared" si="40"/>
        <v>No se reportó avance</v>
      </c>
      <c r="EN158" s="86"/>
      <c r="EO158" s="93" t="str">
        <f t="shared" si="34"/>
        <v>Producto</v>
      </c>
      <c r="EP158" s="93" t="str">
        <f t="shared" si="35"/>
        <v>7</v>
      </c>
    </row>
    <row r="159" spans="1:146" s="93" customFormat="1" ht="150" customHeight="1">
      <c r="A159" s="94" t="s">
        <v>1396</v>
      </c>
      <c r="B159" s="94" t="s">
        <v>1397</v>
      </c>
      <c r="C159" s="97" t="s">
        <v>1398</v>
      </c>
      <c r="D159" s="97" t="s">
        <v>1399</v>
      </c>
      <c r="E159" s="85" t="s">
        <v>1400</v>
      </c>
      <c r="F159" s="94" t="s">
        <v>201</v>
      </c>
      <c r="G159" s="94" t="s">
        <v>201</v>
      </c>
      <c r="H159" s="178"/>
      <c r="I159" s="84" t="s">
        <v>454</v>
      </c>
      <c r="J159" s="84" t="s">
        <v>455</v>
      </c>
      <c r="K159" s="94" t="s">
        <v>535</v>
      </c>
      <c r="L159" s="84">
        <v>2</v>
      </c>
      <c r="M159" s="84" t="s">
        <v>1451</v>
      </c>
      <c r="N159" s="84" t="s">
        <v>1452</v>
      </c>
      <c r="O159" s="84" t="s">
        <v>1453</v>
      </c>
      <c r="P159" s="84" t="s">
        <v>161</v>
      </c>
      <c r="Q159" s="84" t="s">
        <v>1454</v>
      </c>
      <c r="R159" s="83">
        <v>0</v>
      </c>
      <c r="S159" s="84" t="s">
        <v>163</v>
      </c>
      <c r="T159" s="90">
        <v>44928</v>
      </c>
      <c r="U159" s="90">
        <v>46387</v>
      </c>
      <c r="V159" s="85">
        <v>1</v>
      </c>
      <c r="W159" s="348">
        <v>1</v>
      </c>
      <c r="X159" s="348">
        <v>1</v>
      </c>
      <c r="Y159" s="348">
        <v>1</v>
      </c>
      <c r="Z159" s="85">
        <v>1</v>
      </c>
      <c r="AA159" s="348">
        <v>0.25</v>
      </c>
      <c r="AB159" s="348">
        <v>0.5</v>
      </c>
      <c r="AC159" s="348">
        <v>0.75</v>
      </c>
      <c r="AD159" s="348">
        <v>1</v>
      </c>
      <c r="AE159" s="85">
        <v>1</v>
      </c>
      <c r="AF159" s="85">
        <v>0.3</v>
      </c>
      <c r="AG159" s="85">
        <v>0.6</v>
      </c>
      <c r="AH159" s="85">
        <v>0.9</v>
      </c>
      <c r="AI159" s="85">
        <v>1</v>
      </c>
      <c r="AJ159" s="85">
        <v>1</v>
      </c>
      <c r="AK159" s="157"/>
      <c r="AL159" s="157"/>
      <c r="AM159" s="157"/>
      <c r="AN159" s="157"/>
      <c r="AO159" s="157"/>
      <c r="AP159" s="85">
        <v>1</v>
      </c>
      <c r="AQ159" s="94"/>
      <c r="AR159" s="94"/>
      <c r="AS159" s="94"/>
      <c r="AT159" s="94"/>
      <c r="AU159" s="94"/>
      <c r="AV159" s="94"/>
      <c r="AW159" s="94"/>
      <c r="AX159" s="94"/>
      <c r="AY159" s="94"/>
      <c r="AZ159" s="106"/>
      <c r="BA159" s="94"/>
      <c r="BB159" s="117"/>
      <c r="BC159" s="94"/>
      <c r="BD159" s="117"/>
      <c r="BE159" s="94"/>
      <c r="BF159" s="94"/>
      <c r="BG159" s="94"/>
      <c r="BH159" s="94"/>
      <c r="BI159" s="94"/>
      <c r="BJ159" s="106"/>
      <c r="BK159" s="94"/>
      <c r="BL159" s="106"/>
      <c r="BM159" s="94"/>
      <c r="BN159" s="106"/>
      <c r="BO159" s="94"/>
      <c r="BP159" s="106"/>
      <c r="BQ159" s="94"/>
      <c r="BR159" s="94"/>
      <c r="BS159" s="94"/>
      <c r="BT159" s="94"/>
      <c r="BU159" s="94"/>
      <c r="BV159" s="94"/>
      <c r="BW159" s="94"/>
      <c r="BX159" s="94"/>
      <c r="BY159" s="94"/>
      <c r="BZ159" s="94"/>
      <c r="CA159" s="94"/>
      <c r="CB159" s="94"/>
      <c r="CC159" s="94"/>
      <c r="CD159" s="94"/>
      <c r="CE159" s="94"/>
      <c r="CF159" s="347"/>
      <c r="CG159" s="623"/>
      <c r="CH159" s="630"/>
      <c r="CI159" s="630"/>
      <c r="CJ159" s="83" t="str">
        <f t="shared" si="28"/>
        <v>No aplica</v>
      </c>
      <c r="CK159" s="83" t="str">
        <f t="shared" si="29"/>
        <v>No aplica</v>
      </c>
      <c r="CL159" s="83" t="str">
        <f t="shared" si="36"/>
        <v>No requiere reporte</v>
      </c>
      <c r="CM159" s="89" t="str">
        <f t="shared" si="37"/>
        <v>No requiere reporte</v>
      </c>
      <c r="CN159" s="89" t="str">
        <f t="shared" si="38"/>
        <v>No requiere reporte</v>
      </c>
      <c r="CO159" s="178" t="s">
        <v>318</v>
      </c>
      <c r="CP159" s="178" t="s">
        <v>1481</v>
      </c>
      <c r="CQ159" s="178" t="s">
        <v>516</v>
      </c>
      <c r="CR159" s="178" t="s">
        <v>1482</v>
      </c>
      <c r="CS159" s="178" t="s">
        <v>1483</v>
      </c>
      <c r="CT159" s="178" t="s">
        <v>161</v>
      </c>
      <c r="CU159" s="178" t="s">
        <v>233</v>
      </c>
      <c r="CV159" s="178">
        <v>27</v>
      </c>
      <c r="CW159" s="178" t="s">
        <v>234</v>
      </c>
      <c r="CX159" s="688">
        <v>46113</v>
      </c>
      <c r="CY159" s="663">
        <v>46387</v>
      </c>
      <c r="CZ159" s="357"/>
      <c r="DA159" s="357">
        <v>10</v>
      </c>
      <c r="DB159" s="357">
        <v>9</v>
      </c>
      <c r="DC159" s="357">
        <v>8</v>
      </c>
      <c r="DD159" s="358">
        <v>27</v>
      </c>
      <c r="DE159" s="178" t="s">
        <v>182</v>
      </c>
      <c r="DF159" s="178" t="s">
        <v>182</v>
      </c>
      <c r="DG159" s="178" t="s">
        <v>182</v>
      </c>
      <c r="DH159" s="359">
        <v>0</v>
      </c>
      <c r="DI159" s="146" t="s">
        <v>1472</v>
      </c>
      <c r="DJ159" s="145" t="s">
        <v>1484</v>
      </c>
      <c r="DK159" s="145" t="s">
        <v>1485</v>
      </c>
      <c r="DL159" s="145" t="s">
        <v>182</v>
      </c>
      <c r="DM159" s="145"/>
      <c r="DN159" s="84"/>
      <c r="DO159" s="86"/>
      <c r="DP159" s="84"/>
      <c r="DQ159" s="86"/>
      <c r="DR159" s="86"/>
      <c r="DS159" s="84"/>
      <c r="DT159" s="86"/>
      <c r="DU159" s="84"/>
      <c r="DV159" s="86"/>
      <c r="DW159" s="86"/>
      <c r="DX159" s="84"/>
      <c r="DY159" s="86"/>
      <c r="DZ159" s="351"/>
      <c r="EA159" s="86"/>
      <c r="EB159" s="84"/>
      <c r="EC159" s="84"/>
      <c r="ED159" s="84"/>
      <c r="EE159" s="84"/>
      <c r="EF159" s="84"/>
      <c r="EG159" s="84"/>
      <c r="EH159" s="84"/>
      <c r="EI159" s="84"/>
      <c r="EJ159" s="84"/>
      <c r="EK159" s="131"/>
      <c r="EL159" s="91" t="str">
        <f t="shared" si="39"/>
        <v>No aplica, no hay meta</v>
      </c>
      <c r="EM159" s="83" t="str">
        <f t="shared" si="40"/>
        <v>No se reportó avance</v>
      </c>
      <c r="EN159" s="86"/>
      <c r="EO159" s="93" t="str">
        <f t="shared" si="34"/>
        <v>Producto</v>
      </c>
      <c r="EP159" s="93" t="str">
        <f t="shared" si="35"/>
        <v>7</v>
      </c>
    </row>
    <row r="160" spans="1:146" s="93" customFormat="1" ht="150" customHeight="1">
      <c r="A160" s="94" t="s">
        <v>1396</v>
      </c>
      <c r="B160" s="94" t="s">
        <v>1397</v>
      </c>
      <c r="C160" s="97" t="s">
        <v>1398</v>
      </c>
      <c r="D160" s="97" t="s">
        <v>1399</v>
      </c>
      <c r="E160" s="85" t="s">
        <v>1400</v>
      </c>
      <c r="F160" s="94" t="s">
        <v>201</v>
      </c>
      <c r="G160" s="94" t="s">
        <v>201</v>
      </c>
      <c r="H160" s="178"/>
      <c r="I160" s="84" t="s">
        <v>454</v>
      </c>
      <c r="J160" s="84" t="s">
        <v>455</v>
      </c>
      <c r="K160" s="94" t="s">
        <v>535</v>
      </c>
      <c r="L160" s="84">
        <v>2</v>
      </c>
      <c r="M160" s="84" t="s">
        <v>1451</v>
      </c>
      <c r="N160" s="84" t="s">
        <v>1452</v>
      </c>
      <c r="O160" s="84" t="s">
        <v>1453</v>
      </c>
      <c r="P160" s="84" t="s">
        <v>161</v>
      </c>
      <c r="Q160" s="84" t="s">
        <v>1454</v>
      </c>
      <c r="R160" s="83">
        <v>0</v>
      </c>
      <c r="S160" s="84" t="s">
        <v>163</v>
      </c>
      <c r="T160" s="90">
        <v>44928</v>
      </c>
      <c r="U160" s="90">
        <v>46387</v>
      </c>
      <c r="V160" s="85">
        <v>1</v>
      </c>
      <c r="W160" s="348">
        <v>1</v>
      </c>
      <c r="X160" s="348">
        <v>1</v>
      </c>
      <c r="Y160" s="348">
        <v>1</v>
      </c>
      <c r="Z160" s="85">
        <v>1</v>
      </c>
      <c r="AA160" s="348">
        <v>0.25</v>
      </c>
      <c r="AB160" s="348">
        <v>0.5</v>
      </c>
      <c r="AC160" s="348">
        <v>0.75</v>
      </c>
      <c r="AD160" s="348">
        <v>1</v>
      </c>
      <c r="AE160" s="85">
        <v>1</v>
      </c>
      <c r="AF160" s="85">
        <v>0.3</v>
      </c>
      <c r="AG160" s="85">
        <v>0.6</v>
      </c>
      <c r="AH160" s="85">
        <v>0.9</v>
      </c>
      <c r="AI160" s="85">
        <v>1</v>
      </c>
      <c r="AJ160" s="85">
        <v>1</v>
      </c>
      <c r="AK160" s="157"/>
      <c r="AL160" s="157"/>
      <c r="AM160" s="157"/>
      <c r="AN160" s="157"/>
      <c r="AO160" s="157"/>
      <c r="AP160" s="85">
        <v>1</v>
      </c>
      <c r="AQ160" s="94"/>
      <c r="AR160" s="94"/>
      <c r="AS160" s="94"/>
      <c r="AT160" s="94"/>
      <c r="AU160" s="94"/>
      <c r="AV160" s="94"/>
      <c r="AW160" s="94"/>
      <c r="AX160" s="94"/>
      <c r="AY160" s="94"/>
      <c r="AZ160" s="106"/>
      <c r="BA160" s="94"/>
      <c r="BB160" s="117"/>
      <c r="BC160" s="94"/>
      <c r="BD160" s="117"/>
      <c r="BE160" s="94"/>
      <c r="BF160" s="94"/>
      <c r="BG160" s="94"/>
      <c r="BH160" s="94"/>
      <c r="BI160" s="94"/>
      <c r="BJ160" s="106"/>
      <c r="BK160" s="94"/>
      <c r="BL160" s="106"/>
      <c r="BM160" s="94"/>
      <c r="BN160" s="106"/>
      <c r="BO160" s="94"/>
      <c r="BP160" s="106"/>
      <c r="BQ160" s="94"/>
      <c r="BR160" s="94"/>
      <c r="BS160" s="94"/>
      <c r="BT160" s="94"/>
      <c r="BU160" s="94"/>
      <c r="BV160" s="94"/>
      <c r="BW160" s="94"/>
      <c r="BX160" s="94"/>
      <c r="BY160" s="94"/>
      <c r="BZ160" s="94"/>
      <c r="CA160" s="94"/>
      <c r="CB160" s="94"/>
      <c r="CC160" s="94"/>
      <c r="CD160" s="94"/>
      <c r="CE160" s="94"/>
      <c r="CF160" s="347"/>
      <c r="CG160" s="623"/>
      <c r="CH160" s="630"/>
      <c r="CI160" s="630"/>
      <c r="CJ160" s="83" t="str">
        <f t="shared" si="28"/>
        <v>No aplica</v>
      </c>
      <c r="CK160" s="83" t="str">
        <f t="shared" si="29"/>
        <v>No aplica</v>
      </c>
      <c r="CL160" s="83" t="str">
        <f t="shared" si="36"/>
        <v>No requiere reporte</v>
      </c>
      <c r="CM160" s="89" t="str">
        <f t="shared" si="37"/>
        <v>No requiere reporte</v>
      </c>
      <c r="CN160" s="89" t="str">
        <f t="shared" si="38"/>
        <v>No requiere reporte</v>
      </c>
      <c r="CO160" s="178" t="s">
        <v>322</v>
      </c>
      <c r="CP160" s="178" t="s">
        <v>1486</v>
      </c>
      <c r="CQ160" s="178" t="s">
        <v>1475</v>
      </c>
      <c r="CR160" s="178" t="s">
        <v>1487</v>
      </c>
      <c r="CS160" s="178" t="s">
        <v>1488</v>
      </c>
      <c r="CT160" s="178" t="s">
        <v>200</v>
      </c>
      <c r="CU160" s="178" t="s">
        <v>233</v>
      </c>
      <c r="CV160" s="178">
        <v>0</v>
      </c>
      <c r="CW160" s="178" t="s">
        <v>234</v>
      </c>
      <c r="CX160" s="688">
        <v>46296</v>
      </c>
      <c r="CY160" s="663">
        <v>46387</v>
      </c>
      <c r="CZ160" s="178"/>
      <c r="DA160" s="178"/>
      <c r="DB160" s="178"/>
      <c r="DC160" s="178">
        <v>1</v>
      </c>
      <c r="DD160" s="178">
        <v>1</v>
      </c>
      <c r="DE160" s="178" t="s">
        <v>182</v>
      </c>
      <c r="DF160" s="178" t="s">
        <v>182</v>
      </c>
      <c r="DG160" s="178" t="s">
        <v>182</v>
      </c>
      <c r="DH160" s="359">
        <v>0</v>
      </c>
      <c r="DI160" s="146" t="s">
        <v>1472</v>
      </c>
      <c r="DJ160" s="145" t="s">
        <v>1484</v>
      </c>
      <c r="DK160" s="145" t="s">
        <v>1485</v>
      </c>
      <c r="DL160" s="145" t="s">
        <v>182</v>
      </c>
      <c r="DM160" s="145"/>
      <c r="DN160" s="84"/>
      <c r="DO160" s="86"/>
      <c r="DP160" s="84"/>
      <c r="DQ160" s="86"/>
      <c r="DR160" s="86"/>
      <c r="DS160" s="84"/>
      <c r="DT160" s="86"/>
      <c r="DU160" s="84"/>
      <c r="DV160" s="86"/>
      <c r="DW160" s="86"/>
      <c r="DX160" s="84"/>
      <c r="DY160" s="84"/>
      <c r="DZ160" s="84"/>
      <c r="EA160" s="84"/>
      <c r="EB160" s="84"/>
      <c r="EC160" s="84"/>
      <c r="ED160" s="84"/>
      <c r="EE160" s="84"/>
      <c r="EF160" s="84"/>
      <c r="EG160" s="84"/>
      <c r="EH160" s="84"/>
      <c r="EI160" s="84"/>
      <c r="EJ160" s="84"/>
      <c r="EK160" s="131"/>
      <c r="EL160" s="91" t="str">
        <f t="shared" si="39"/>
        <v>No aplica, no hay meta</v>
      </c>
      <c r="EM160" s="83" t="str">
        <f t="shared" si="40"/>
        <v>No se reportó avance</v>
      </c>
      <c r="EN160" s="86"/>
      <c r="EO160" s="93" t="str">
        <f t="shared" si="34"/>
        <v>Producto</v>
      </c>
      <c r="EP160" s="93" t="str">
        <f t="shared" si="35"/>
        <v>7</v>
      </c>
    </row>
    <row r="161" spans="1:146" s="93" customFormat="1" ht="150" customHeight="1">
      <c r="A161" s="74" t="s">
        <v>1396</v>
      </c>
      <c r="B161" s="74" t="s">
        <v>1397</v>
      </c>
      <c r="C161" s="99" t="s">
        <v>1398</v>
      </c>
      <c r="D161" s="99" t="s">
        <v>1399</v>
      </c>
      <c r="E161" s="75" t="s">
        <v>1400</v>
      </c>
      <c r="F161" s="98" t="s">
        <v>201</v>
      </c>
      <c r="G161" s="98" t="s">
        <v>201</v>
      </c>
      <c r="H161" s="342"/>
      <c r="I161" s="74" t="s">
        <v>454</v>
      </c>
      <c r="J161" s="74" t="s">
        <v>455</v>
      </c>
      <c r="K161" s="98" t="s">
        <v>535</v>
      </c>
      <c r="L161" s="78">
        <v>3</v>
      </c>
      <c r="M161" s="78" t="s">
        <v>1489</v>
      </c>
      <c r="N161" s="78" t="s">
        <v>1490</v>
      </c>
      <c r="O161" s="78" t="s">
        <v>1491</v>
      </c>
      <c r="P161" s="78" t="s">
        <v>161</v>
      </c>
      <c r="Q161" s="78" t="s">
        <v>275</v>
      </c>
      <c r="R161" s="82">
        <v>0</v>
      </c>
      <c r="S161" s="78" t="s">
        <v>163</v>
      </c>
      <c r="T161" s="80">
        <v>44928</v>
      </c>
      <c r="U161" s="80">
        <v>46387</v>
      </c>
      <c r="V161" s="75">
        <v>0.25</v>
      </c>
      <c r="W161" s="343">
        <v>0.5</v>
      </c>
      <c r="X161" s="343">
        <v>0.75</v>
      </c>
      <c r="Y161" s="343">
        <v>1</v>
      </c>
      <c r="Z161" s="82">
        <v>1</v>
      </c>
      <c r="AA161" s="343">
        <v>0.25</v>
      </c>
      <c r="AB161" s="343">
        <v>0.5</v>
      </c>
      <c r="AC161" s="343">
        <v>0.75</v>
      </c>
      <c r="AD161" s="343">
        <v>1</v>
      </c>
      <c r="AE161" s="82">
        <v>1</v>
      </c>
      <c r="AF161" s="82">
        <v>0.3</v>
      </c>
      <c r="AG161" s="82">
        <v>0.6</v>
      </c>
      <c r="AH161" s="82">
        <v>0.9</v>
      </c>
      <c r="AI161" s="82">
        <v>1</v>
      </c>
      <c r="AJ161" s="82">
        <v>1</v>
      </c>
      <c r="AK161" s="142">
        <v>0.2</v>
      </c>
      <c r="AL161" s="142">
        <v>0.35</v>
      </c>
      <c r="AM161" s="142">
        <v>0.7</v>
      </c>
      <c r="AN161" s="142">
        <v>1</v>
      </c>
      <c r="AO161" s="177">
        <v>1</v>
      </c>
      <c r="AP161" s="82">
        <v>1</v>
      </c>
      <c r="AQ161" s="97">
        <v>0.25</v>
      </c>
      <c r="AR161" s="97" t="s">
        <v>1492</v>
      </c>
      <c r="AS161" s="97">
        <v>0.5</v>
      </c>
      <c r="AT161" s="97" t="s">
        <v>1493</v>
      </c>
      <c r="AU161" s="97">
        <v>0.75</v>
      </c>
      <c r="AV161" s="97" t="s">
        <v>1494</v>
      </c>
      <c r="AW161" s="97">
        <v>1</v>
      </c>
      <c r="AX161" s="97" t="s">
        <v>1495</v>
      </c>
      <c r="AY161" s="97">
        <v>1</v>
      </c>
      <c r="AZ161" s="106" t="s">
        <v>1495</v>
      </c>
      <c r="BA161" s="348">
        <f>(3/12)</f>
        <v>0.25</v>
      </c>
      <c r="BB161" s="117" t="s">
        <v>1496</v>
      </c>
      <c r="BC161" s="348">
        <f>(6/12)</f>
        <v>0.5</v>
      </c>
      <c r="BD161" s="117" t="s">
        <v>1497</v>
      </c>
      <c r="BE161" s="348">
        <f>(9/12)</f>
        <v>0.75</v>
      </c>
      <c r="BF161" s="117" t="s">
        <v>1498</v>
      </c>
      <c r="BG161" s="348">
        <f>(12/12)</f>
        <v>1</v>
      </c>
      <c r="BH161" s="348" t="s">
        <v>1499</v>
      </c>
      <c r="BI161" s="83">
        <f>12/12</f>
        <v>1</v>
      </c>
      <c r="BJ161" s="86" t="s">
        <v>1500</v>
      </c>
      <c r="BK161" s="85">
        <f>3/12</f>
        <v>0.25</v>
      </c>
      <c r="BL161" s="87" t="s">
        <v>1501</v>
      </c>
      <c r="BM161" s="83">
        <f>6/12</f>
        <v>0.5</v>
      </c>
      <c r="BN161" s="87" t="s">
        <v>1502</v>
      </c>
      <c r="BO161" s="83">
        <f>9/12</f>
        <v>0.75</v>
      </c>
      <c r="BP161" s="87" t="s">
        <v>1503</v>
      </c>
      <c r="BQ161" s="83"/>
      <c r="BR161" s="83"/>
      <c r="BS161" s="83">
        <f>9/12</f>
        <v>0.75</v>
      </c>
      <c r="BT161" s="83"/>
      <c r="BU161" s="83"/>
      <c r="BV161" s="83"/>
      <c r="BW161" s="83"/>
      <c r="BX161" s="83"/>
      <c r="BY161" s="83"/>
      <c r="BZ161" s="83"/>
      <c r="CA161" s="83"/>
      <c r="CB161" s="83"/>
      <c r="CC161" s="83"/>
      <c r="CD161" s="83"/>
      <c r="CE161" s="83" t="s">
        <v>201</v>
      </c>
      <c r="CF161" s="347"/>
      <c r="CG161" s="625">
        <v>0</v>
      </c>
      <c r="CH161" s="624"/>
      <c r="CI161" s="624"/>
      <c r="CJ161" s="83" t="str">
        <f t="shared" si="28"/>
        <v>No aplica</v>
      </c>
      <c r="CK161" s="83" t="str">
        <f t="shared" si="29"/>
        <v>No aplica</v>
      </c>
      <c r="CL161" s="83" t="str">
        <f t="shared" si="36"/>
        <v>No se reportó avance</v>
      </c>
      <c r="CM161" s="89" t="str">
        <f t="shared" si="37"/>
        <v>No se reportó avance</v>
      </c>
      <c r="CN161" s="89" t="str">
        <f t="shared" si="38"/>
        <v>Revisar fórmula</v>
      </c>
      <c r="CO161" s="178" t="s">
        <v>236</v>
      </c>
      <c r="CP161" s="178" t="s">
        <v>1504</v>
      </c>
      <c r="CQ161" s="178" t="s">
        <v>484</v>
      </c>
      <c r="CR161" s="178" t="s">
        <v>1505</v>
      </c>
      <c r="CS161" s="145" t="s">
        <v>1506</v>
      </c>
      <c r="CT161" s="145" t="s">
        <v>1444</v>
      </c>
      <c r="CU161" s="145" t="s">
        <v>1454</v>
      </c>
      <c r="CV161" s="157">
        <v>0</v>
      </c>
      <c r="CW161" s="145" t="s">
        <v>1434</v>
      </c>
      <c r="CX161" s="688">
        <v>46024</v>
      </c>
      <c r="CY161" s="663">
        <v>46387</v>
      </c>
      <c r="CZ161" s="157">
        <v>0.25</v>
      </c>
      <c r="DA161" s="157">
        <v>0.5</v>
      </c>
      <c r="DB161" s="157">
        <v>0.75</v>
      </c>
      <c r="DC161" s="146">
        <v>1</v>
      </c>
      <c r="DD161" s="146">
        <v>1</v>
      </c>
      <c r="DE161" s="178" t="s">
        <v>182</v>
      </c>
      <c r="DF161" s="178" t="s">
        <v>182</v>
      </c>
      <c r="DG161" s="178" t="s">
        <v>182</v>
      </c>
      <c r="DH161" s="359">
        <v>0</v>
      </c>
      <c r="DI161" s="146" t="s">
        <v>1507</v>
      </c>
      <c r="DJ161" s="145" t="s">
        <v>358</v>
      </c>
      <c r="DK161" s="145" t="s">
        <v>1508</v>
      </c>
      <c r="DL161" s="145" t="s">
        <v>182</v>
      </c>
      <c r="DM161" s="145"/>
      <c r="DN161" s="85"/>
      <c r="DO161" s="86"/>
      <c r="DP161" s="84"/>
      <c r="DQ161" s="86"/>
      <c r="DR161" s="86"/>
      <c r="DS161" s="83"/>
      <c r="DT161" s="86"/>
      <c r="DU161" s="84"/>
      <c r="DV161" s="86"/>
      <c r="DW161" s="86"/>
      <c r="DX161" s="83"/>
      <c r="DY161" s="86"/>
      <c r="DZ161" s="351"/>
      <c r="EA161" s="86"/>
      <c r="EB161" s="86"/>
      <c r="EC161" s="84"/>
      <c r="ED161" s="84"/>
      <c r="EE161" s="84"/>
      <c r="EF161" s="84"/>
      <c r="EG161" s="84"/>
      <c r="EH161" s="83"/>
      <c r="EI161" s="84"/>
      <c r="EJ161" s="84"/>
      <c r="EK161" s="131"/>
      <c r="EL161" s="91" t="str">
        <f t="shared" si="39"/>
        <v>No se reportó avance</v>
      </c>
      <c r="EM161" s="83" t="str">
        <f t="shared" si="40"/>
        <v>No se reportó avance</v>
      </c>
      <c r="EN161" s="86"/>
      <c r="EO161" s="93" t="str">
        <f t="shared" si="34"/>
        <v>Producto</v>
      </c>
      <c r="EP161" s="93" t="str">
        <f t="shared" si="35"/>
        <v>7</v>
      </c>
    </row>
    <row r="162" spans="1:146" s="93" customFormat="1" ht="150" customHeight="1">
      <c r="A162" s="84" t="s">
        <v>1396</v>
      </c>
      <c r="B162" s="94" t="s">
        <v>1397</v>
      </c>
      <c r="C162" s="97" t="s">
        <v>1398</v>
      </c>
      <c r="D162" s="97" t="s">
        <v>1399</v>
      </c>
      <c r="E162" s="85" t="s">
        <v>1400</v>
      </c>
      <c r="F162" s="94" t="s">
        <v>201</v>
      </c>
      <c r="G162" s="94" t="s">
        <v>201</v>
      </c>
      <c r="H162" s="178"/>
      <c r="I162" s="84" t="s">
        <v>454</v>
      </c>
      <c r="J162" s="84" t="s">
        <v>455</v>
      </c>
      <c r="K162" s="94" t="s">
        <v>535</v>
      </c>
      <c r="L162" s="84">
        <v>3</v>
      </c>
      <c r="M162" s="84" t="s">
        <v>1489</v>
      </c>
      <c r="N162" s="84" t="s">
        <v>1490</v>
      </c>
      <c r="O162" s="84" t="s">
        <v>1491</v>
      </c>
      <c r="P162" s="84" t="s">
        <v>161</v>
      </c>
      <c r="Q162" s="84" t="s">
        <v>275</v>
      </c>
      <c r="R162" s="83">
        <v>0</v>
      </c>
      <c r="S162" s="84" t="s">
        <v>163</v>
      </c>
      <c r="T162" s="90">
        <v>44928</v>
      </c>
      <c r="U162" s="90">
        <v>46387</v>
      </c>
      <c r="V162" s="85">
        <v>0.25</v>
      </c>
      <c r="W162" s="348">
        <v>0.5</v>
      </c>
      <c r="X162" s="348">
        <v>0.75</v>
      </c>
      <c r="Y162" s="348">
        <v>1</v>
      </c>
      <c r="Z162" s="83">
        <v>1</v>
      </c>
      <c r="AA162" s="348">
        <v>0.25</v>
      </c>
      <c r="AB162" s="348">
        <v>0.5</v>
      </c>
      <c r="AC162" s="348">
        <v>0.75</v>
      </c>
      <c r="AD162" s="348">
        <v>1</v>
      </c>
      <c r="AE162" s="83">
        <v>1</v>
      </c>
      <c r="AF162" s="83">
        <v>0.3</v>
      </c>
      <c r="AG162" s="83">
        <v>0.6</v>
      </c>
      <c r="AH162" s="83">
        <v>0.9</v>
      </c>
      <c r="AI162" s="83">
        <v>1</v>
      </c>
      <c r="AJ162" s="83">
        <v>1</v>
      </c>
      <c r="AK162" s="146"/>
      <c r="AL162" s="146"/>
      <c r="AM162" s="146"/>
      <c r="AN162" s="146"/>
      <c r="AO162" s="146"/>
      <c r="AP162" s="83">
        <v>1</v>
      </c>
      <c r="AQ162" s="83"/>
      <c r="AR162" s="83"/>
      <c r="AS162" s="83"/>
      <c r="AT162" s="83"/>
      <c r="AU162" s="83"/>
      <c r="AV162" s="83"/>
      <c r="AW162" s="83"/>
      <c r="AX162" s="83"/>
      <c r="AY162" s="83"/>
      <c r="AZ162" s="106"/>
      <c r="BA162" s="114"/>
      <c r="BB162" s="117"/>
      <c r="BC162" s="114"/>
      <c r="BD162" s="117"/>
      <c r="BE162" s="94"/>
      <c r="BF162" s="94"/>
      <c r="BG162" s="94"/>
      <c r="BH162" s="94"/>
      <c r="BI162" s="131"/>
      <c r="BJ162" s="153"/>
      <c r="BK162" s="131"/>
      <c r="BL162" s="153"/>
      <c r="BM162" s="131"/>
      <c r="BN162" s="153"/>
      <c r="BO162" s="131"/>
      <c r="BP162" s="153"/>
      <c r="BQ162" s="131"/>
      <c r="BR162" s="131"/>
      <c r="BS162" s="131"/>
      <c r="BT162" s="131"/>
      <c r="BU162" s="131"/>
      <c r="BV162" s="131"/>
      <c r="BW162" s="131"/>
      <c r="BX162" s="131"/>
      <c r="BY162" s="131"/>
      <c r="BZ162" s="131"/>
      <c r="CA162" s="131"/>
      <c r="CB162" s="131"/>
      <c r="CC162" s="131"/>
      <c r="CD162" s="131"/>
      <c r="CE162" s="131"/>
      <c r="CF162" s="347"/>
      <c r="CG162" s="627"/>
      <c r="CH162" s="630"/>
      <c r="CI162" s="630"/>
      <c r="CJ162" s="83" t="str">
        <f t="shared" si="28"/>
        <v>No aplica</v>
      </c>
      <c r="CK162" s="83" t="str">
        <f t="shared" si="29"/>
        <v>No aplica</v>
      </c>
      <c r="CL162" s="83" t="str">
        <f t="shared" si="36"/>
        <v>No requiere reporte</v>
      </c>
      <c r="CM162" s="89" t="str">
        <f t="shared" si="37"/>
        <v>No requiere reporte</v>
      </c>
      <c r="CN162" s="89" t="str">
        <f t="shared" si="38"/>
        <v>No requiere reporte</v>
      </c>
      <c r="CO162" s="145" t="s">
        <v>361</v>
      </c>
      <c r="CP162" s="178" t="s">
        <v>1509</v>
      </c>
      <c r="CQ162" s="178" t="s">
        <v>1510</v>
      </c>
      <c r="CR162" s="145" t="s">
        <v>1511</v>
      </c>
      <c r="CS162" s="145" t="s">
        <v>1511</v>
      </c>
      <c r="CT162" s="145" t="s">
        <v>161</v>
      </c>
      <c r="CU162" s="145" t="s">
        <v>162</v>
      </c>
      <c r="CV162" s="157">
        <v>0</v>
      </c>
      <c r="CW162" s="145" t="s">
        <v>1434</v>
      </c>
      <c r="CX162" s="688">
        <v>46024</v>
      </c>
      <c r="CY162" s="663">
        <v>46387</v>
      </c>
      <c r="CZ162" s="146">
        <v>1</v>
      </c>
      <c r="DA162" s="146">
        <v>1</v>
      </c>
      <c r="DB162" s="146">
        <v>1</v>
      </c>
      <c r="DC162" s="146">
        <v>1</v>
      </c>
      <c r="DD162" s="146">
        <v>1</v>
      </c>
      <c r="DE162" s="178" t="s">
        <v>182</v>
      </c>
      <c r="DF162" s="178" t="s">
        <v>182</v>
      </c>
      <c r="DG162" s="178" t="s">
        <v>182</v>
      </c>
      <c r="DH162" s="359">
        <v>0</v>
      </c>
      <c r="DI162" s="146" t="s">
        <v>1507</v>
      </c>
      <c r="DJ162" s="145" t="s">
        <v>358</v>
      </c>
      <c r="DK162" s="145" t="s">
        <v>1508</v>
      </c>
      <c r="DL162" s="145" t="s">
        <v>182</v>
      </c>
      <c r="DM162" s="145"/>
      <c r="DN162" s="85"/>
      <c r="DO162" s="86"/>
      <c r="DP162" s="84"/>
      <c r="DQ162" s="86"/>
      <c r="DR162" s="86"/>
      <c r="DS162" s="83"/>
      <c r="DT162" s="86"/>
      <c r="DU162" s="84"/>
      <c r="DV162" s="86"/>
      <c r="DW162" s="86"/>
      <c r="DX162" s="83"/>
      <c r="DY162" s="86"/>
      <c r="DZ162" s="351"/>
      <c r="EA162" s="86"/>
      <c r="EB162" s="86"/>
      <c r="EC162" s="84"/>
      <c r="ED162" s="84"/>
      <c r="EE162" s="84"/>
      <c r="EF162" s="84"/>
      <c r="EG162" s="84"/>
      <c r="EH162" s="83"/>
      <c r="EI162" s="84"/>
      <c r="EJ162" s="84"/>
      <c r="EK162" s="131"/>
      <c r="EL162" s="91" t="str">
        <f t="shared" si="39"/>
        <v>No se reportó avance</v>
      </c>
      <c r="EM162" s="83" t="str">
        <f t="shared" si="40"/>
        <v>No se reportó avance</v>
      </c>
      <c r="EN162" s="86"/>
      <c r="EO162" s="93" t="str">
        <f t="shared" si="34"/>
        <v>Producto</v>
      </c>
      <c r="EP162" s="93" t="str">
        <f t="shared" si="35"/>
        <v>7</v>
      </c>
    </row>
    <row r="163" spans="1:146" s="93" customFormat="1" ht="150" customHeight="1">
      <c r="A163" s="84" t="s">
        <v>1396</v>
      </c>
      <c r="B163" s="94" t="s">
        <v>1397</v>
      </c>
      <c r="C163" s="97" t="s">
        <v>1398</v>
      </c>
      <c r="D163" s="97" t="s">
        <v>1399</v>
      </c>
      <c r="E163" s="85" t="s">
        <v>1400</v>
      </c>
      <c r="F163" s="94" t="s">
        <v>201</v>
      </c>
      <c r="G163" s="94" t="s">
        <v>201</v>
      </c>
      <c r="H163" s="178"/>
      <c r="I163" s="84" t="s">
        <v>454</v>
      </c>
      <c r="J163" s="84" t="s">
        <v>455</v>
      </c>
      <c r="K163" s="94" t="s">
        <v>535</v>
      </c>
      <c r="L163" s="84">
        <v>3</v>
      </c>
      <c r="M163" s="84" t="s">
        <v>1489</v>
      </c>
      <c r="N163" s="84" t="s">
        <v>1490</v>
      </c>
      <c r="O163" s="84" t="s">
        <v>1491</v>
      </c>
      <c r="P163" s="84" t="s">
        <v>161</v>
      </c>
      <c r="Q163" s="84" t="s">
        <v>275</v>
      </c>
      <c r="R163" s="83">
        <v>0</v>
      </c>
      <c r="S163" s="84" t="s">
        <v>163</v>
      </c>
      <c r="T163" s="90">
        <v>44928</v>
      </c>
      <c r="U163" s="90">
        <v>46387</v>
      </c>
      <c r="V163" s="85">
        <v>0.25</v>
      </c>
      <c r="W163" s="348">
        <v>0.5</v>
      </c>
      <c r="X163" s="348">
        <v>0.75</v>
      </c>
      <c r="Y163" s="348">
        <v>1</v>
      </c>
      <c r="Z163" s="83">
        <v>1</v>
      </c>
      <c r="AA163" s="348">
        <v>0.25</v>
      </c>
      <c r="AB163" s="348">
        <v>0.5</v>
      </c>
      <c r="AC163" s="348">
        <v>0.75</v>
      </c>
      <c r="AD163" s="348">
        <v>1</v>
      </c>
      <c r="AE163" s="83">
        <v>1</v>
      </c>
      <c r="AF163" s="83">
        <v>0.3</v>
      </c>
      <c r="AG163" s="83">
        <v>0.6</v>
      </c>
      <c r="AH163" s="83">
        <v>0.9</v>
      </c>
      <c r="AI163" s="83">
        <v>1</v>
      </c>
      <c r="AJ163" s="83">
        <v>1</v>
      </c>
      <c r="AK163" s="146"/>
      <c r="AL163" s="146"/>
      <c r="AM163" s="146"/>
      <c r="AN163" s="146"/>
      <c r="AO163" s="146"/>
      <c r="AP163" s="83">
        <v>1</v>
      </c>
      <c r="AQ163" s="97"/>
      <c r="AR163" s="97"/>
      <c r="AS163" s="97"/>
      <c r="AT163" s="97"/>
      <c r="AU163" s="97"/>
      <c r="AV163" s="97"/>
      <c r="AW163" s="97"/>
      <c r="AX163" s="97"/>
      <c r="AY163" s="97"/>
      <c r="AZ163" s="106"/>
      <c r="BA163" s="114"/>
      <c r="BB163" s="117"/>
      <c r="BC163" s="114"/>
      <c r="BD163" s="117"/>
      <c r="BE163" s="94"/>
      <c r="BF163" s="94"/>
      <c r="BG163" s="94"/>
      <c r="BH163" s="94"/>
      <c r="BI163" s="131"/>
      <c r="BJ163" s="153"/>
      <c r="BK163" s="131"/>
      <c r="BL163" s="153"/>
      <c r="BM163" s="131"/>
      <c r="BN163" s="153"/>
      <c r="BO163" s="131"/>
      <c r="BP163" s="153"/>
      <c r="BQ163" s="131"/>
      <c r="BR163" s="131"/>
      <c r="BS163" s="131"/>
      <c r="BT163" s="131"/>
      <c r="BU163" s="131"/>
      <c r="BV163" s="131"/>
      <c r="BW163" s="131"/>
      <c r="BX163" s="131"/>
      <c r="BY163" s="131"/>
      <c r="BZ163" s="131"/>
      <c r="CA163" s="131"/>
      <c r="CB163" s="131"/>
      <c r="CC163" s="131"/>
      <c r="CD163" s="131"/>
      <c r="CE163" s="131"/>
      <c r="CF163" s="347"/>
      <c r="CG163" s="627"/>
      <c r="CH163" s="630"/>
      <c r="CI163" s="630"/>
      <c r="CJ163" s="83" t="str">
        <f t="shared" si="28"/>
        <v>No aplica</v>
      </c>
      <c r="CK163" s="83" t="str">
        <f t="shared" si="29"/>
        <v>No aplica</v>
      </c>
      <c r="CL163" s="83" t="str">
        <f t="shared" si="36"/>
        <v>No requiere reporte</v>
      </c>
      <c r="CM163" s="89" t="str">
        <f t="shared" si="37"/>
        <v>No requiere reporte</v>
      </c>
      <c r="CN163" s="89" t="str">
        <f t="shared" si="38"/>
        <v>No requiere reporte</v>
      </c>
      <c r="CO163" s="145" t="s">
        <v>366</v>
      </c>
      <c r="CP163" s="178" t="s">
        <v>1512</v>
      </c>
      <c r="CQ163" s="178" t="s">
        <v>1513</v>
      </c>
      <c r="CR163" s="145" t="s">
        <v>1514</v>
      </c>
      <c r="CS163" s="145" t="s">
        <v>1515</v>
      </c>
      <c r="CT163" s="145" t="s">
        <v>161</v>
      </c>
      <c r="CU163" s="145" t="s">
        <v>162</v>
      </c>
      <c r="CV163" s="157">
        <v>0</v>
      </c>
      <c r="CW163" s="145" t="s">
        <v>1434</v>
      </c>
      <c r="CX163" s="688">
        <v>46024</v>
      </c>
      <c r="CY163" s="663">
        <v>46387</v>
      </c>
      <c r="CZ163" s="146">
        <v>1</v>
      </c>
      <c r="DA163" s="146">
        <v>1</v>
      </c>
      <c r="DB163" s="146">
        <v>1</v>
      </c>
      <c r="DC163" s="146">
        <v>1</v>
      </c>
      <c r="DD163" s="146">
        <v>1</v>
      </c>
      <c r="DE163" s="178" t="s">
        <v>182</v>
      </c>
      <c r="DF163" s="178" t="s">
        <v>182</v>
      </c>
      <c r="DG163" s="178" t="s">
        <v>182</v>
      </c>
      <c r="DH163" s="359">
        <v>0</v>
      </c>
      <c r="DI163" s="146" t="s">
        <v>1507</v>
      </c>
      <c r="DJ163" s="145" t="s">
        <v>358</v>
      </c>
      <c r="DK163" s="145" t="s">
        <v>1473</v>
      </c>
      <c r="DL163" s="145" t="s">
        <v>182</v>
      </c>
      <c r="DM163" s="145"/>
      <c r="DN163" s="85"/>
      <c r="DO163" s="86"/>
      <c r="DP163" s="84"/>
      <c r="DQ163" s="86"/>
      <c r="DR163" s="86"/>
      <c r="DS163" s="83"/>
      <c r="DT163" s="86"/>
      <c r="DU163" s="84"/>
      <c r="DV163" s="86"/>
      <c r="DW163" s="86"/>
      <c r="DX163" s="83"/>
      <c r="DY163" s="86"/>
      <c r="DZ163" s="351"/>
      <c r="EA163" s="86"/>
      <c r="EB163" s="86"/>
      <c r="EC163" s="84"/>
      <c r="ED163" s="84"/>
      <c r="EE163" s="84"/>
      <c r="EF163" s="84"/>
      <c r="EG163" s="84"/>
      <c r="EH163" s="83"/>
      <c r="EI163" s="84"/>
      <c r="EJ163" s="84"/>
      <c r="EK163" s="131"/>
      <c r="EL163" s="91" t="str">
        <f t="shared" si="39"/>
        <v>No se reportó avance</v>
      </c>
      <c r="EM163" s="83" t="str">
        <f t="shared" si="40"/>
        <v>No se reportó avance</v>
      </c>
      <c r="EN163" s="86"/>
      <c r="EO163" s="93" t="str">
        <f t="shared" si="34"/>
        <v>Producto</v>
      </c>
      <c r="EP163" s="93" t="str">
        <f t="shared" si="35"/>
        <v>7</v>
      </c>
    </row>
    <row r="164" spans="1:146" s="93" customFormat="1" ht="225" customHeight="1">
      <c r="A164" s="84" t="s">
        <v>1396</v>
      </c>
      <c r="B164" s="94" t="s">
        <v>1397</v>
      </c>
      <c r="C164" s="97" t="s">
        <v>1398</v>
      </c>
      <c r="D164" s="97" t="s">
        <v>1399</v>
      </c>
      <c r="E164" s="85" t="s">
        <v>1400</v>
      </c>
      <c r="F164" s="94" t="s">
        <v>201</v>
      </c>
      <c r="G164" s="94" t="s">
        <v>201</v>
      </c>
      <c r="H164" s="178"/>
      <c r="I164" s="84" t="s">
        <v>454</v>
      </c>
      <c r="J164" s="84" t="s">
        <v>455</v>
      </c>
      <c r="K164" s="94" t="s">
        <v>535</v>
      </c>
      <c r="L164" s="84">
        <v>3</v>
      </c>
      <c r="M164" s="84" t="s">
        <v>1489</v>
      </c>
      <c r="N164" s="84" t="s">
        <v>1490</v>
      </c>
      <c r="O164" s="84" t="s">
        <v>1491</v>
      </c>
      <c r="P164" s="84" t="s">
        <v>161</v>
      </c>
      <c r="Q164" s="84" t="s">
        <v>275</v>
      </c>
      <c r="R164" s="83">
        <v>0</v>
      </c>
      <c r="S164" s="90" t="s">
        <v>163</v>
      </c>
      <c r="T164" s="90">
        <v>44928</v>
      </c>
      <c r="U164" s="90">
        <v>46387</v>
      </c>
      <c r="V164" s="85">
        <v>0.25</v>
      </c>
      <c r="W164" s="348">
        <v>0.5</v>
      </c>
      <c r="X164" s="348">
        <v>0.75</v>
      </c>
      <c r="Y164" s="348">
        <v>1</v>
      </c>
      <c r="Z164" s="83">
        <v>1</v>
      </c>
      <c r="AA164" s="348">
        <v>0.25</v>
      </c>
      <c r="AB164" s="348">
        <v>0.5</v>
      </c>
      <c r="AC164" s="348">
        <v>0.75</v>
      </c>
      <c r="AD164" s="348">
        <v>1</v>
      </c>
      <c r="AE164" s="83">
        <v>1</v>
      </c>
      <c r="AF164" s="83">
        <v>0.3</v>
      </c>
      <c r="AG164" s="83">
        <v>0.6</v>
      </c>
      <c r="AH164" s="83">
        <v>0.9</v>
      </c>
      <c r="AI164" s="83">
        <v>1</v>
      </c>
      <c r="AJ164" s="83">
        <v>1</v>
      </c>
      <c r="AK164" s="146"/>
      <c r="AL164" s="146"/>
      <c r="AM164" s="146"/>
      <c r="AN164" s="146"/>
      <c r="AO164" s="146"/>
      <c r="AP164" s="83">
        <v>1</v>
      </c>
      <c r="AQ164" s="97"/>
      <c r="AR164" s="97"/>
      <c r="AS164" s="97"/>
      <c r="AT164" s="97"/>
      <c r="AU164" s="97"/>
      <c r="AV164" s="97"/>
      <c r="AW164" s="97"/>
      <c r="AX164" s="97"/>
      <c r="AY164" s="97"/>
      <c r="AZ164" s="106"/>
      <c r="BA164" s="348"/>
      <c r="BB164" s="117"/>
      <c r="BC164" s="348"/>
      <c r="BD164" s="117"/>
      <c r="BE164" s="94"/>
      <c r="BF164" s="94"/>
      <c r="BG164" s="94"/>
      <c r="BH164" s="94"/>
      <c r="BI164" s="131"/>
      <c r="BJ164" s="153"/>
      <c r="BK164" s="131"/>
      <c r="BL164" s="153"/>
      <c r="BM164" s="131"/>
      <c r="BN164" s="153"/>
      <c r="BO164" s="131"/>
      <c r="BP164" s="153"/>
      <c r="BQ164" s="131"/>
      <c r="BR164" s="131"/>
      <c r="BS164" s="131"/>
      <c r="BT164" s="131"/>
      <c r="BU164" s="131"/>
      <c r="BV164" s="131"/>
      <c r="BW164" s="131"/>
      <c r="BX164" s="131"/>
      <c r="BY164" s="131"/>
      <c r="BZ164" s="131"/>
      <c r="CA164" s="131"/>
      <c r="CB164" s="131"/>
      <c r="CC164" s="131"/>
      <c r="CD164" s="131"/>
      <c r="CE164" s="131"/>
      <c r="CF164" s="347"/>
      <c r="CG164" s="627"/>
      <c r="CH164" s="630"/>
      <c r="CI164" s="630"/>
      <c r="CJ164" s="83" t="str">
        <f t="shared" si="28"/>
        <v>No aplica</v>
      </c>
      <c r="CK164" s="83" t="str">
        <f t="shared" si="29"/>
        <v>No aplica</v>
      </c>
      <c r="CL164" s="83" t="str">
        <f t="shared" si="36"/>
        <v>No requiere reporte</v>
      </c>
      <c r="CM164" s="89" t="str">
        <f t="shared" si="37"/>
        <v>No requiere reporte</v>
      </c>
      <c r="CN164" s="89" t="str">
        <f t="shared" si="38"/>
        <v>No requiere reporte</v>
      </c>
      <c r="CO164" s="145" t="s">
        <v>371</v>
      </c>
      <c r="CP164" s="178" t="s">
        <v>1516</v>
      </c>
      <c r="CQ164" s="178" t="s">
        <v>1517</v>
      </c>
      <c r="CR164" s="145" t="s">
        <v>1518</v>
      </c>
      <c r="CS164" s="178" t="s">
        <v>1519</v>
      </c>
      <c r="CT164" s="178" t="s">
        <v>200</v>
      </c>
      <c r="CU164" s="178" t="s">
        <v>162</v>
      </c>
      <c r="CV164" s="689">
        <v>1</v>
      </c>
      <c r="CW164" s="145" t="s">
        <v>1434</v>
      </c>
      <c r="CX164" s="688">
        <v>46024</v>
      </c>
      <c r="CY164" s="663">
        <v>46387</v>
      </c>
      <c r="CZ164" s="146">
        <v>1</v>
      </c>
      <c r="DA164" s="146">
        <v>1</v>
      </c>
      <c r="DB164" s="146">
        <v>1</v>
      </c>
      <c r="DC164" s="146">
        <v>1</v>
      </c>
      <c r="DD164" s="146">
        <v>1</v>
      </c>
      <c r="DE164" s="178" t="s">
        <v>182</v>
      </c>
      <c r="DF164" s="178" t="s">
        <v>182</v>
      </c>
      <c r="DG164" s="178" t="s">
        <v>182</v>
      </c>
      <c r="DH164" s="359">
        <v>0</v>
      </c>
      <c r="DI164" s="146" t="s">
        <v>1507</v>
      </c>
      <c r="DJ164" s="145" t="s">
        <v>358</v>
      </c>
      <c r="DK164" s="145" t="s">
        <v>1473</v>
      </c>
      <c r="DL164" s="145" t="s">
        <v>182</v>
      </c>
      <c r="DM164" s="145"/>
      <c r="DN164" s="85"/>
      <c r="DO164" s="86"/>
      <c r="DP164" s="84"/>
      <c r="DQ164" s="86"/>
      <c r="DR164" s="86"/>
      <c r="DS164" s="83"/>
      <c r="DT164" s="86"/>
      <c r="DU164" s="84"/>
      <c r="DV164" s="86"/>
      <c r="DW164" s="86"/>
      <c r="DX164" s="83"/>
      <c r="DY164" s="86"/>
      <c r="DZ164" s="351"/>
      <c r="EA164" s="86"/>
      <c r="EB164" s="86"/>
      <c r="EC164" s="84"/>
      <c r="ED164" s="84"/>
      <c r="EE164" s="84"/>
      <c r="EF164" s="84"/>
      <c r="EG164" s="84"/>
      <c r="EH164" s="83"/>
      <c r="EI164" s="84"/>
      <c r="EJ164" s="84"/>
      <c r="EK164" s="131"/>
      <c r="EL164" s="91" t="str">
        <f t="shared" si="39"/>
        <v>No se reportó avance</v>
      </c>
      <c r="EM164" s="83" t="str">
        <f t="shared" si="40"/>
        <v>No se reportó avance</v>
      </c>
      <c r="EN164" s="86"/>
      <c r="EO164" s="93" t="str">
        <f t="shared" si="34"/>
        <v>Producto</v>
      </c>
      <c r="EP164" s="93" t="str">
        <f t="shared" si="35"/>
        <v>7</v>
      </c>
    </row>
    <row r="165" spans="1:146" s="179" customFormat="1" ht="204" customHeight="1">
      <c r="A165" s="74" t="s">
        <v>1520</v>
      </c>
      <c r="B165" s="75" t="s">
        <v>4683</v>
      </c>
      <c r="C165" s="75" t="s">
        <v>243</v>
      </c>
      <c r="D165" s="75" t="s">
        <v>244</v>
      </c>
      <c r="E165" s="75" t="s">
        <v>245</v>
      </c>
      <c r="F165" s="74" t="s">
        <v>246</v>
      </c>
      <c r="G165" s="74" t="s">
        <v>201</v>
      </c>
      <c r="H165" s="74" t="s">
        <v>201</v>
      </c>
      <c r="I165" s="74" t="s">
        <v>454</v>
      </c>
      <c r="J165" s="74" t="s">
        <v>156</v>
      </c>
      <c r="K165" s="74" t="s">
        <v>535</v>
      </c>
      <c r="L165" s="78">
        <v>1</v>
      </c>
      <c r="M165" s="78" t="s">
        <v>1521</v>
      </c>
      <c r="N165" s="78" t="s">
        <v>1522</v>
      </c>
      <c r="O165" s="78" t="s">
        <v>1523</v>
      </c>
      <c r="P165" s="78" t="s">
        <v>200</v>
      </c>
      <c r="Q165" s="78" t="s">
        <v>162</v>
      </c>
      <c r="R165" s="79">
        <v>1</v>
      </c>
      <c r="S165" s="78" t="s">
        <v>252</v>
      </c>
      <c r="T165" s="80">
        <v>44927</v>
      </c>
      <c r="U165" s="80">
        <v>46387</v>
      </c>
      <c r="V165" s="121">
        <v>1</v>
      </c>
      <c r="W165" s="121">
        <v>1</v>
      </c>
      <c r="X165" s="121">
        <v>1</v>
      </c>
      <c r="Y165" s="121">
        <v>1</v>
      </c>
      <c r="Z165" s="82">
        <v>1</v>
      </c>
      <c r="AA165" s="121">
        <v>1</v>
      </c>
      <c r="AB165" s="121">
        <v>1</v>
      </c>
      <c r="AC165" s="121">
        <v>1</v>
      </c>
      <c r="AD165" s="121">
        <v>1</v>
      </c>
      <c r="AE165" s="82">
        <v>1</v>
      </c>
      <c r="AF165" s="82">
        <v>1</v>
      </c>
      <c r="AG165" s="82">
        <v>1</v>
      </c>
      <c r="AH165" s="82">
        <v>1</v>
      </c>
      <c r="AI165" s="82">
        <v>1</v>
      </c>
      <c r="AJ165" s="82">
        <v>1</v>
      </c>
      <c r="AK165" s="360"/>
      <c r="AL165" s="360"/>
      <c r="AM165" s="360"/>
      <c r="AN165" s="360"/>
      <c r="AO165" s="361">
        <v>1</v>
      </c>
      <c r="AP165" s="82">
        <v>1</v>
      </c>
      <c r="AQ165" s="84"/>
      <c r="AR165" s="83" t="s">
        <v>1524</v>
      </c>
      <c r="AS165" s="84"/>
      <c r="AT165" s="83" t="s">
        <v>1525</v>
      </c>
      <c r="AU165" s="84"/>
      <c r="AV165" s="83" t="s">
        <v>1526</v>
      </c>
      <c r="AW165" s="84"/>
      <c r="AX165" s="83" t="s">
        <v>1527</v>
      </c>
      <c r="AY165" s="83">
        <v>1</v>
      </c>
      <c r="AZ165" s="87" t="s">
        <v>1528</v>
      </c>
      <c r="BA165" s="83">
        <v>1</v>
      </c>
      <c r="BB165" s="84" t="s">
        <v>1529</v>
      </c>
      <c r="BC165" s="83">
        <v>1</v>
      </c>
      <c r="BD165" s="84" t="s">
        <v>1530</v>
      </c>
      <c r="BE165" s="83">
        <v>1</v>
      </c>
      <c r="BF165" s="84" t="s">
        <v>1531</v>
      </c>
      <c r="BG165" s="84"/>
      <c r="BH165" s="84"/>
      <c r="BI165" s="83">
        <v>1</v>
      </c>
      <c r="BJ165" s="87" t="s">
        <v>1532</v>
      </c>
      <c r="BK165" s="83">
        <f>655/655*100%</f>
        <v>1</v>
      </c>
      <c r="BL165" s="86" t="s">
        <v>1533</v>
      </c>
      <c r="BM165" s="199">
        <f>500/500*100%</f>
        <v>1</v>
      </c>
      <c r="BN165" s="86" t="s">
        <v>1534</v>
      </c>
      <c r="BO165" s="199">
        <f>385/385*100%</f>
        <v>1</v>
      </c>
      <c r="BP165" s="86" t="s">
        <v>1535</v>
      </c>
      <c r="BQ165" s="131"/>
      <c r="BR165" s="131"/>
      <c r="BS165" s="83">
        <f>BK165/BM165/+BO165*100%</f>
        <v>1</v>
      </c>
      <c r="BT165" s="131"/>
      <c r="BU165" s="131"/>
      <c r="BV165" s="131"/>
      <c r="BW165" s="131"/>
      <c r="BX165" s="131"/>
      <c r="BY165" s="131"/>
      <c r="BZ165" s="131"/>
      <c r="CA165" s="131"/>
      <c r="CB165" s="131"/>
      <c r="CC165" s="83"/>
      <c r="CD165" s="131"/>
      <c r="CE165" s="83">
        <f>BO165/AP165</f>
        <v>1</v>
      </c>
      <c r="CF165" s="131"/>
      <c r="CG165" s="362">
        <f>SUM(DH165:DH167)</f>
        <v>0</v>
      </c>
      <c r="CH165" s="363" t="s">
        <v>182</v>
      </c>
      <c r="CI165" s="363" t="s">
        <v>182</v>
      </c>
      <c r="CJ165" s="83" t="s">
        <v>182</v>
      </c>
      <c r="CK165" s="83" t="s">
        <v>182</v>
      </c>
      <c r="CL165" s="83" t="str">
        <f t="shared" si="36"/>
        <v>No aplica, no hay meta</v>
      </c>
      <c r="CM165" s="89" t="str">
        <f t="shared" si="37"/>
        <v>No se reportó avance</v>
      </c>
      <c r="CN165" s="89">
        <f t="shared" si="38"/>
        <v>1</v>
      </c>
      <c r="CO165" s="826">
        <v>45658</v>
      </c>
      <c r="CP165" s="145" t="s">
        <v>1536</v>
      </c>
      <c r="CQ165" s="145" t="s">
        <v>1537</v>
      </c>
      <c r="CR165" s="145" t="s">
        <v>1538</v>
      </c>
      <c r="CS165" s="145" t="s">
        <v>1539</v>
      </c>
      <c r="CT165" s="145" t="s">
        <v>200</v>
      </c>
      <c r="CU165" s="827" t="s">
        <v>233</v>
      </c>
      <c r="CV165" s="827">
        <v>12</v>
      </c>
      <c r="CW165" s="827" t="s">
        <v>402</v>
      </c>
      <c r="CX165" s="641">
        <v>46023</v>
      </c>
      <c r="CY165" s="641">
        <v>46387</v>
      </c>
      <c r="CZ165" s="642">
        <v>3</v>
      </c>
      <c r="DA165" s="642">
        <v>3</v>
      </c>
      <c r="DB165" s="642">
        <v>3</v>
      </c>
      <c r="DC165" s="642">
        <v>3</v>
      </c>
      <c r="DD165" s="642">
        <v>12</v>
      </c>
      <c r="DE165" s="827" t="s">
        <v>182</v>
      </c>
      <c r="DF165" s="827" t="s">
        <v>182</v>
      </c>
      <c r="DG165" s="827" t="s">
        <v>182</v>
      </c>
      <c r="DH165" s="827" t="s">
        <v>182</v>
      </c>
      <c r="DI165" s="827" t="s">
        <v>1540</v>
      </c>
      <c r="DJ165" s="827" t="s">
        <v>1541</v>
      </c>
      <c r="DK165" s="827" t="s">
        <v>1542</v>
      </c>
      <c r="DL165" s="145"/>
      <c r="DM165" s="145"/>
      <c r="DN165" s="145"/>
      <c r="DO165" s="677"/>
      <c r="DP165" s="293"/>
      <c r="DQ165" s="677"/>
      <c r="DR165" s="677"/>
      <c r="DS165" s="145"/>
      <c r="DT165" s="677"/>
      <c r="DU165" s="145"/>
      <c r="DV165" s="677"/>
      <c r="DW165" s="677"/>
      <c r="DX165" s="145"/>
      <c r="DY165" s="677"/>
      <c r="DZ165" s="364"/>
      <c r="EA165" s="677"/>
      <c r="EB165" s="677"/>
      <c r="EC165" s="145"/>
      <c r="ED165" s="145"/>
      <c r="EE165" s="145"/>
      <c r="EF165" s="145"/>
      <c r="EG165" s="145"/>
      <c r="EH165" s="145"/>
      <c r="EI165" s="668"/>
      <c r="EJ165" s="668"/>
      <c r="EK165" s="668"/>
      <c r="EL165" s="91" t="str">
        <f t="shared" si="39"/>
        <v>No se reportó avance</v>
      </c>
      <c r="EM165" s="83" t="str">
        <f t="shared" si="40"/>
        <v>No se reportó avance</v>
      </c>
      <c r="EN165" s="153"/>
    </row>
    <row r="166" spans="1:146" s="179" customFormat="1" ht="165" customHeight="1">
      <c r="A166" s="84" t="s">
        <v>1520</v>
      </c>
      <c r="B166" s="85" t="s">
        <v>4683</v>
      </c>
      <c r="C166" s="85" t="s">
        <v>243</v>
      </c>
      <c r="D166" s="85" t="s">
        <v>244</v>
      </c>
      <c r="E166" s="85" t="s">
        <v>245</v>
      </c>
      <c r="F166" s="84" t="s">
        <v>246</v>
      </c>
      <c r="G166" s="84" t="s">
        <v>201</v>
      </c>
      <c r="H166" s="84" t="s">
        <v>201</v>
      </c>
      <c r="I166" s="84" t="s">
        <v>454</v>
      </c>
      <c r="J166" s="84" t="s">
        <v>156</v>
      </c>
      <c r="K166" s="84" t="s">
        <v>535</v>
      </c>
      <c r="L166" s="84">
        <v>1</v>
      </c>
      <c r="M166" s="84" t="s">
        <v>1521</v>
      </c>
      <c r="N166" s="84" t="s">
        <v>1522</v>
      </c>
      <c r="O166" s="84" t="s">
        <v>1523</v>
      </c>
      <c r="P166" s="84" t="s">
        <v>200</v>
      </c>
      <c r="Q166" s="84" t="s">
        <v>162</v>
      </c>
      <c r="R166" s="85">
        <v>1</v>
      </c>
      <c r="S166" s="84" t="s">
        <v>252</v>
      </c>
      <c r="T166" s="90">
        <v>44927</v>
      </c>
      <c r="U166" s="90">
        <v>46387</v>
      </c>
      <c r="V166" s="83">
        <v>1</v>
      </c>
      <c r="W166" s="83">
        <v>1</v>
      </c>
      <c r="X166" s="83">
        <v>1</v>
      </c>
      <c r="Y166" s="83">
        <v>1</v>
      </c>
      <c r="Z166" s="83">
        <v>1</v>
      </c>
      <c r="AA166" s="83">
        <v>1</v>
      </c>
      <c r="AB166" s="83">
        <v>1</v>
      </c>
      <c r="AC166" s="83">
        <v>1</v>
      </c>
      <c r="AD166" s="83">
        <v>1</v>
      </c>
      <c r="AE166" s="83">
        <v>1</v>
      </c>
      <c r="AF166" s="83">
        <v>1</v>
      </c>
      <c r="AG166" s="83">
        <v>1</v>
      </c>
      <c r="AH166" s="83">
        <v>1</v>
      </c>
      <c r="AI166" s="83">
        <v>1</v>
      </c>
      <c r="AJ166" s="83">
        <v>1</v>
      </c>
      <c r="AK166" s="365"/>
      <c r="AL166" s="365"/>
      <c r="AM166" s="365"/>
      <c r="AN166" s="365"/>
      <c r="AO166" s="146">
        <v>1</v>
      </c>
      <c r="AP166" s="85">
        <v>1</v>
      </c>
      <c r="AQ166" s="84"/>
      <c r="AR166" s="84"/>
      <c r="AS166" s="84"/>
      <c r="AT166" s="84"/>
      <c r="AU166" s="84"/>
      <c r="AV166" s="84"/>
      <c r="AW166" s="84"/>
      <c r="AX166" s="84"/>
      <c r="AY166" s="84"/>
      <c r="AZ166" s="86"/>
      <c r="BA166" s="84"/>
      <c r="BB166" s="84"/>
      <c r="BC166" s="84"/>
      <c r="BD166" s="84"/>
      <c r="BE166" s="84"/>
      <c r="BF166" s="84"/>
      <c r="BG166" s="84"/>
      <c r="BH166" s="84"/>
      <c r="BI166" s="84"/>
      <c r="BJ166" s="86"/>
      <c r="BK166" s="84"/>
      <c r="BL166" s="86"/>
      <c r="BM166" s="131"/>
      <c r="BN166" s="153"/>
      <c r="BO166" s="131"/>
      <c r="BP166" s="153"/>
      <c r="BQ166" s="131"/>
      <c r="BR166" s="131"/>
      <c r="BS166" s="131"/>
      <c r="BT166" s="131"/>
      <c r="BU166" s="131"/>
      <c r="BV166" s="131"/>
      <c r="BW166" s="131"/>
      <c r="BX166" s="131"/>
      <c r="BY166" s="131"/>
      <c r="BZ166" s="131"/>
      <c r="CA166" s="131"/>
      <c r="CB166" s="131"/>
      <c r="CC166" s="84"/>
      <c r="CD166" s="131"/>
      <c r="CE166" s="83"/>
      <c r="CF166" s="131"/>
      <c r="CG166" s="668" t="s">
        <v>182</v>
      </c>
      <c r="CH166" s="131" t="s">
        <v>182</v>
      </c>
      <c r="CI166" s="131" t="s">
        <v>182</v>
      </c>
      <c r="CJ166" s="83" t="s">
        <v>182</v>
      </c>
      <c r="CK166" s="83" t="s">
        <v>182</v>
      </c>
      <c r="CL166" s="83" t="str">
        <f t="shared" si="36"/>
        <v>No requiere reporte</v>
      </c>
      <c r="CM166" s="89" t="str">
        <f t="shared" si="37"/>
        <v>No requiere reporte</v>
      </c>
      <c r="CN166" s="89" t="str">
        <f t="shared" si="38"/>
        <v>No requiere reporte</v>
      </c>
      <c r="CO166" s="826">
        <v>45689</v>
      </c>
      <c r="CP166" s="145" t="s">
        <v>1543</v>
      </c>
      <c r="CQ166" s="145" t="s">
        <v>1544</v>
      </c>
      <c r="CR166" s="145" t="s">
        <v>1545</v>
      </c>
      <c r="CS166" s="145" t="s">
        <v>1546</v>
      </c>
      <c r="CT166" s="145" t="s">
        <v>200</v>
      </c>
      <c r="CU166" s="827" t="s">
        <v>233</v>
      </c>
      <c r="CV166" s="827">
        <v>12</v>
      </c>
      <c r="CW166" s="827" t="s">
        <v>402</v>
      </c>
      <c r="CX166" s="641">
        <v>46023</v>
      </c>
      <c r="CY166" s="641">
        <v>46387</v>
      </c>
      <c r="CZ166" s="642">
        <v>3</v>
      </c>
      <c r="DA166" s="642">
        <v>3</v>
      </c>
      <c r="DB166" s="642">
        <v>3</v>
      </c>
      <c r="DC166" s="642">
        <v>3</v>
      </c>
      <c r="DD166" s="642">
        <v>12</v>
      </c>
      <c r="DE166" s="827" t="s">
        <v>182</v>
      </c>
      <c r="DF166" s="827" t="s">
        <v>182</v>
      </c>
      <c r="DG166" s="827" t="s">
        <v>182</v>
      </c>
      <c r="DH166" s="827" t="s">
        <v>182</v>
      </c>
      <c r="DI166" s="827" t="s">
        <v>1540</v>
      </c>
      <c r="DJ166" s="827" t="s">
        <v>1541</v>
      </c>
      <c r="DK166" s="827" t="s">
        <v>1542</v>
      </c>
      <c r="DL166" s="145"/>
      <c r="DM166" s="145"/>
      <c r="DN166" s="145"/>
      <c r="DO166" s="677"/>
      <c r="DP166" s="293"/>
      <c r="DQ166" s="677"/>
      <c r="DR166" s="677"/>
      <c r="DS166" s="145"/>
      <c r="DT166" s="677"/>
      <c r="DU166" s="145"/>
      <c r="DV166" s="677"/>
      <c r="DW166" s="677"/>
      <c r="DX166" s="145"/>
      <c r="DY166" s="677"/>
      <c r="DZ166" s="364"/>
      <c r="EA166" s="677"/>
      <c r="EB166" s="677"/>
      <c r="EC166" s="145"/>
      <c r="ED166" s="145"/>
      <c r="EE166" s="145"/>
      <c r="EF166" s="145"/>
      <c r="EG166" s="145"/>
      <c r="EH166" s="145"/>
      <c r="EI166" s="668"/>
      <c r="EJ166" s="668"/>
      <c r="EK166" s="668"/>
      <c r="EL166" s="91" t="str">
        <f t="shared" si="39"/>
        <v>No se reportó avance</v>
      </c>
      <c r="EM166" s="83" t="str">
        <f t="shared" si="40"/>
        <v>No se reportó avance</v>
      </c>
      <c r="EN166" s="153"/>
    </row>
    <row r="167" spans="1:146" s="179" customFormat="1" ht="150" customHeight="1">
      <c r="A167" s="84" t="s">
        <v>1520</v>
      </c>
      <c r="B167" s="85" t="s">
        <v>4683</v>
      </c>
      <c r="C167" s="85" t="s">
        <v>243</v>
      </c>
      <c r="D167" s="85" t="s">
        <v>244</v>
      </c>
      <c r="E167" s="85" t="s">
        <v>245</v>
      </c>
      <c r="F167" s="84" t="s">
        <v>246</v>
      </c>
      <c r="G167" s="84" t="s">
        <v>201</v>
      </c>
      <c r="H167" s="84" t="s">
        <v>201</v>
      </c>
      <c r="I167" s="84" t="s">
        <v>454</v>
      </c>
      <c r="J167" s="84" t="s">
        <v>156</v>
      </c>
      <c r="K167" s="84" t="s">
        <v>535</v>
      </c>
      <c r="L167" s="84">
        <v>1</v>
      </c>
      <c r="M167" s="84" t="s">
        <v>1521</v>
      </c>
      <c r="N167" s="84" t="s">
        <v>1522</v>
      </c>
      <c r="O167" s="84" t="s">
        <v>1523</v>
      </c>
      <c r="P167" s="84" t="s">
        <v>200</v>
      </c>
      <c r="Q167" s="84" t="s">
        <v>877</v>
      </c>
      <c r="R167" s="85">
        <v>1</v>
      </c>
      <c r="S167" s="84" t="s">
        <v>252</v>
      </c>
      <c r="T167" s="90">
        <v>44927</v>
      </c>
      <c r="U167" s="90">
        <v>46387</v>
      </c>
      <c r="V167" s="83">
        <v>1</v>
      </c>
      <c r="W167" s="83">
        <v>1</v>
      </c>
      <c r="X167" s="83">
        <v>1</v>
      </c>
      <c r="Y167" s="83">
        <v>1</v>
      </c>
      <c r="Z167" s="83">
        <v>1</v>
      </c>
      <c r="AA167" s="83">
        <v>1</v>
      </c>
      <c r="AB167" s="83">
        <v>1</v>
      </c>
      <c r="AC167" s="83">
        <v>1</v>
      </c>
      <c r="AD167" s="83">
        <v>1</v>
      </c>
      <c r="AE167" s="83">
        <v>1</v>
      </c>
      <c r="AF167" s="83">
        <v>1</v>
      </c>
      <c r="AG167" s="83">
        <v>1</v>
      </c>
      <c r="AH167" s="83">
        <v>1</v>
      </c>
      <c r="AI167" s="83">
        <v>1</v>
      </c>
      <c r="AJ167" s="83">
        <v>1</v>
      </c>
      <c r="AK167" s="365"/>
      <c r="AL167" s="365"/>
      <c r="AM167" s="365"/>
      <c r="AN167" s="365"/>
      <c r="AO167" s="146">
        <v>1</v>
      </c>
      <c r="AP167" s="85">
        <v>1</v>
      </c>
      <c r="AQ167" s="84"/>
      <c r="AR167" s="84"/>
      <c r="AS167" s="84"/>
      <c r="AT167" s="84"/>
      <c r="AU167" s="84"/>
      <c r="AV167" s="84"/>
      <c r="AW167" s="84"/>
      <c r="AX167" s="84"/>
      <c r="AY167" s="84"/>
      <c r="AZ167" s="86"/>
      <c r="BA167" s="84"/>
      <c r="BB167" s="84"/>
      <c r="BC167" s="84"/>
      <c r="BD167" s="84"/>
      <c r="BE167" s="84"/>
      <c r="BF167" s="84"/>
      <c r="BG167" s="84"/>
      <c r="BH167" s="84"/>
      <c r="BI167" s="84"/>
      <c r="BJ167" s="86"/>
      <c r="BK167" s="84"/>
      <c r="BL167" s="86"/>
      <c r="BM167" s="131"/>
      <c r="BN167" s="153"/>
      <c r="BO167" s="131"/>
      <c r="BP167" s="153"/>
      <c r="BQ167" s="131"/>
      <c r="BR167" s="131"/>
      <c r="BS167" s="131"/>
      <c r="BT167" s="131"/>
      <c r="BU167" s="131"/>
      <c r="BV167" s="131"/>
      <c r="BW167" s="131"/>
      <c r="BX167" s="131"/>
      <c r="BY167" s="131"/>
      <c r="BZ167" s="131"/>
      <c r="CA167" s="131"/>
      <c r="CB167" s="131"/>
      <c r="CC167" s="84"/>
      <c r="CD167" s="131"/>
      <c r="CE167" s="83"/>
      <c r="CF167" s="131"/>
      <c r="CG167" s="668" t="s">
        <v>182</v>
      </c>
      <c r="CH167" s="131" t="s">
        <v>182</v>
      </c>
      <c r="CI167" s="131" t="s">
        <v>182</v>
      </c>
      <c r="CJ167" s="83" t="s">
        <v>182</v>
      </c>
      <c r="CK167" s="83" t="s">
        <v>182</v>
      </c>
      <c r="CL167" s="83" t="str">
        <f t="shared" si="36"/>
        <v>No requiere reporte</v>
      </c>
      <c r="CM167" s="89" t="str">
        <f t="shared" si="37"/>
        <v>No requiere reporte</v>
      </c>
      <c r="CN167" s="89" t="str">
        <f t="shared" si="38"/>
        <v>No requiere reporte</v>
      </c>
      <c r="CO167" s="826">
        <v>45717</v>
      </c>
      <c r="CP167" s="145" t="s">
        <v>1547</v>
      </c>
      <c r="CQ167" s="145" t="s">
        <v>1548</v>
      </c>
      <c r="CR167" s="145" t="s">
        <v>1549</v>
      </c>
      <c r="CS167" s="145" t="s">
        <v>1550</v>
      </c>
      <c r="CT167" s="145" t="s">
        <v>200</v>
      </c>
      <c r="CU167" s="827" t="s">
        <v>162</v>
      </c>
      <c r="CV167" s="828">
        <v>1</v>
      </c>
      <c r="CW167" s="827" t="s">
        <v>252</v>
      </c>
      <c r="CX167" s="641">
        <v>46023</v>
      </c>
      <c r="CY167" s="641">
        <v>46387</v>
      </c>
      <c r="CZ167" s="146">
        <v>1</v>
      </c>
      <c r="DA167" s="146">
        <v>1</v>
      </c>
      <c r="DB167" s="146">
        <v>1</v>
      </c>
      <c r="DC167" s="146">
        <v>1</v>
      </c>
      <c r="DD167" s="146">
        <v>1</v>
      </c>
      <c r="DE167" s="827" t="s">
        <v>182</v>
      </c>
      <c r="DF167" s="827" t="s">
        <v>182</v>
      </c>
      <c r="DG167" s="827" t="s">
        <v>182</v>
      </c>
      <c r="DH167" s="827" t="s">
        <v>182</v>
      </c>
      <c r="DI167" s="827" t="s">
        <v>1540</v>
      </c>
      <c r="DJ167" s="827" t="s">
        <v>1541</v>
      </c>
      <c r="DK167" s="827" t="s">
        <v>1542</v>
      </c>
      <c r="DL167" s="145"/>
      <c r="DM167" s="145"/>
      <c r="DN167" s="146"/>
      <c r="DO167" s="677"/>
      <c r="DP167" s="293"/>
      <c r="DQ167" s="677"/>
      <c r="DR167" s="677"/>
      <c r="DS167" s="146"/>
      <c r="DT167" s="677"/>
      <c r="DU167" s="145"/>
      <c r="DV167" s="677"/>
      <c r="DW167" s="677"/>
      <c r="DX167" s="146"/>
      <c r="DY167" s="677"/>
      <c r="DZ167" s="364"/>
      <c r="EA167" s="677"/>
      <c r="EB167" s="677"/>
      <c r="EC167" s="145"/>
      <c r="ED167" s="145"/>
      <c r="EE167" s="145"/>
      <c r="EF167" s="145"/>
      <c r="EG167" s="145"/>
      <c r="EH167" s="146"/>
      <c r="EI167" s="668"/>
      <c r="EJ167" s="668"/>
      <c r="EK167" s="668"/>
      <c r="EL167" s="91" t="str">
        <f t="shared" si="39"/>
        <v>No se reportó avance</v>
      </c>
      <c r="EM167" s="83" t="str">
        <f t="shared" si="40"/>
        <v>No se reportó avance</v>
      </c>
      <c r="EN167" s="153"/>
    </row>
    <row r="168" spans="1:146" s="93" customFormat="1" ht="195" customHeight="1">
      <c r="A168" s="74" t="s">
        <v>1520</v>
      </c>
      <c r="B168" s="75" t="s">
        <v>4683</v>
      </c>
      <c r="C168" s="75" t="s">
        <v>243</v>
      </c>
      <c r="D168" s="75" t="s">
        <v>244</v>
      </c>
      <c r="E168" s="75" t="s">
        <v>245</v>
      </c>
      <c r="F168" s="74" t="s">
        <v>246</v>
      </c>
      <c r="G168" s="74" t="s">
        <v>201</v>
      </c>
      <c r="H168" s="74" t="s">
        <v>201</v>
      </c>
      <c r="I168" s="74" t="s">
        <v>454</v>
      </c>
      <c r="J168" s="74" t="s">
        <v>156</v>
      </c>
      <c r="K168" s="74" t="s">
        <v>535</v>
      </c>
      <c r="L168" s="78">
        <v>2</v>
      </c>
      <c r="M168" s="78" t="s">
        <v>1551</v>
      </c>
      <c r="N168" s="78" t="s">
        <v>1552</v>
      </c>
      <c r="O168" s="78" t="s">
        <v>1553</v>
      </c>
      <c r="P168" s="78" t="s">
        <v>200</v>
      </c>
      <c r="Q168" s="78" t="s">
        <v>162</v>
      </c>
      <c r="R168" s="82">
        <v>1</v>
      </c>
      <c r="S168" s="78" t="s">
        <v>252</v>
      </c>
      <c r="T168" s="80">
        <v>44927</v>
      </c>
      <c r="U168" s="80">
        <v>46387</v>
      </c>
      <c r="V168" s="81"/>
      <c r="W168" s="81"/>
      <c r="X168" s="81"/>
      <c r="Y168" s="81"/>
      <c r="Z168" s="82">
        <v>1</v>
      </c>
      <c r="AA168" s="121">
        <v>1</v>
      </c>
      <c r="AB168" s="121">
        <v>1</v>
      </c>
      <c r="AC168" s="121">
        <v>1</v>
      </c>
      <c r="AD168" s="121">
        <v>1</v>
      </c>
      <c r="AE168" s="82">
        <v>1</v>
      </c>
      <c r="AF168" s="82">
        <v>1</v>
      </c>
      <c r="AG168" s="82">
        <v>1</v>
      </c>
      <c r="AH168" s="82">
        <v>1</v>
      </c>
      <c r="AI168" s="82">
        <v>1</v>
      </c>
      <c r="AJ168" s="82">
        <v>1</v>
      </c>
      <c r="AK168" s="360"/>
      <c r="AL168" s="360"/>
      <c r="AM168" s="360"/>
      <c r="AN168" s="360"/>
      <c r="AO168" s="361">
        <v>1</v>
      </c>
      <c r="AP168" s="79">
        <v>1</v>
      </c>
      <c r="AQ168" s="84"/>
      <c r="AR168" s="83" t="s">
        <v>1554</v>
      </c>
      <c r="AS168" s="84"/>
      <c r="AT168" s="83" t="s">
        <v>1555</v>
      </c>
      <c r="AU168" s="84"/>
      <c r="AV168" s="83" t="s">
        <v>1556</v>
      </c>
      <c r="AW168" s="84"/>
      <c r="AX168" s="83" t="s">
        <v>1557</v>
      </c>
      <c r="AY168" s="83">
        <v>1</v>
      </c>
      <c r="AZ168" s="87" t="s">
        <v>1558</v>
      </c>
      <c r="BA168" s="83">
        <v>1</v>
      </c>
      <c r="BB168" s="84" t="s">
        <v>1559</v>
      </c>
      <c r="BC168" s="83">
        <v>1</v>
      </c>
      <c r="BD168" s="84" t="s">
        <v>1560</v>
      </c>
      <c r="BE168" s="83">
        <v>1</v>
      </c>
      <c r="BF168" s="84" t="s">
        <v>1561</v>
      </c>
      <c r="BG168" s="84"/>
      <c r="BH168" s="84"/>
      <c r="BI168" s="83">
        <v>1</v>
      </c>
      <c r="BJ168" s="87" t="s">
        <v>1562</v>
      </c>
      <c r="BK168" s="83">
        <f>655/655*100%</f>
        <v>1</v>
      </c>
      <c r="BL168" s="86" t="s">
        <v>1563</v>
      </c>
      <c r="BM168" s="144">
        <f>500/500*100%</f>
        <v>1</v>
      </c>
      <c r="BN168" s="86" t="s">
        <v>1564</v>
      </c>
      <c r="BO168" s="144">
        <f>385/385*100%</f>
        <v>1</v>
      </c>
      <c r="BP168" s="86" t="s">
        <v>1565</v>
      </c>
      <c r="BQ168" s="131"/>
      <c r="BR168" s="131"/>
      <c r="BS168" s="83">
        <f>BK168/BM168/+BO168*100%</f>
        <v>1</v>
      </c>
      <c r="BT168" s="131"/>
      <c r="BU168" s="131"/>
      <c r="BV168" s="131"/>
      <c r="BW168" s="131"/>
      <c r="BX168" s="131"/>
      <c r="BY168" s="131"/>
      <c r="BZ168" s="131"/>
      <c r="CA168" s="131"/>
      <c r="CB168" s="131"/>
      <c r="CC168" s="83"/>
      <c r="CD168" s="131"/>
      <c r="CE168" s="83">
        <f t="shared" ref="CE168" si="41">BO168/AP168</f>
        <v>1</v>
      </c>
      <c r="CF168" s="131"/>
      <c r="CG168" s="362">
        <f>SUM(DH168:DH170)</f>
        <v>0</v>
      </c>
      <c r="CH168" s="363" t="s">
        <v>182</v>
      </c>
      <c r="CI168" s="363" t="s">
        <v>182</v>
      </c>
      <c r="CJ168" s="83" t="s">
        <v>182</v>
      </c>
      <c r="CK168" s="83" t="s">
        <v>182</v>
      </c>
      <c r="CL168" s="83" t="str">
        <f t="shared" si="36"/>
        <v>No aplica, no hay meta</v>
      </c>
      <c r="CM168" s="89" t="str">
        <f t="shared" si="37"/>
        <v>No se reportó avance</v>
      </c>
      <c r="CN168" s="89">
        <f t="shared" si="38"/>
        <v>1</v>
      </c>
      <c r="CO168" s="826">
        <v>45659</v>
      </c>
      <c r="CP168" s="145" t="s">
        <v>1566</v>
      </c>
      <c r="CQ168" s="145" t="s">
        <v>1567</v>
      </c>
      <c r="CR168" s="145" t="s">
        <v>1568</v>
      </c>
      <c r="CS168" s="145" t="s">
        <v>1569</v>
      </c>
      <c r="CT168" s="145" t="s">
        <v>200</v>
      </c>
      <c r="CU168" s="827" t="s">
        <v>162</v>
      </c>
      <c r="CV168" s="828">
        <v>1</v>
      </c>
      <c r="CW168" s="827" t="s">
        <v>252</v>
      </c>
      <c r="CX168" s="641">
        <v>46023</v>
      </c>
      <c r="CY168" s="641">
        <v>46387</v>
      </c>
      <c r="CZ168" s="146">
        <v>1</v>
      </c>
      <c r="DA168" s="146">
        <v>1</v>
      </c>
      <c r="DB168" s="146">
        <v>1</v>
      </c>
      <c r="DC168" s="146">
        <v>1</v>
      </c>
      <c r="DD168" s="146">
        <v>1</v>
      </c>
      <c r="DE168" s="827" t="s">
        <v>182</v>
      </c>
      <c r="DF168" s="827" t="s">
        <v>182</v>
      </c>
      <c r="DG168" s="827" t="s">
        <v>182</v>
      </c>
      <c r="DH168" s="827" t="s">
        <v>182</v>
      </c>
      <c r="DI168" s="827" t="s">
        <v>1540</v>
      </c>
      <c r="DJ168" s="827" t="s">
        <v>1541</v>
      </c>
      <c r="DK168" s="827" t="s">
        <v>1542</v>
      </c>
      <c r="DL168" s="145"/>
      <c r="DM168" s="145"/>
      <c r="DN168" s="83"/>
      <c r="DO168" s="86"/>
      <c r="DP168" s="148"/>
      <c r="DQ168" s="86"/>
      <c r="DR168" s="86"/>
      <c r="DS168" s="83"/>
      <c r="DT168" s="86"/>
      <c r="DU168" s="84"/>
      <c r="DV168" s="86"/>
      <c r="DW168" s="86"/>
      <c r="DX168" s="83"/>
      <c r="DY168" s="86"/>
      <c r="DZ168" s="364"/>
      <c r="EA168" s="86"/>
      <c r="EB168" s="86"/>
      <c r="EC168" s="84"/>
      <c r="ED168" s="84"/>
      <c r="EE168" s="84"/>
      <c r="EF168" s="84"/>
      <c r="EG168" s="84"/>
      <c r="EH168" s="83"/>
      <c r="EI168" s="131"/>
      <c r="EJ168" s="131"/>
      <c r="EK168" s="131"/>
      <c r="EL168" s="91" t="str">
        <f t="shared" si="39"/>
        <v>No se reportó avance</v>
      </c>
      <c r="EM168" s="83" t="str">
        <f t="shared" si="40"/>
        <v>No se reportó avance</v>
      </c>
      <c r="EN168" s="153"/>
    </row>
    <row r="169" spans="1:146" s="179" customFormat="1" ht="188.25" customHeight="1">
      <c r="A169" s="84" t="s">
        <v>1520</v>
      </c>
      <c r="B169" s="85" t="s">
        <v>4683</v>
      </c>
      <c r="C169" s="85" t="s">
        <v>243</v>
      </c>
      <c r="D169" s="85" t="s">
        <v>244</v>
      </c>
      <c r="E169" s="85" t="s">
        <v>245</v>
      </c>
      <c r="F169" s="84" t="s">
        <v>246</v>
      </c>
      <c r="G169" s="84" t="s">
        <v>201</v>
      </c>
      <c r="H169" s="84" t="s">
        <v>201</v>
      </c>
      <c r="I169" s="84" t="s">
        <v>454</v>
      </c>
      <c r="J169" s="84" t="s">
        <v>156</v>
      </c>
      <c r="K169" s="84" t="s">
        <v>535</v>
      </c>
      <c r="L169" s="84">
        <v>2</v>
      </c>
      <c r="M169" s="84" t="s">
        <v>1551</v>
      </c>
      <c r="N169" s="84" t="s">
        <v>1570</v>
      </c>
      <c r="O169" s="84" t="s">
        <v>1553</v>
      </c>
      <c r="P169" s="84" t="s">
        <v>200</v>
      </c>
      <c r="Q169" s="84" t="s">
        <v>162</v>
      </c>
      <c r="R169" s="83">
        <v>1</v>
      </c>
      <c r="S169" s="84" t="s">
        <v>252</v>
      </c>
      <c r="T169" s="90">
        <v>44927</v>
      </c>
      <c r="U169" s="90">
        <v>46387</v>
      </c>
      <c r="V169" s="90"/>
      <c r="W169" s="90"/>
      <c r="X169" s="90"/>
      <c r="Y169" s="90"/>
      <c r="Z169" s="83">
        <v>1</v>
      </c>
      <c r="AA169" s="83">
        <v>1</v>
      </c>
      <c r="AB169" s="83">
        <v>1</v>
      </c>
      <c r="AC169" s="83">
        <v>1</v>
      </c>
      <c r="AD169" s="83">
        <v>1</v>
      </c>
      <c r="AE169" s="83">
        <v>1</v>
      </c>
      <c r="AF169" s="83">
        <v>1</v>
      </c>
      <c r="AG169" s="83">
        <v>1</v>
      </c>
      <c r="AH169" s="83">
        <v>1</v>
      </c>
      <c r="AI169" s="83">
        <v>1</v>
      </c>
      <c r="AJ169" s="83">
        <v>1</v>
      </c>
      <c r="AK169" s="365"/>
      <c r="AL169" s="365"/>
      <c r="AM169" s="365"/>
      <c r="AN169" s="365"/>
      <c r="AO169" s="146">
        <v>1</v>
      </c>
      <c r="AP169" s="85">
        <v>1</v>
      </c>
      <c r="AQ169" s="84"/>
      <c r="AR169" s="84"/>
      <c r="AS169" s="84"/>
      <c r="AT169" s="84"/>
      <c r="AU169" s="84"/>
      <c r="AV169" s="84"/>
      <c r="AW169" s="84"/>
      <c r="AX169" s="84"/>
      <c r="AY169" s="84"/>
      <c r="AZ169" s="86"/>
      <c r="BA169" s="84"/>
      <c r="BB169" s="84"/>
      <c r="BC169" s="84"/>
      <c r="BD169" s="84"/>
      <c r="BE169" s="84"/>
      <c r="BF169" s="84"/>
      <c r="BG169" s="84"/>
      <c r="BH169" s="84"/>
      <c r="BI169" s="84"/>
      <c r="BJ169" s="86"/>
      <c r="BK169" s="84"/>
      <c r="BL169" s="86"/>
      <c r="BM169" s="131"/>
      <c r="BN169" s="153"/>
      <c r="BO169" s="131"/>
      <c r="BP169" s="153"/>
      <c r="BQ169" s="131"/>
      <c r="BR169" s="131"/>
      <c r="BS169" s="131"/>
      <c r="BT169" s="131"/>
      <c r="BU169" s="131"/>
      <c r="BV169" s="131"/>
      <c r="BW169" s="131"/>
      <c r="BX169" s="131"/>
      <c r="BY169" s="131"/>
      <c r="BZ169" s="131"/>
      <c r="CA169" s="131"/>
      <c r="CB169" s="131"/>
      <c r="CC169" s="84"/>
      <c r="CD169" s="131"/>
      <c r="CE169" s="83"/>
      <c r="CF169" s="131"/>
      <c r="CG169" s="668" t="s">
        <v>182</v>
      </c>
      <c r="CH169" s="131" t="s">
        <v>182</v>
      </c>
      <c r="CI169" s="131" t="s">
        <v>182</v>
      </c>
      <c r="CJ169" s="83" t="s">
        <v>182</v>
      </c>
      <c r="CK169" s="83" t="s">
        <v>182</v>
      </c>
      <c r="CL169" s="83" t="str">
        <f t="shared" si="36"/>
        <v>No requiere reporte</v>
      </c>
      <c r="CM169" s="89" t="str">
        <f t="shared" si="37"/>
        <v>No requiere reporte</v>
      </c>
      <c r="CN169" s="89" t="str">
        <f t="shared" si="38"/>
        <v>No requiere reporte</v>
      </c>
      <c r="CO169" s="826">
        <v>45690</v>
      </c>
      <c r="CP169" s="145" t="s">
        <v>1571</v>
      </c>
      <c r="CQ169" s="145" t="s">
        <v>1572</v>
      </c>
      <c r="CR169" s="145" t="s">
        <v>1573</v>
      </c>
      <c r="CS169" s="145" t="s">
        <v>1574</v>
      </c>
      <c r="CT169" s="145" t="s">
        <v>200</v>
      </c>
      <c r="CU169" s="827" t="s">
        <v>162</v>
      </c>
      <c r="CV169" s="828">
        <v>1</v>
      </c>
      <c r="CW169" s="827" t="s">
        <v>252</v>
      </c>
      <c r="CX169" s="641">
        <v>46023</v>
      </c>
      <c r="CY169" s="641">
        <v>46387</v>
      </c>
      <c r="CZ169" s="146">
        <v>1</v>
      </c>
      <c r="DA169" s="146">
        <v>1</v>
      </c>
      <c r="DB169" s="146">
        <v>1</v>
      </c>
      <c r="DC169" s="146">
        <v>1</v>
      </c>
      <c r="DD169" s="146">
        <v>1</v>
      </c>
      <c r="DE169" s="827" t="s">
        <v>182</v>
      </c>
      <c r="DF169" s="827" t="s">
        <v>182</v>
      </c>
      <c r="DG169" s="827" t="s">
        <v>182</v>
      </c>
      <c r="DH169" s="827" t="s">
        <v>182</v>
      </c>
      <c r="DI169" s="827" t="s">
        <v>1540</v>
      </c>
      <c r="DJ169" s="827" t="s">
        <v>1541</v>
      </c>
      <c r="DK169" s="827" t="s">
        <v>1542</v>
      </c>
      <c r="DL169" s="145"/>
      <c r="DM169" s="145"/>
      <c r="DN169" s="146"/>
      <c r="DO169" s="677"/>
      <c r="DP169" s="293"/>
      <c r="DQ169" s="677"/>
      <c r="DR169" s="677"/>
      <c r="DS169" s="146"/>
      <c r="DT169" s="677"/>
      <c r="DU169" s="145"/>
      <c r="DV169" s="677"/>
      <c r="DW169" s="677"/>
      <c r="DX169" s="146"/>
      <c r="DY169" s="677"/>
      <c r="DZ169" s="364"/>
      <c r="EA169" s="677"/>
      <c r="EB169" s="677"/>
      <c r="EC169" s="145"/>
      <c r="ED169" s="145"/>
      <c r="EE169" s="145"/>
      <c r="EF169" s="145"/>
      <c r="EG169" s="145"/>
      <c r="EH169" s="146"/>
      <c r="EI169" s="668"/>
      <c r="EJ169" s="668"/>
      <c r="EK169" s="668"/>
      <c r="EL169" s="91" t="str">
        <f t="shared" si="39"/>
        <v>No se reportó avance</v>
      </c>
      <c r="EM169" s="83" t="str">
        <f t="shared" si="40"/>
        <v>No se reportó avance</v>
      </c>
      <c r="EN169" s="153"/>
    </row>
    <row r="170" spans="1:146" s="179" customFormat="1" ht="188.25" customHeight="1">
      <c r="A170" s="84" t="s">
        <v>1520</v>
      </c>
      <c r="B170" s="85" t="s">
        <v>4683</v>
      </c>
      <c r="C170" s="85" t="s">
        <v>243</v>
      </c>
      <c r="D170" s="85" t="s">
        <v>244</v>
      </c>
      <c r="E170" s="85" t="s">
        <v>245</v>
      </c>
      <c r="F170" s="84" t="s">
        <v>246</v>
      </c>
      <c r="G170" s="84" t="s">
        <v>201</v>
      </c>
      <c r="H170" s="84" t="s">
        <v>201</v>
      </c>
      <c r="I170" s="84" t="s">
        <v>454</v>
      </c>
      <c r="J170" s="84" t="s">
        <v>156</v>
      </c>
      <c r="K170" s="84" t="s">
        <v>535</v>
      </c>
      <c r="L170" s="84">
        <v>2</v>
      </c>
      <c r="M170" s="84" t="s">
        <v>1551</v>
      </c>
      <c r="N170" s="84" t="s">
        <v>1570</v>
      </c>
      <c r="O170" s="84" t="s">
        <v>1553</v>
      </c>
      <c r="P170" s="84" t="s">
        <v>200</v>
      </c>
      <c r="Q170" s="84" t="s">
        <v>162</v>
      </c>
      <c r="R170" s="83">
        <v>1</v>
      </c>
      <c r="S170" s="84" t="s">
        <v>252</v>
      </c>
      <c r="T170" s="90"/>
      <c r="U170" s="90"/>
      <c r="V170" s="90"/>
      <c r="W170" s="90"/>
      <c r="X170" s="90"/>
      <c r="Y170" s="90"/>
      <c r="Z170" s="83"/>
      <c r="AA170" s="83"/>
      <c r="AB170" s="83"/>
      <c r="AC170" s="83"/>
      <c r="AD170" s="83"/>
      <c r="AE170" s="83"/>
      <c r="AF170" s="83"/>
      <c r="AG170" s="83"/>
      <c r="AH170" s="83"/>
      <c r="AI170" s="83"/>
      <c r="AJ170" s="83"/>
      <c r="AK170" s="365"/>
      <c r="AL170" s="365"/>
      <c r="AM170" s="365"/>
      <c r="AN170" s="365"/>
      <c r="AO170" s="146"/>
      <c r="AP170" s="85"/>
      <c r="AQ170" s="84"/>
      <c r="AR170" s="84"/>
      <c r="AS170" s="84"/>
      <c r="AT170" s="84"/>
      <c r="AU170" s="84"/>
      <c r="AV170" s="84"/>
      <c r="AW170" s="84"/>
      <c r="AX170" s="84"/>
      <c r="AY170" s="84"/>
      <c r="AZ170" s="86"/>
      <c r="BA170" s="84"/>
      <c r="BB170" s="84"/>
      <c r="BC170" s="84"/>
      <c r="BD170" s="84"/>
      <c r="BE170" s="84"/>
      <c r="BF170" s="84"/>
      <c r="BG170" s="84"/>
      <c r="BH170" s="84"/>
      <c r="BI170" s="84"/>
      <c r="BJ170" s="86"/>
      <c r="BK170" s="84"/>
      <c r="BL170" s="86"/>
      <c r="BM170" s="131"/>
      <c r="BN170" s="153"/>
      <c r="BO170" s="131"/>
      <c r="BP170" s="153"/>
      <c r="BQ170" s="131"/>
      <c r="BR170" s="131"/>
      <c r="BS170" s="131"/>
      <c r="BT170" s="131"/>
      <c r="BU170" s="131"/>
      <c r="BV170" s="131"/>
      <c r="BW170" s="131"/>
      <c r="BX170" s="131"/>
      <c r="BY170" s="131"/>
      <c r="BZ170" s="131"/>
      <c r="CA170" s="131"/>
      <c r="CB170" s="131"/>
      <c r="CC170" s="84"/>
      <c r="CD170" s="131"/>
      <c r="CE170" s="83"/>
      <c r="CF170" s="131"/>
      <c r="CG170" s="668"/>
      <c r="CH170" s="131"/>
      <c r="CI170" s="131"/>
      <c r="CJ170" s="83"/>
      <c r="CK170" s="83"/>
      <c r="CL170" s="83" t="str">
        <f t="shared" si="36"/>
        <v>No requiere reporte</v>
      </c>
      <c r="CM170" s="89" t="str">
        <f t="shared" si="37"/>
        <v>No requiere reporte</v>
      </c>
      <c r="CN170" s="89" t="str">
        <f t="shared" si="38"/>
        <v>No requiere reporte</v>
      </c>
      <c r="CO170" s="826">
        <v>45718</v>
      </c>
      <c r="CP170" s="145" t="s">
        <v>1575</v>
      </c>
      <c r="CQ170" s="145" t="s">
        <v>1576</v>
      </c>
      <c r="CR170" s="145" t="s">
        <v>1577</v>
      </c>
      <c r="CS170" s="145" t="s">
        <v>1578</v>
      </c>
      <c r="CT170" s="145" t="s">
        <v>200</v>
      </c>
      <c r="CU170" s="827" t="s">
        <v>233</v>
      </c>
      <c r="CV170" s="827">
        <v>12</v>
      </c>
      <c r="CW170" s="827" t="s">
        <v>402</v>
      </c>
      <c r="CX170" s="641">
        <v>46023</v>
      </c>
      <c r="CY170" s="641">
        <v>46387</v>
      </c>
      <c r="CZ170" s="642">
        <v>3</v>
      </c>
      <c r="DA170" s="642">
        <v>3</v>
      </c>
      <c r="DB170" s="642">
        <v>3</v>
      </c>
      <c r="DC170" s="642">
        <v>3</v>
      </c>
      <c r="DD170" s="642">
        <v>12</v>
      </c>
      <c r="DE170" s="827" t="s">
        <v>182</v>
      </c>
      <c r="DF170" s="827" t="s">
        <v>182</v>
      </c>
      <c r="DG170" s="827" t="s">
        <v>182</v>
      </c>
      <c r="DH170" s="827" t="s">
        <v>182</v>
      </c>
      <c r="DI170" s="827" t="s">
        <v>1540</v>
      </c>
      <c r="DJ170" s="827" t="s">
        <v>1541</v>
      </c>
      <c r="DK170" s="827" t="s">
        <v>1542</v>
      </c>
      <c r="DL170" s="145"/>
      <c r="DM170" s="145"/>
      <c r="DN170" s="146"/>
      <c r="DO170" s="677"/>
      <c r="DP170" s="293"/>
      <c r="DQ170" s="677"/>
      <c r="DR170" s="677"/>
      <c r="DS170" s="146"/>
      <c r="DT170" s="677"/>
      <c r="DU170" s="145"/>
      <c r="DV170" s="677"/>
      <c r="DW170" s="677"/>
      <c r="DX170" s="146"/>
      <c r="DY170" s="677"/>
      <c r="DZ170" s="364"/>
      <c r="EA170" s="677"/>
      <c r="EB170" s="677"/>
      <c r="EC170" s="145"/>
      <c r="ED170" s="145"/>
      <c r="EE170" s="145"/>
      <c r="EF170" s="145"/>
      <c r="EG170" s="145"/>
      <c r="EH170" s="146"/>
      <c r="EI170" s="668"/>
      <c r="EJ170" s="668"/>
      <c r="EK170" s="668"/>
      <c r="EL170" s="91" t="str">
        <f t="shared" si="39"/>
        <v>No se reportó avance</v>
      </c>
      <c r="EM170" s="83" t="str">
        <f t="shared" si="40"/>
        <v>No se reportó avance</v>
      </c>
      <c r="EN170" s="153"/>
    </row>
    <row r="171" spans="1:146" s="93" customFormat="1" ht="170.25" customHeight="1">
      <c r="A171" s="74" t="s">
        <v>1520</v>
      </c>
      <c r="B171" s="75" t="s">
        <v>4683</v>
      </c>
      <c r="C171" s="75" t="s">
        <v>243</v>
      </c>
      <c r="D171" s="75" t="s">
        <v>244</v>
      </c>
      <c r="E171" s="75" t="s">
        <v>245</v>
      </c>
      <c r="F171" s="74" t="s">
        <v>246</v>
      </c>
      <c r="G171" s="74" t="s">
        <v>201</v>
      </c>
      <c r="H171" s="74" t="s">
        <v>201</v>
      </c>
      <c r="I171" s="74" t="s">
        <v>454</v>
      </c>
      <c r="J171" s="74" t="s">
        <v>156</v>
      </c>
      <c r="K171" s="74" t="s">
        <v>535</v>
      </c>
      <c r="L171" s="78">
        <v>3</v>
      </c>
      <c r="M171" s="78" t="s">
        <v>1579</v>
      </c>
      <c r="N171" s="78" t="s">
        <v>1580</v>
      </c>
      <c r="O171" s="78" t="s">
        <v>1581</v>
      </c>
      <c r="P171" s="78" t="s">
        <v>200</v>
      </c>
      <c r="Q171" s="78" t="s">
        <v>233</v>
      </c>
      <c r="R171" s="366">
        <v>4</v>
      </c>
      <c r="S171" s="78" t="s">
        <v>402</v>
      </c>
      <c r="T171" s="80">
        <v>44927</v>
      </c>
      <c r="U171" s="80">
        <v>46387</v>
      </c>
      <c r="V171" s="81"/>
      <c r="W171" s="81"/>
      <c r="X171" s="81"/>
      <c r="Y171" s="81"/>
      <c r="Z171" s="367">
        <v>4</v>
      </c>
      <c r="AA171" s="368">
        <v>1</v>
      </c>
      <c r="AB171" s="368">
        <v>1</v>
      </c>
      <c r="AC171" s="368">
        <v>1</v>
      </c>
      <c r="AD171" s="368">
        <v>1</v>
      </c>
      <c r="AE171" s="367">
        <v>4</v>
      </c>
      <c r="AF171" s="366">
        <v>1</v>
      </c>
      <c r="AG171" s="366">
        <v>1</v>
      </c>
      <c r="AH171" s="366">
        <v>1</v>
      </c>
      <c r="AI171" s="366">
        <v>1</v>
      </c>
      <c r="AJ171" s="366">
        <v>4</v>
      </c>
      <c r="AK171" s="296"/>
      <c r="AL171" s="296"/>
      <c r="AM171" s="296"/>
      <c r="AN171" s="296"/>
      <c r="AO171" s="369">
        <v>4</v>
      </c>
      <c r="AP171" s="78">
        <v>16</v>
      </c>
      <c r="AQ171" s="84"/>
      <c r="AR171" s="84" t="s">
        <v>1582</v>
      </c>
      <c r="AS171" s="84"/>
      <c r="AT171" s="84" t="s">
        <v>1583</v>
      </c>
      <c r="AU171" s="84"/>
      <c r="AV171" s="84" t="s">
        <v>1584</v>
      </c>
      <c r="AW171" s="84"/>
      <c r="AX171" s="84" t="s">
        <v>1585</v>
      </c>
      <c r="AY171" s="123">
        <v>4</v>
      </c>
      <c r="AZ171" s="86" t="s">
        <v>1586</v>
      </c>
      <c r="BA171" s="122">
        <v>1</v>
      </c>
      <c r="BB171" s="84" t="s">
        <v>1587</v>
      </c>
      <c r="BC171" s="122">
        <v>3</v>
      </c>
      <c r="BD171" s="84" t="s">
        <v>1588</v>
      </c>
      <c r="BE171" s="122">
        <v>1</v>
      </c>
      <c r="BF171" s="84" t="s">
        <v>1589</v>
      </c>
      <c r="BG171" s="84"/>
      <c r="BH171" s="84"/>
      <c r="BI171" s="122">
        <v>4</v>
      </c>
      <c r="BJ171" s="86" t="s">
        <v>1590</v>
      </c>
      <c r="BK171" s="84">
        <v>2</v>
      </c>
      <c r="BL171" s="86" t="s">
        <v>1591</v>
      </c>
      <c r="BM171" s="131">
        <v>5</v>
      </c>
      <c r="BN171" s="86" t="s">
        <v>1592</v>
      </c>
      <c r="BO171" s="131">
        <v>3</v>
      </c>
      <c r="BP171" s="86" t="s">
        <v>1593</v>
      </c>
      <c r="BQ171" s="131"/>
      <c r="BR171" s="131"/>
      <c r="BS171" s="131">
        <f>(BK171+BM171+BO171)</f>
        <v>10</v>
      </c>
      <c r="BT171" s="131"/>
      <c r="BU171" s="131"/>
      <c r="BV171" s="131"/>
      <c r="BW171" s="131"/>
      <c r="BX171" s="131"/>
      <c r="BY171" s="131"/>
      <c r="BZ171" s="131"/>
      <c r="CA171" s="131"/>
      <c r="CB171" s="131"/>
      <c r="CC171" s="84"/>
      <c r="CD171" s="131"/>
      <c r="CE171" s="123">
        <v>19</v>
      </c>
      <c r="CF171" s="131"/>
      <c r="CG171" s="362">
        <f>SUM(DH171:DH172)</f>
        <v>0</v>
      </c>
      <c r="CH171" s="363" t="s">
        <v>182</v>
      </c>
      <c r="CI171" s="363" t="s">
        <v>182</v>
      </c>
      <c r="CJ171" s="83" t="s">
        <v>182</v>
      </c>
      <c r="CK171" s="83" t="s">
        <v>182</v>
      </c>
      <c r="CL171" s="83" t="str">
        <f t="shared" si="36"/>
        <v>No aplica, no hay meta</v>
      </c>
      <c r="CM171" s="89" t="str">
        <f t="shared" si="37"/>
        <v>No se reportó avance</v>
      </c>
      <c r="CN171" s="89">
        <f t="shared" si="38"/>
        <v>1.0000100000000001</v>
      </c>
      <c r="CO171" s="826">
        <v>45660</v>
      </c>
      <c r="CP171" s="145" t="s">
        <v>1594</v>
      </c>
      <c r="CQ171" s="145" t="s">
        <v>1595</v>
      </c>
      <c r="CR171" s="145" t="s">
        <v>1596</v>
      </c>
      <c r="CS171" s="145" t="s">
        <v>1597</v>
      </c>
      <c r="CT171" s="145" t="s">
        <v>200</v>
      </c>
      <c r="CU171" s="827" t="s">
        <v>233</v>
      </c>
      <c r="CV171" s="827">
        <v>12</v>
      </c>
      <c r="CW171" s="827" t="s">
        <v>402</v>
      </c>
      <c r="CX171" s="641">
        <v>46023</v>
      </c>
      <c r="CY171" s="641">
        <v>46387</v>
      </c>
      <c r="CZ171" s="642">
        <v>3</v>
      </c>
      <c r="DA171" s="642">
        <v>3</v>
      </c>
      <c r="DB171" s="642">
        <v>3</v>
      </c>
      <c r="DC171" s="642">
        <v>3</v>
      </c>
      <c r="DD171" s="642">
        <v>12</v>
      </c>
      <c r="DE171" s="827" t="s">
        <v>182</v>
      </c>
      <c r="DF171" s="827" t="s">
        <v>182</v>
      </c>
      <c r="DG171" s="827" t="s">
        <v>182</v>
      </c>
      <c r="DH171" s="827" t="s">
        <v>182</v>
      </c>
      <c r="DI171" s="827" t="s">
        <v>1540</v>
      </c>
      <c r="DJ171" s="827" t="s">
        <v>1541</v>
      </c>
      <c r="DK171" s="827" t="s">
        <v>1542</v>
      </c>
      <c r="DL171" s="145"/>
      <c r="DM171" s="145"/>
      <c r="DN171" s="84"/>
      <c r="DO171" s="86"/>
      <c r="DP171" s="148"/>
      <c r="DQ171" s="86"/>
      <c r="DR171" s="86"/>
      <c r="DS171" s="84"/>
      <c r="DT171" s="86"/>
      <c r="DU171" s="84"/>
      <c r="DV171" s="86"/>
      <c r="DW171" s="86"/>
      <c r="DX171" s="145"/>
      <c r="DY171" s="677"/>
      <c r="DZ171" s="364"/>
      <c r="EA171" s="677"/>
      <c r="EB171" s="677"/>
      <c r="EC171" s="84"/>
      <c r="ED171" s="84"/>
      <c r="EE171" s="84"/>
      <c r="EF171" s="84"/>
      <c r="EG171" s="84"/>
      <c r="EH171" s="145"/>
      <c r="EI171" s="131"/>
      <c r="EJ171" s="131"/>
      <c r="EK171" s="131"/>
      <c r="EL171" s="91" t="str">
        <f t="shared" si="39"/>
        <v>No se reportó avance</v>
      </c>
      <c r="EM171" s="83" t="str">
        <f t="shared" si="40"/>
        <v>No se reportó avance</v>
      </c>
      <c r="EN171" s="153"/>
    </row>
    <row r="172" spans="1:146" s="179" customFormat="1" ht="165.75" customHeight="1">
      <c r="A172" s="84" t="s">
        <v>1520</v>
      </c>
      <c r="B172" s="85" t="s">
        <v>4683</v>
      </c>
      <c r="C172" s="85" t="s">
        <v>243</v>
      </c>
      <c r="D172" s="85" t="s">
        <v>244</v>
      </c>
      <c r="E172" s="85" t="s">
        <v>245</v>
      </c>
      <c r="F172" s="84" t="s">
        <v>246</v>
      </c>
      <c r="G172" s="84" t="s">
        <v>201</v>
      </c>
      <c r="H172" s="84" t="s">
        <v>201</v>
      </c>
      <c r="I172" s="84" t="s">
        <v>454</v>
      </c>
      <c r="J172" s="84" t="s">
        <v>156</v>
      </c>
      <c r="K172" s="84" t="s">
        <v>535</v>
      </c>
      <c r="L172" s="84">
        <v>3</v>
      </c>
      <c r="M172" s="84" t="s">
        <v>1579</v>
      </c>
      <c r="N172" s="84" t="s">
        <v>1580</v>
      </c>
      <c r="O172" s="84" t="s">
        <v>1581</v>
      </c>
      <c r="P172" s="84" t="s">
        <v>200</v>
      </c>
      <c r="Q172" s="84" t="s">
        <v>233</v>
      </c>
      <c r="R172" s="84">
        <v>4</v>
      </c>
      <c r="S172" s="84" t="s">
        <v>402</v>
      </c>
      <c r="T172" s="90">
        <v>44927</v>
      </c>
      <c r="U172" s="90">
        <v>46387</v>
      </c>
      <c r="V172" s="90"/>
      <c r="W172" s="90"/>
      <c r="X172" s="90"/>
      <c r="Y172" s="90"/>
      <c r="Z172" s="115">
        <v>4</v>
      </c>
      <c r="AA172" s="123">
        <v>1</v>
      </c>
      <c r="AB172" s="123">
        <v>1</v>
      </c>
      <c r="AC172" s="123">
        <v>1</v>
      </c>
      <c r="AD172" s="123">
        <v>1</v>
      </c>
      <c r="AE172" s="115">
        <v>4</v>
      </c>
      <c r="AF172" s="123">
        <v>1</v>
      </c>
      <c r="AG172" s="123">
        <v>1</v>
      </c>
      <c r="AH172" s="123">
        <v>1</v>
      </c>
      <c r="AI172" s="123">
        <v>1</v>
      </c>
      <c r="AJ172" s="123">
        <v>4</v>
      </c>
      <c r="AK172" s="154"/>
      <c r="AL172" s="154"/>
      <c r="AM172" s="154"/>
      <c r="AN172" s="154"/>
      <c r="AO172" s="353">
        <v>4</v>
      </c>
      <c r="AP172" s="84">
        <v>16</v>
      </c>
      <c r="AQ172" s="84"/>
      <c r="AR172" s="84"/>
      <c r="AS172" s="84"/>
      <c r="AT172" s="84"/>
      <c r="AU172" s="84"/>
      <c r="AV172" s="84"/>
      <c r="AW172" s="84"/>
      <c r="AX172" s="84"/>
      <c r="AY172" s="84"/>
      <c r="AZ172" s="86"/>
      <c r="BA172" s="84"/>
      <c r="BB172" s="84"/>
      <c r="BC172" s="84"/>
      <c r="BD172" s="84"/>
      <c r="BE172" s="84"/>
      <c r="BF172" s="84"/>
      <c r="BG172" s="84"/>
      <c r="BH172" s="84"/>
      <c r="BI172" s="84"/>
      <c r="BJ172" s="86"/>
      <c r="BK172" s="84"/>
      <c r="BL172" s="86"/>
      <c r="BM172" s="131"/>
      <c r="BN172" s="153"/>
      <c r="BO172" s="131"/>
      <c r="BP172" s="153"/>
      <c r="BQ172" s="131"/>
      <c r="BR172" s="131"/>
      <c r="BS172" s="131"/>
      <c r="BT172" s="131"/>
      <c r="BU172" s="131"/>
      <c r="BV172" s="131"/>
      <c r="BW172" s="131"/>
      <c r="BX172" s="131"/>
      <c r="BY172" s="131"/>
      <c r="BZ172" s="131"/>
      <c r="CA172" s="131"/>
      <c r="CB172" s="131"/>
      <c r="CC172" s="84"/>
      <c r="CD172" s="131"/>
      <c r="CE172" s="83"/>
      <c r="CF172" s="131"/>
      <c r="CG172" s="668" t="s">
        <v>182</v>
      </c>
      <c r="CH172" s="131" t="s">
        <v>182</v>
      </c>
      <c r="CI172" s="131" t="s">
        <v>182</v>
      </c>
      <c r="CJ172" s="83" t="s">
        <v>182</v>
      </c>
      <c r="CK172" s="83" t="s">
        <v>182</v>
      </c>
      <c r="CL172" s="83" t="str">
        <f t="shared" si="36"/>
        <v>No requiere reporte</v>
      </c>
      <c r="CM172" s="89" t="str">
        <f t="shared" si="37"/>
        <v>No requiere reporte</v>
      </c>
      <c r="CN172" s="89" t="str">
        <f t="shared" si="38"/>
        <v>No requiere reporte</v>
      </c>
      <c r="CO172" s="826">
        <v>45691</v>
      </c>
      <c r="CP172" s="145" t="s">
        <v>1598</v>
      </c>
      <c r="CQ172" s="145" t="s">
        <v>1599</v>
      </c>
      <c r="CR172" s="145" t="s">
        <v>1600</v>
      </c>
      <c r="CS172" s="145" t="s">
        <v>1601</v>
      </c>
      <c r="CT172" s="145" t="s">
        <v>200</v>
      </c>
      <c r="CU172" s="827" t="s">
        <v>233</v>
      </c>
      <c r="CV172" s="827">
        <v>12</v>
      </c>
      <c r="CW172" s="827" t="s">
        <v>402</v>
      </c>
      <c r="CX172" s="641">
        <v>46023</v>
      </c>
      <c r="CY172" s="641">
        <v>46387</v>
      </c>
      <c r="CZ172" s="642">
        <v>3</v>
      </c>
      <c r="DA172" s="642">
        <v>3</v>
      </c>
      <c r="DB172" s="642">
        <v>3</v>
      </c>
      <c r="DC172" s="642">
        <v>3</v>
      </c>
      <c r="DD172" s="642">
        <v>12</v>
      </c>
      <c r="DE172" s="827" t="s">
        <v>182</v>
      </c>
      <c r="DF172" s="827" t="s">
        <v>182</v>
      </c>
      <c r="DG172" s="827" t="s">
        <v>182</v>
      </c>
      <c r="DH172" s="827" t="s">
        <v>182</v>
      </c>
      <c r="DI172" s="827" t="s">
        <v>1540</v>
      </c>
      <c r="DJ172" s="827" t="s">
        <v>1541</v>
      </c>
      <c r="DK172" s="827" t="s">
        <v>1542</v>
      </c>
      <c r="DL172" s="145"/>
      <c r="DM172" s="145"/>
      <c r="DN172" s="714"/>
      <c r="DO172" s="677"/>
      <c r="DP172" s="293"/>
      <c r="DQ172" s="677"/>
      <c r="DR172" s="677"/>
      <c r="DS172" s="145"/>
      <c r="DT172" s="677"/>
      <c r="DU172" s="145"/>
      <c r="DV172" s="677"/>
      <c r="DW172" s="677"/>
      <c r="DX172" s="145"/>
      <c r="DY172" s="677"/>
      <c r="DZ172" s="364"/>
      <c r="EA172" s="677"/>
      <c r="EB172" s="677"/>
      <c r="EC172" s="145"/>
      <c r="ED172" s="145"/>
      <c r="EE172" s="145"/>
      <c r="EF172" s="145"/>
      <c r="EG172" s="145"/>
      <c r="EH172" s="145"/>
      <c r="EI172" s="668"/>
      <c r="EJ172" s="668"/>
      <c r="EK172" s="668"/>
      <c r="EL172" s="91" t="str">
        <f t="shared" si="39"/>
        <v>No se reportó avance</v>
      </c>
      <c r="EM172" s="83" t="str">
        <f t="shared" si="40"/>
        <v>No se reportó avance</v>
      </c>
      <c r="EN172" s="153"/>
    </row>
    <row r="173" spans="1:146" s="93" customFormat="1" ht="150" customHeight="1">
      <c r="A173" s="74" t="s">
        <v>1602</v>
      </c>
      <c r="B173" s="75" t="s">
        <v>1603</v>
      </c>
      <c r="C173" s="75" t="s">
        <v>1604</v>
      </c>
      <c r="D173" s="75" t="s">
        <v>1605</v>
      </c>
      <c r="E173" s="75" t="s">
        <v>1606</v>
      </c>
      <c r="F173" s="74" t="s">
        <v>1607</v>
      </c>
      <c r="G173" s="74" t="s">
        <v>1607</v>
      </c>
      <c r="H173" s="74" t="s">
        <v>1607</v>
      </c>
      <c r="I173" s="74" t="s">
        <v>1608</v>
      </c>
      <c r="J173" s="74" t="s">
        <v>1609</v>
      </c>
      <c r="K173" s="74" t="s">
        <v>182</v>
      </c>
      <c r="L173" s="176">
        <v>1</v>
      </c>
      <c r="M173" s="78" t="s">
        <v>1610</v>
      </c>
      <c r="N173" s="78" t="s">
        <v>1611</v>
      </c>
      <c r="O173" s="78" t="s">
        <v>1612</v>
      </c>
      <c r="P173" s="78" t="s">
        <v>200</v>
      </c>
      <c r="Q173" s="78" t="s">
        <v>233</v>
      </c>
      <c r="R173" s="176">
        <v>84</v>
      </c>
      <c r="S173" s="78" t="s">
        <v>402</v>
      </c>
      <c r="T173" s="80">
        <v>44927</v>
      </c>
      <c r="U173" s="80">
        <v>46387</v>
      </c>
      <c r="V173" s="121"/>
      <c r="W173" s="121"/>
      <c r="X173" s="121"/>
      <c r="Y173" s="121"/>
      <c r="Z173" s="366">
        <v>150</v>
      </c>
      <c r="AA173" s="192">
        <v>8</v>
      </c>
      <c r="AB173" s="192">
        <v>23</v>
      </c>
      <c r="AC173" s="192">
        <v>23</v>
      </c>
      <c r="AD173" s="192">
        <v>33</v>
      </c>
      <c r="AE173" s="366">
        <f>AA173+AB173+AC173+AD173</f>
        <v>87</v>
      </c>
      <c r="AF173" s="176">
        <v>9</v>
      </c>
      <c r="AG173" s="176">
        <v>20</v>
      </c>
      <c r="AH173" s="176">
        <v>16</v>
      </c>
      <c r="AI173" s="176">
        <v>25</v>
      </c>
      <c r="AJ173" s="176">
        <f>AI173+AH173+AG173+AF173</f>
        <v>70</v>
      </c>
      <c r="AK173" s="176">
        <v>9</v>
      </c>
      <c r="AL173" s="176">
        <v>13</v>
      </c>
      <c r="AM173" s="176">
        <v>14</v>
      </c>
      <c r="AN173" s="176">
        <v>18</v>
      </c>
      <c r="AO173" s="176">
        <f>AN173+AM173+AL173+AK173</f>
        <v>54</v>
      </c>
      <c r="AP173" s="366">
        <f>AO173+AE173+Z173+AJ173</f>
        <v>361</v>
      </c>
      <c r="AQ173" s="170">
        <v>16</v>
      </c>
      <c r="AR173" s="692" t="s">
        <v>1613</v>
      </c>
      <c r="AS173" s="170">
        <v>18</v>
      </c>
      <c r="AT173" s="692" t="s">
        <v>1614</v>
      </c>
      <c r="AU173" s="170">
        <v>46</v>
      </c>
      <c r="AV173" s="692" t="s">
        <v>1615</v>
      </c>
      <c r="AW173" s="170">
        <v>39</v>
      </c>
      <c r="AX173" s="796" t="s">
        <v>1616</v>
      </c>
      <c r="AY173" s="335">
        <v>119</v>
      </c>
      <c r="AZ173" s="370" t="s">
        <v>1617</v>
      </c>
      <c r="BA173" s="335">
        <v>21</v>
      </c>
      <c r="BB173" s="370" t="s">
        <v>1618</v>
      </c>
      <c r="BC173" s="335">
        <v>16</v>
      </c>
      <c r="BD173" s="370" t="s">
        <v>1619</v>
      </c>
      <c r="BE173" s="335">
        <f>5+9+9</f>
        <v>23</v>
      </c>
      <c r="BF173" s="170" t="s">
        <v>1620</v>
      </c>
      <c r="BG173" s="335">
        <v>27</v>
      </c>
      <c r="BH173" s="175" t="s">
        <v>1621</v>
      </c>
      <c r="BI173" s="122">
        <v>87</v>
      </c>
      <c r="BJ173" s="87" t="s">
        <v>1622</v>
      </c>
      <c r="BK173" s="84">
        <f>1+4+4</f>
        <v>9</v>
      </c>
      <c r="BL173" s="86" t="s">
        <v>1623</v>
      </c>
      <c r="BM173" s="84">
        <f>7+8+5</f>
        <v>20</v>
      </c>
      <c r="BN173" s="86" t="s">
        <v>1624</v>
      </c>
      <c r="BO173" s="84">
        <f>5+5+6</f>
        <v>16</v>
      </c>
      <c r="BP173" s="86" t="s">
        <v>1625</v>
      </c>
      <c r="BQ173" s="84"/>
      <c r="BR173" s="84"/>
      <c r="BS173" s="122">
        <f>BO173+BM173+BK173</f>
        <v>45</v>
      </c>
      <c r="BT173" s="131"/>
      <c r="BU173" s="84"/>
      <c r="BV173" s="84"/>
      <c r="BW173" s="84"/>
      <c r="BX173" s="84"/>
      <c r="BY173" s="84"/>
      <c r="BZ173" s="84"/>
      <c r="CA173" s="84"/>
      <c r="CB173" s="84"/>
      <c r="CC173" s="84"/>
      <c r="CD173" s="84"/>
      <c r="CE173" s="122">
        <f>BS173+BI173</f>
        <v>132</v>
      </c>
      <c r="CF173" s="84"/>
      <c r="CG173" s="371">
        <f>SUM(DH173:DH174)</f>
        <v>1622000000</v>
      </c>
      <c r="CH173" s="372"/>
      <c r="CI173" s="372"/>
      <c r="CJ173" s="83">
        <f t="shared" ref="CJ173:CJ236" si="42">+IFERROR(CH173/CG173,"No aplica")</f>
        <v>0</v>
      </c>
      <c r="CK173" s="83">
        <f t="shared" ref="CK173:CK236" si="43">+IFERROR(CI173/CG173,"No aplica")</f>
        <v>0</v>
      </c>
      <c r="CL173" s="83" t="str">
        <f t="shared" si="36"/>
        <v>No se reportó avance</v>
      </c>
      <c r="CM173" s="89" t="str">
        <f t="shared" si="37"/>
        <v>No se reportó avance</v>
      </c>
      <c r="CN173" s="89">
        <f t="shared" si="38"/>
        <v>0.36565096952908588</v>
      </c>
      <c r="CO173" s="84" t="s">
        <v>177</v>
      </c>
      <c r="CP173" s="84" t="s">
        <v>1626</v>
      </c>
      <c r="CQ173" s="84" t="s">
        <v>1627</v>
      </c>
      <c r="CR173" s="84" t="s">
        <v>1628</v>
      </c>
      <c r="CS173" s="84" t="s">
        <v>1629</v>
      </c>
      <c r="CT173" s="84" t="s">
        <v>953</v>
      </c>
      <c r="CU173" s="84" t="s">
        <v>233</v>
      </c>
      <c r="CV173" s="122">
        <v>51</v>
      </c>
      <c r="CW173" s="84" t="s">
        <v>402</v>
      </c>
      <c r="CX173" s="90">
        <v>46023</v>
      </c>
      <c r="CY173" s="90">
        <v>46387</v>
      </c>
      <c r="CZ173" s="122">
        <v>9</v>
      </c>
      <c r="DA173" s="122">
        <v>10</v>
      </c>
      <c r="DB173" s="122">
        <v>10</v>
      </c>
      <c r="DC173" s="122">
        <v>12</v>
      </c>
      <c r="DD173" s="122">
        <f>SUM(CZ173:DC173)</f>
        <v>41</v>
      </c>
      <c r="DE173" s="84" t="s">
        <v>1630</v>
      </c>
      <c r="DF173" s="84" t="s">
        <v>1631</v>
      </c>
      <c r="DG173" s="84" t="s">
        <v>1632</v>
      </c>
      <c r="DH173" s="371">
        <v>1302000000</v>
      </c>
      <c r="DI173" s="84" t="s">
        <v>1633</v>
      </c>
      <c r="DJ173" s="84" t="s">
        <v>1634</v>
      </c>
      <c r="DK173" s="84" t="s">
        <v>1635</v>
      </c>
      <c r="DL173" s="84" t="s">
        <v>279</v>
      </c>
      <c r="DM173" s="84"/>
      <c r="DN173" s="84"/>
      <c r="DO173" s="86"/>
      <c r="DP173" s="148"/>
      <c r="DQ173" s="86"/>
      <c r="DR173" s="86"/>
      <c r="DS173" s="84"/>
      <c r="DT173" s="86"/>
      <c r="DU173" s="148"/>
      <c r="DV173" s="86"/>
      <c r="DW173" s="86"/>
      <c r="DX173" s="84"/>
      <c r="DY173" s="86"/>
      <c r="DZ173" s="84"/>
      <c r="EA173" s="86"/>
      <c r="EB173" s="86"/>
      <c r="EC173" s="84"/>
      <c r="ED173" s="84"/>
      <c r="EE173" s="84"/>
      <c r="EF173" s="84"/>
      <c r="EG173" s="84"/>
      <c r="EH173" s="84"/>
      <c r="EI173" s="84"/>
      <c r="EJ173" s="84"/>
      <c r="EK173" s="131"/>
      <c r="EL173" s="91" t="str">
        <f t="shared" si="39"/>
        <v>No se reportó avance</v>
      </c>
      <c r="EM173" s="83" t="str">
        <f t="shared" si="40"/>
        <v>No se reportó avance</v>
      </c>
      <c r="EN173" s="153"/>
      <c r="EO173" s="93" t="str">
        <f t="shared" ref="EO173:EO236" si="44">+IF(OR(P173="Producto",P173="Resultado",P173="Impacto"),"Producto",P173)</f>
        <v>Gestión</v>
      </c>
      <c r="EP173" s="93" t="str">
        <f t="shared" ref="EP173:EP236" si="45">+MID(J173,1,1)</f>
        <v>1</v>
      </c>
    </row>
    <row r="174" spans="1:146" s="93" customFormat="1" ht="150" customHeight="1">
      <c r="A174" s="84" t="s">
        <v>1602</v>
      </c>
      <c r="B174" s="85" t="s">
        <v>1603</v>
      </c>
      <c r="C174" s="85" t="s">
        <v>1604</v>
      </c>
      <c r="D174" s="85" t="s">
        <v>1605</v>
      </c>
      <c r="E174" s="85" t="s">
        <v>1606</v>
      </c>
      <c r="F174" s="84" t="s">
        <v>1607</v>
      </c>
      <c r="G174" s="84" t="s">
        <v>1607</v>
      </c>
      <c r="H174" s="84" t="s">
        <v>1607</v>
      </c>
      <c r="I174" s="84" t="s">
        <v>1608</v>
      </c>
      <c r="J174" s="84" t="s">
        <v>1609</v>
      </c>
      <c r="K174" s="84" t="s">
        <v>182</v>
      </c>
      <c r="L174" s="122">
        <v>1</v>
      </c>
      <c r="M174" s="84" t="s">
        <v>1610</v>
      </c>
      <c r="N174" s="84" t="s">
        <v>1636</v>
      </c>
      <c r="O174" s="84" t="s">
        <v>1637</v>
      </c>
      <c r="P174" s="84" t="s">
        <v>200</v>
      </c>
      <c r="Q174" s="84" t="s">
        <v>233</v>
      </c>
      <c r="R174" s="122">
        <v>84</v>
      </c>
      <c r="S174" s="84" t="s">
        <v>402</v>
      </c>
      <c r="T174" s="90">
        <v>44927</v>
      </c>
      <c r="U174" s="90">
        <v>46387</v>
      </c>
      <c r="V174" s="83"/>
      <c r="W174" s="83"/>
      <c r="X174" s="83"/>
      <c r="Y174" s="83"/>
      <c r="Z174" s="123">
        <v>150</v>
      </c>
      <c r="AA174" s="122">
        <v>8</v>
      </c>
      <c r="AB174" s="122">
        <v>23</v>
      </c>
      <c r="AC174" s="122">
        <v>23</v>
      </c>
      <c r="AD174" s="122">
        <v>33</v>
      </c>
      <c r="AE174" s="123">
        <f>AA174+AB174+AC174+AD174</f>
        <v>87</v>
      </c>
      <c r="AF174" s="122">
        <v>9</v>
      </c>
      <c r="AG174" s="122">
        <v>20</v>
      </c>
      <c r="AH174" s="122">
        <v>16</v>
      </c>
      <c r="AI174" s="122">
        <v>25</v>
      </c>
      <c r="AJ174" s="122">
        <f>SUM(AF174:AI174)</f>
        <v>70</v>
      </c>
      <c r="AK174" s="373">
        <v>9</v>
      </c>
      <c r="AL174" s="373">
        <v>13</v>
      </c>
      <c r="AM174" s="373">
        <v>14</v>
      </c>
      <c r="AN174" s="373">
        <v>18</v>
      </c>
      <c r="AO174" s="373">
        <f>AN174+AM174+AL174+AK174</f>
        <v>54</v>
      </c>
      <c r="AP174" s="123">
        <f>AO174+AJ174+AE174+Z174</f>
        <v>361</v>
      </c>
      <c r="AQ174" s="84"/>
      <c r="AR174" s="692"/>
      <c r="AS174" s="84"/>
      <c r="AT174" s="692"/>
      <c r="AU174" s="84"/>
      <c r="AV174" s="692"/>
      <c r="AW174" s="84"/>
      <c r="AX174" s="796"/>
      <c r="AY174" s="175"/>
      <c r="AZ174" s="370"/>
      <c r="BA174" s="175"/>
      <c r="BB174" s="370"/>
      <c r="BC174" s="335"/>
      <c r="BD174" s="370"/>
      <c r="BE174" s="175"/>
      <c r="BF174" s="175"/>
      <c r="BG174" s="175"/>
      <c r="BH174" s="175"/>
      <c r="BI174" s="84"/>
      <c r="BJ174" s="86"/>
      <c r="BK174" s="84"/>
      <c r="BL174" s="86"/>
      <c r="BM174" s="84"/>
      <c r="BN174" s="86"/>
      <c r="BO174" s="84"/>
      <c r="BP174" s="86"/>
      <c r="BQ174" s="84"/>
      <c r="BR174" s="84"/>
      <c r="BS174" s="84"/>
      <c r="BT174" s="131"/>
      <c r="BU174" s="84"/>
      <c r="BV174" s="84"/>
      <c r="BW174" s="84"/>
      <c r="BX174" s="84"/>
      <c r="BY174" s="84"/>
      <c r="BZ174" s="84"/>
      <c r="CA174" s="84"/>
      <c r="CB174" s="84"/>
      <c r="CC174" s="84"/>
      <c r="CD174" s="84"/>
      <c r="CE174" s="84"/>
      <c r="CF174" s="84"/>
      <c r="CG174" s="372"/>
      <c r="CH174" s="372"/>
      <c r="CI174" s="372"/>
      <c r="CJ174" s="83" t="str">
        <f t="shared" si="42"/>
        <v>No aplica</v>
      </c>
      <c r="CK174" s="83" t="str">
        <f t="shared" si="43"/>
        <v>No aplica</v>
      </c>
      <c r="CL174" s="83" t="str">
        <f t="shared" si="36"/>
        <v>No requiere reporte</v>
      </c>
      <c r="CM174" s="89" t="str">
        <f t="shared" si="37"/>
        <v>No requiere reporte</v>
      </c>
      <c r="CN174" s="89" t="str">
        <f t="shared" si="38"/>
        <v>No requiere reporte</v>
      </c>
      <c r="CO174" s="84" t="s">
        <v>185</v>
      </c>
      <c r="CP174" s="84" t="s">
        <v>1638</v>
      </c>
      <c r="CQ174" s="94" t="s">
        <v>1639</v>
      </c>
      <c r="CR174" s="84" t="s">
        <v>1640</v>
      </c>
      <c r="CS174" s="84" t="s">
        <v>1641</v>
      </c>
      <c r="CT174" s="84" t="s">
        <v>953</v>
      </c>
      <c r="CU174" s="84" t="s">
        <v>233</v>
      </c>
      <c r="CV174" s="122">
        <v>19</v>
      </c>
      <c r="CW174" s="84" t="s">
        <v>402</v>
      </c>
      <c r="CX174" s="90">
        <v>46023</v>
      </c>
      <c r="CY174" s="90">
        <v>46387</v>
      </c>
      <c r="CZ174" s="122">
        <v>0</v>
      </c>
      <c r="DA174" s="122">
        <v>3</v>
      </c>
      <c r="DB174" s="122">
        <v>4</v>
      </c>
      <c r="DC174" s="122">
        <v>6</v>
      </c>
      <c r="DD174" s="122">
        <f>SUM(CZ174:DC174)</f>
        <v>13</v>
      </c>
      <c r="DE174" s="84" t="s">
        <v>1630</v>
      </c>
      <c r="DF174" s="84" t="s">
        <v>1631</v>
      </c>
      <c r="DG174" s="84" t="s">
        <v>1632</v>
      </c>
      <c r="DH174" s="371">
        <v>320000000</v>
      </c>
      <c r="DI174" s="84" t="s">
        <v>1633</v>
      </c>
      <c r="DJ174" s="84" t="s">
        <v>1634</v>
      </c>
      <c r="DK174" s="84" t="s">
        <v>1635</v>
      </c>
      <c r="DL174" s="84" t="s">
        <v>279</v>
      </c>
      <c r="DM174" s="84"/>
      <c r="DN174" s="84"/>
      <c r="DO174" s="86"/>
      <c r="DP174" s="84"/>
      <c r="DQ174" s="86"/>
      <c r="DR174" s="86"/>
      <c r="DS174" s="84"/>
      <c r="DT174" s="86"/>
      <c r="DU174" s="84"/>
      <c r="DV174" s="86"/>
      <c r="DW174" s="86"/>
      <c r="DX174" s="84"/>
      <c r="DY174" s="86"/>
      <c r="DZ174" s="84"/>
      <c r="EA174" s="86"/>
      <c r="EB174" s="86"/>
      <c r="EC174" s="84"/>
      <c r="ED174" s="84"/>
      <c r="EE174" s="84"/>
      <c r="EF174" s="84"/>
      <c r="EG174" s="84"/>
      <c r="EH174" s="84"/>
      <c r="EI174" s="84"/>
      <c r="EJ174" s="84"/>
      <c r="EK174" s="131"/>
      <c r="EL174" s="91" t="str">
        <f t="shared" si="39"/>
        <v>No aplica, no hay meta</v>
      </c>
      <c r="EM174" s="83" t="str">
        <f t="shared" si="40"/>
        <v>No se reportó avance</v>
      </c>
      <c r="EN174" s="153"/>
      <c r="EO174" s="93" t="str">
        <f t="shared" si="44"/>
        <v>Gestión</v>
      </c>
      <c r="EP174" s="93" t="str">
        <f t="shared" si="45"/>
        <v>1</v>
      </c>
    </row>
    <row r="175" spans="1:146" s="93" customFormat="1" ht="150" customHeight="1">
      <c r="A175" s="74" t="s">
        <v>1602</v>
      </c>
      <c r="B175" s="75" t="s">
        <v>1603</v>
      </c>
      <c r="C175" s="75" t="s">
        <v>1604</v>
      </c>
      <c r="D175" s="75" t="s">
        <v>1605</v>
      </c>
      <c r="E175" s="75" t="s">
        <v>1606</v>
      </c>
      <c r="F175" s="74" t="s">
        <v>1607</v>
      </c>
      <c r="G175" s="74" t="s">
        <v>1607</v>
      </c>
      <c r="H175" s="74" t="s">
        <v>1607</v>
      </c>
      <c r="I175" s="74" t="s">
        <v>1608</v>
      </c>
      <c r="J175" s="74" t="s">
        <v>1609</v>
      </c>
      <c r="K175" s="74" t="s">
        <v>182</v>
      </c>
      <c r="L175" s="78">
        <v>2</v>
      </c>
      <c r="M175" s="78" t="s">
        <v>1642</v>
      </c>
      <c r="N175" s="78" t="s">
        <v>1643</v>
      </c>
      <c r="O175" s="78" t="s">
        <v>1644</v>
      </c>
      <c r="P175" s="78" t="s">
        <v>200</v>
      </c>
      <c r="Q175" s="78" t="s">
        <v>233</v>
      </c>
      <c r="R175" s="366">
        <v>97</v>
      </c>
      <c r="S175" s="82" t="s">
        <v>402</v>
      </c>
      <c r="T175" s="80">
        <v>44927</v>
      </c>
      <c r="U175" s="80">
        <v>46387</v>
      </c>
      <c r="V175" s="182"/>
      <c r="W175" s="198"/>
      <c r="X175" s="198"/>
      <c r="Y175" s="198"/>
      <c r="Z175" s="176">
        <v>97</v>
      </c>
      <c r="AA175" s="182">
        <v>25</v>
      </c>
      <c r="AB175" s="182">
        <v>23</v>
      </c>
      <c r="AC175" s="182">
        <v>25</v>
      </c>
      <c r="AD175" s="182">
        <v>24</v>
      </c>
      <c r="AE175" s="374">
        <f>AA175+AB175+AC175+AD175</f>
        <v>97</v>
      </c>
      <c r="AF175" s="294">
        <v>12</v>
      </c>
      <c r="AG175" s="294">
        <v>12</v>
      </c>
      <c r="AH175" s="294">
        <v>12</v>
      </c>
      <c r="AI175" s="294">
        <v>12</v>
      </c>
      <c r="AJ175" s="294">
        <f>SUM(AF175:AI175)</f>
        <v>48</v>
      </c>
      <c r="AK175" s="294">
        <v>12</v>
      </c>
      <c r="AL175" s="294">
        <v>11</v>
      </c>
      <c r="AM175" s="294">
        <v>14</v>
      </c>
      <c r="AN175" s="294">
        <v>11</v>
      </c>
      <c r="AO175" s="294">
        <f>SUM(AK175:AN175)</f>
        <v>48</v>
      </c>
      <c r="AP175" s="176">
        <f>AO175+AJ175+AE175+Z175</f>
        <v>290</v>
      </c>
      <c r="AQ175" s="170">
        <v>25</v>
      </c>
      <c r="AR175" s="692" t="s">
        <v>1645</v>
      </c>
      <c r="AS175" s="170">
        <v>23</v>
      </c>
      <c r="AT175" s="692" t="s">
        <v>1646</v>
      </c>
      <c r="AU175" s="170">
        <v>30</v>
      </c>
      <c r="AV175" s="692" t="s">
        <v>1647</v>
      </c>
      <c r="AW175" s="170">
        <v>24</v>
      </c>
      <c r="AX175" s="796" t="s">
        <v>1648</v>
      </c>
      <c r="AY175" s="335">
        <v>102</v>
      </c>
      <c r="AZ175" s="370" t="s">
        <v>1649</v>
      </c>
      <c r="BA175" s="335">
        <v>25</v>
      </c>
      <c r="BB175" s="370" t="s">
        <v>1645</v>
      </c>
      <c r="BC175" s="335">
        <v>23</v>
      </c>
      <c r="BD175" s="370" t="s">
        <v>1650</v>
      </c>
      <c r="BE175" s="335">
        <v>25</v>
      </c>
      <c r="BF175" s="370" t="s">
        <v>1651</v>
      </c>
      <c r="BG175" s="335">
        <v>24</v>
      </c>
      <c r="BH175" s="335" t="s">
        <v>1652</v>
      </c>
      <c r="BI175" s="122">
        <v>97</v>
      </c>
      <c r="BJ175" s="87" t="s">
        <v>1653</v>
      </c>
      <c r="BK175" s="84">
        <f>1+3+8</f>
        <v>12</v>
      </c>
      <c r="BL175" s="86" t="s">
        <v>1654</v>
      </c>
      <c r="BM175" s="84">
        <v>12</v>
      </c>
      <c r="BN175" s="86" t="s">
        <v>1655</v>
      </c>
      <c r="BO175" s="84">
        <f>9+3+3</f>
        <v>15</v>
      </c>
      <c r="BP175" s="86" t="s">
        <v>1656</v>
      </c>
      <c r="BQ175" s="84"/>
      <c r="BR175" s="84"/>
      <c r="BS175" s="122">
        <f>BO175+BM175+BK175</f>
        <v>39</v>
      </c>
      <c r="BT175" s="131"/>
      <c r="BU175" s="84"/>
      <c r="BV175" s="84"/>
      <c r="BW175" s="84"/>
      <c r="BX175" s="84"/>
      <c r="BY175" s="84"/>
      <c r="BZ175" s="84"/>
      <c r="CA175" s="84"/>
      <c r="CB175" s="84"/>
      <c r="CC175" s="84"/>
      <c r="CD175" s="84"/>
      <c r="CE175" s="122">
        <f>BS175+BI175</f>
        <v>136</v>
      </c>
      <c r="CF175" s="84"/>
      <c r="CG175" s="372" t="s">
        <v>201</v>
      </c>
      <c r="CH175" s="372"/>
      <c r="CI175" s="372"/>
      <c r="CJ175" s="83" t="str">
        <f t="shared" si="42"/>
        <v>No aplica</v>
      </c>
      <c r="CK175" s="83" t="str">
        <f t="shared" si="43"/>
        <v>No aplica</v>
      </c>
      <c r="CL175" s="83" t="str">
        <f t="shared" si="36"/>
        <v>No se reportó avance</v>
      </c>
      <c r="CM175" s="89" t="str">
        <f t="shared" si="37"/>
        <v>No se reportó avance</v>
      </c>
      <c r="CN175" s="89">
        <f t="shared" si="38"/>
        <v>0.4689655172413793</v>
      </c>
      <c r="CO175" s="84" t="s">
        <v>225</v>
      </c>
      <c r="CP175" s="84" t="s">
        <v>1657</v>
      </c>
      <c r="CQ175" s="84" t="s">
        <v>1658</v>
      </c>
      <c r="CR175" s="84" t="s">
        <v>1659</v>
      </c>
      <c r="CS175" s="84" t="s">
        <v>1660</v>
      </c>
      <c r="CT175" s="84" t="s">
        <v>953</v>
      </c>
      <c r="CU175" s="84" t="s">
        <v>233</v>
      </c>
      <c r="CV175" s="122">
        <v>23</v>
      </c>
      <c r="CW175" s="84" t="s">
        <v>402</v>
      </c>
      <c r="CX175" s="90">
        <v>46023</v>
      </c>
      <c r="CY175" s="90">
        <v>46387</v>
      </c>
      <c r="CZ175" s="122">
        <v>6</v>
      </c>
      <c r="DA175" s="122">
        <v>5</v>
      </c>
      <c r="DB175" s="122">
        <v>7</v>
      </c>
      <c r="DC175" s="122">
        <v>5</v>
      </c>
      <c r="DD175" s="122">
        <f>SUM(CZ175:DC175)</f>
        <v>23</v>
      </c>
      <c r="DE175" s="84" t="s">
        <v>201</v>
      </c>
      <c r="DF175" s="84" t="s">
        <v>201</v>
      </c>
      <c r="DG175" s="84" t="s">
        <v>201</v>
      </c>
      <c r="DH175" s="84" t="s">
        <v>182</v>
      </c>
      <c r="DI175" s="84" t="s">
        <v>1633</v>
      </c>
      <c r="DJ175" s="84" t="s">
        <v>1634</v>
      </c>
      <c r="DK175" s="84" t="s">
        <v>1635</v>
      </c>
      <c r="DL175" s="84" t="s">
        <v>182</v>
      </c>
      <c r="DM175" s="84"/>
      <c r="DN175" s="84"/>
      <c r="DO175" s="86"/>
      <c r="DP175" s="148"/>
      <c r="DQ175" s="86"/>
      <c r="DR175" s="86"/>
      <c r="DS175" s="84"/>
      <c r="DT175" s="86"/>
      <c r="DU175" s="84"/>
      <c r="DV175" s="86"/>
      <c r="DW175" s="86"/>
      <c r="DX175" s="84"/>
      <c r="DY175" s="86"/>
      <c r="DZ175" s="84"/>
      <c r="EA175" s="86"/>
      <c r="EB175" s="86"/>
      <c r="EC175" s="84"/>
      <c r="ED175" s="84"/>
      <c r="EE175" s="84"/>
      <c r="EF175" s="84"/>
      <c r="EG175" s="84"/>
      <c r="EH175" s="84"/>
      <c r="EI175" s="84"/>
      <c r="EJ175" s="84"/>
      <c r="EK175" s="131"/>
      <c r="EL175" s="91" t="str">
        <f t="shared" si="39"/>
        <v>No se reportó avance</v>
      </c>
      <c r="EM175" s="83" t="str">
        <f t="shared" si="40"/>
        <v>No se reportó avance</v>
      </c>
      <c r="EN175" s="153"/>
      <c r="EO175" s="93" t="str">
        <f t="shared" si="44"/>
        <v>Gestión</v>
      </c>
      <c r="EP175" s="93" t="str">
        <f t="shared" si="45"/>
        <v>1</v>
      </c>
    </row>
    <row r="176" spans="1:146" s="93" customFormat="1" ht="150" customHeight="1">
      <c r="A176" s="84" t="s">
        <v>1602</v>
      </c>
      <c r="B176" s="85" t="s">
        <v>1603</v>
      </c>
      <c r="C176" s="85" t="s">
        <v>1604</v>
      </c>
      <c r="D176" s="85" t="s">
        <v>1605</v>
      </c>
      <c r="E176" s="85" t="s">
        <v>1606</v>
      </c>
      <c r="F176" s="84" t="s">
        <v>1607</v>
      </c>
      <c r="G176" s="84" t="s">
        <v>1607</v>
      </c>
      <c r="H176" s="84" t="s">
        <v>1607</v>
      </c>
      <c r="I176" s="84" t="s">
        <v>1608</v>
      </c>
      <c r="J176" s="84" t="s">
        <v>1609</v>
      </c>
      <c r="K176" s="84" t="s">
        <v>182</v>
      </c>
      <c r="L176" s="84">
        <v>2</v>
      </c>
      <c r="M176" s="84" t="s">
        <v>1642</v>
      </c>
      <c r="N176" s="84" t="s">
        <v>1643</v>
      </c>
      <c r="O176" s="84" t="s">
        <v>1644</v>
      </c>
      <c r="P176" s="84" t="s">
        <v>200</v>
      </c>
      <c r="Q176" s="84" t="s">
        <v>233</v>
      </c>
      <c r="R176" s="123">
        <v>97</v>
      </c>
      <c r="S176" s="83" t="s">
        <v>402</v>
      </c>
      <c r="T176" s="90">
        <v>44927</v>
      </c>
      <c r="U176" s="90">
        <v>46387</v>
      </c>
      <c r="V176" s="131"/>
      <c r="W176" s="199"/>
      <c r="X176" s="199"/>
      <c r="Y176" s="199"/>
      <c r="Z176" s="122">
        <v>97</v>
      </c>
      <c r="AA176" s="131">
        <v>25</v>
      </c>
      <c r="AB176" s="131">
        <v>23</v>
      </c>
      <c r="AC176" s="131">
        <v>25</v>
      </c>
      <c r="AD176" s="131">
        <v>24</v>
      </c>
      <c r="AE176" s="375">
        <f>AA176+AB176+AC176+AD176</f>
        <v>97</v>
      </c>
      <c r="AF176" s="131">
        <v>12</v>
      </c>
      <c r="AG176" s="131">
        <v>12</v>
      </c>
      <c r="AH176" s="131">
        <v>12</v>
      </c>
      <c r="AI176" s="131">
        <v>12</v>
      </c>
      <c r="AJ176" s="131">
        <f>SUM(AF176:AI176)</f>
        <v>48</v>
      </c>
      <c r="AK176" s="131">
        <v>12</v>
      </c>
      <c r="AL176" s="131">
        <v>11</v>
      </c>
      <c r="AM176" s="131">
        <v>14</v>
      </c>
      <c r="AN176" s="131">
        <v>11</v>
      </c>
      <c r="AO176" s="131">
        <f>SUM(AK176:AN176)</f>
        <v>48</v>
      </c>
      <c r="AP176" s="122">
        <f>AO176+AJ176+AE176+Z176</f>
        <v>290</v>
      </c>
      <c r="AQ176" s="84"/>
      <c r="AR176" s="692"/>
      <c r="AS176" s="84"/>
      <c r="AT176" s="692"/>
      <c r="AU176" s="84"/>
      <c r="AV176" s="692"/>
      <c r="AW176" s="84"/>
      <c r="AX176" s="796"/>
      <c r="AY176" s="175"/>
      <c r="AZ176" s="370"/>
      <c r="BA176" s="175"/>
      <c r="BB176" s="370"/>
      <c r="BC176" s="335"/>
      <c r="BD176" s="370"/>
      <c r="BE176" s="175"/>
      <c r="BF176" s="175"/>
      <c r="BG176" s="175"/>
      <c r="BH176" s="175"/>
      <c r="BI176" s="84"/>
      <c r="BJ176" s="86"/>
      <c r="BK176" s="84"/>
      <c r="BL176" s="86"/>
      <c r="BM176" s="84"/>
      <c r="BN176" s="86"/>
      <c r="BO176" s="84"/>
      <c r="BP176" s="86"/>
      <c r="BQ176" s="84"/>
      <c r="BR176" s="84"/>
      <c r="BS176" s="84"/>
      <c r="BT176" s="131"/>
      <c r="BU176" s="84"/>
      <c r="BV176" s="84"/>
      <c r="BW176" s="84"/>
      <c r="BX176" s="84"/>
      <c r="BY176" s="84"/>
      <c r="BZ176" s="84"/>
      <c r="CA176" s="84"/>
      <c r="CB176" s="84"/>
      <c r="CC176" s="84"/>
      <c r="CD176" s="84"/>
      <c r="CE176" s="84"/>
      <c r="CF176" s="84"/>
      <c r="CG176" s="372"/>
      <c r="CH176" s="372"/>
      <c r="CI176" s="372"/>
      <c r="CJ176" s="83" t="str">
        <f t="shared" si="42"/>
        <v>No aplica</v>
      </c>
      <c r="CK176" s="83" t="str">
        <f t="shared" si="43"/>
        <v>No aplica</v>
      </c>
      <c r="CL176" s="83" t="str">
        <f t="shared" si="36"/>
        <v>No requiere reporte</v>
      </c>
      <c r="CM176" s="89" t="str">
        <f t="shared" si="37"/>
        <v>No requiere reporte</v>
      </c>
      <c r="CN176" s="89" t="str">
        <f t="shared" si="38"/>
        <v>No requiere reporte</v>
      </c>
      <c r="CO176" s="84" t="s">
        <v>313</v>
      </c>
      <c r="CP176" s="84" t="s">
        <v>1661</v>
      </c>
      <c r="CQ176" s="84" t="s">
        <v>1658</v>
      </c>
      <c r="CR176" s="84" t="s">
        <v>1662</v>
      </c>
      <c r="CS176" s="84" t="s">
        <v>1663</v>
      </c>
      <c r="CT176" s="84" t="s">
        <v>953</v>
      </c>
      <c r="CU176" s="84" t="s">
        <v>233</v>
      </c>
      <c r="CV176" s="122">
        <v>25</v>
      </c>
      <c r="CW176" s="84" t="s">
        <v>402</v>
      </c>
      <c r="CX176" s="90">
        <v>46023</v>
      </c>
      <c r="CY176" s="90">
        <v>46387</v>
      </c>
      <c r="CZ176" s="122">
        <v>6</v>
      </c>
      <c r="DA176" s="122">
        <v>6</v>
      </c>
      <c r="DB176" s="122">
        <v>7</v>
      </c>
      <c r="DC176" s="122">
        <v>6</v>
      </c>
      <c r="DD176" s="122">
        <f>SUM(CZ176:DC176)</f>
        <v>25</v>
      </c>
      <c r="DE176" s="84" t="s">
        <v>201</v>
      </c>
      <c r="DF176" s="84" t="s">
        <v>201</v>
      </c>
      <c r="DG176" s="84" t="s">
        <v>201</v>
      </c>
      <c r="DH176" s="84" t="s">
        <v>182</v>
      </c>
      <c r="DI176" s="84" t="s">
        <v>1633</v>
      </c>
      <c r="DJ176" s="84" t="s">
        <v>1634</v>
      </c>
      <c r="DK176" s="84" t="s">
        <v>1635</v>
      </c>
      <c r="DL176" s="84" t="s">
        <v>182</v>
      </c>
      <c r="DM176" s="84"/>
      <c r="DN176" s="84"/>
      <c r="DO176" s="86"/>
      <c r="DP176" s="148"/>
      <c r="DQ176" s="86"/>
      <c r="DR176" s="86"/>
      <c r="DS176" s="84"/>
      <c r="DT176" s="86"/>
      <c r="DU176" s="148"/>
      <c r="DV176" s="86"/>
      <c r="DW176" s="86"/>
      <c r="DX176" s="84"/>
      <c r="DY176" s="86"/>
      <c r="DZ176" s="148"/>
      <c r="EA176" s="86"/>
      <c r="EB176" s="86"/>
      <c r="EC176" s="84"/>
      <c r="ED176" s="84"/>
      <c r="EE176" s="84"/>
      <c r="EF176" s="84"/>
      <c r="EG176" s="84"/>
      <c r="EH176" s="84"/>
      <c r="EI176" s="84"/>
      <c r="EJ176" s="84"/>
      <c r="EK176" s="131"/>
      <c r="EL176" s="91" t="str">
        <f t="shared" si="39"/>
        <v>No se reportó avance</v>
      </c>
      <c r="EM176" s="83" t="str">
        <f t="shared" si="40"/>
        <v>No se reportó avance</v>
      </c>
      <c r="EN176" s="153"/>
      <c r="EO176" s="93" t="str">
        <f t="shared" si="44"/>
        <v>Gestión</v>
      </c>
      <c r="EP176" s="93" t="str">
        <f t="shared" si="45"/>
        <v>1</v>
      </c>
    </row>
    <row r="177" spans="1:146" s="93" customFormat="1" ht="150" customHeight="1">
      <c r="A177" s="74" t="s">
        <v>1602</v>
      </c>
      <c r="B177" s="75" t="s">
        <v>1603</v>
      </c>
      <c r="C177" s="75" t="s">
        <v>1604</v>
      </c>
      <c r="D177" s="75" t="s">
        <v>1605</v>
      </c>
      <c r="E177" s="75" t="s">
        <v>1606</v>
      </c>
      <c r="F177" s="74" t="s">
        <v>1607</v>
      </c>
      <c r="G177" s="74" t="s">
        <v>1607</v>
      </c>
      <c r="H177" s="74" t="s">
        <v>1607</v>
      </c>
      <c r="I177" s="74" t="s">
        <v>1608</v>
      </c>
      <c r="J177" s="74" t="s">
        <v>1609</v>
      </c>
      <c r="K177" s="74" t="s">
        <v>182</v>
      </c>
      <c r="L177" s="78">
        <v>3</v>
      </c>
      <c r="M177" s="78" t="s">
        <v>1664</v>
      </c>
      <c r="N177" s="78" t="s">
        <v>1665</v>
      </c>
      <c r="O177" s="78" t="s">
        <v>1666</v>
      </c>
      <c r="P177" s="78" t="s">
        <v>161</v>
      </c>
      <c r="Q177" s="78" t="s">
        <v>162</v>
      </c>
      <c r="R177" s="176">
        <v>1</v>
      </c>
      <c r="S177" s="78" t="s">
        <v>402</v>
      </c>
      <c r="T177" s="80">
        <v>44927</v>
      </c>
      <c r="U177" s="80">
        <v>46387</v>
      </c>
      <c r="V177" s="74"/>
      <c r="W177" s="74"/>
      <c r="X177" s="74"/>
      <c r="Y177" s="192"/>
      <c r="Z177" s="176">
        <v>2</v>
      </c>
      <c r="AA177" s="192">
        <v>0</v>
      </c>
      <c r="AB177" s="192">
        <v>0</v>
      </c>
      <c r="AC177" s="192">
        <v>1</v>
      </c>
      <c r="AD177" s="192">
        <v>1</v>
      </c>
      <c r="AE177" s="176">
        <v>2</v>
      </c>
      <c r="AF177" s="176">
        <v>0</v>
      </c>
      <c r="AG177" s="176">
        <v>0</v>
      </c>
      <c r="AH177" s="176">
        <v>1</v>
      </c>
      <c r="AI177" s="176">
        <v>1</v>
      </c>
      <c r="AJ177" s="176">
        <v>2</v>
      </c>
      <c r="AK177" s="176">
        <v>0</v>
      </c>
      <c r="AL177" s="176">
        <v>0</v>
      </c>
      <c r="AM177" s="176">
        <v>0</v>
      </c>
      <c r="AN177" s="176">
        <v>2</v>
      </c>
      <c r="AO177" s="176">
        <v>2</v>
      </c>
      <c r="AP177" s="78">
        <v>2</v>
      </c>
      <c r="AQ177" s="170" t="s">
        <v>201</v>
      </c>
      <c r="AR177" s="692" t="s">
        <v>1667</v>
      </c>
      <c r="AS177" s="170" t="s">
        <v>201</v>
      </c>
      <c r="AT177" s="692" t="s">
        <v>1668</v>
      </c>
      <c r="AU177" s="170">
        <v>1</v>
      </c>
      <c r="AV177" s="692" t="s">
        <v>1669</v>
      </c>
      <c r="AW177" s="170">
        <v>0</v>
      </c>
      <c r="AX177" s="796" t="s">
        <v>1670</v>
      </c>
      <c r="AY177" s="335">
        <v>1</v>
      </c>
      <c r="AZ177" s="692" t="s">
        <v>1671</v>
      </c>
      <c r="BA177" s="335">
        <v>1</v>
      </c>
      <c r="BB177" s="370" t="s">
        <v>1672</v>
      </c>
      <c r="BC177" s="335" t="s">
        <v>201</v>
      </c>
      <c r="BD177" s="370" t="s">
        <v>1673</v>
      </c>
      <c r="BE177" s="335">
        <v>0</v>
      </c>
      <c r="BF177" s="370" t="s">
        <v>1674</v>
      </c>
      <c r="BG177" s="335">
        <v>0</v>
      </c>
      <c r="BH177" s="335" t="s">
        <v>1675</v>
      </c>
      <c r="BI177" s="122">
        <v>1</v>
      </c>
      <c r="BJ177" s="87" t="s">
        <v>1676</v>
      </c>
      <c r="BK177" s="84" t="s">
        <v>182</v>
      </c>
      <c r="BL177" s="86" t="s">
        <v>1677</v>
      </c>
      <c r="BM177" s="84" t="s">
        <v>182</v>
      </c>
      <c r="BN177" s="86" t="s">
        <v>1678</v>
      </c>
      <c r="BO177" s="84">
        <v>1</v>
      </c>
      <c r="BP177" s="86" t="s">
        <v>1679</v>
      </c>
      <c r="BQ177" s="84"/>
      <c r="BR177" s="84"/>
      <c r="BS177" s="84">
        <v>1</v>
      </c>
      <c r="BT177" s="131"/>
      <c r="BU177" s="84"/>
      <c r="BV177" s="84"/>
      <c r="BW177" s="84"/>
      <c r="BX177" s="84"/>
      <c r="BY177" s="84"/>
      <c r="BZ177" s="84"/>
      <c r="CA177" s="84"/>
      <c r="CB177" s="84"/>
      <c r="CC177" s="84"/>
      <c r="CD177" s="84"/>
      <c r="CE177" s="122">
        <f>+BS177</f>
        <v>1</v>
      </c>
      <c r="CF177" s="84"/>
      <c r="CG177" s="371">
        <f>SUM(DH177:DH179)</f>
        <v>1378000000</v>
      </c>
      <c r="CH177" s="372"/>
      <c r="CI177" s="372"/>
      <c r="CJ177" s="83">
        <f t="shared" si="42"/>
        <v>0</v>
      </c>
      <c r="CK177" s="83">
        <f t="shared" si="43"/>
        <v>0</v>
      </c>
      <c r="CL177" s="83" t="str">
        <f t="shared" si="36"/>
        <v>No aplica, no hay meta</v>
      </c>
      <c r="CM177" s="89" t="str">
        <f t="shared" si="37"/>
        <v>No se reportó avance</v>
      </c>
      <c r="CN177" s="89">
        <f t="shared" si="38"/>
        <v>0.5</v>
      </c>
      <c r="CO177" s="84" t="s">
        <v>236</v>
      </c>
      <c r="CP177" s="84" t="s">
        <v>1680</v>
      </c>
      <c r="CQ177" s="84" t="s">
        <v>1681</v>
      </c>
      <c r="CR177" s="84" t="s">
        <v>1682</v>
      </c>
      <c r="CS177" s="84" t="s">
        <v>1683</v>
      </c>
      <c r="CT177" s="84" t="s">
        <v>953</v>
      </c>
      <c r="CU177" s="84" t="s">
        <v>1684</v>
      </c>
      <c r="CV177" s="85">
        <v>0.25</v>
      </c>
      <c r="CW177" s="84" t="s">
        <v>252</v>
      </c>
      <c r="CX177" s="90">
        <v>46023</v>
      </c>
      <c r="CY177" s="90">
        <v>46387</v>
      </c>
      <c r="CZ177" s="85">
        <v>0.25</v>
      </c>
      <c r="DA177" s="85">
        <v>0.35</v>
      </c>
      <c r="DB177" s="85">
        <v>0.7</v>
      </c>
      <c r="DC177" s="146">
        <v>1</v>
      </c>
      <c r="DD177" s="146">
        <v>1</v>
      </c>
      <c r="DE177" s="84" t="s">
        <v>1630</v>
      </c>
      <c r="DF177" s="84" t="s">
        <v>1685</v>
      </c>
      <c r="DG177" s="84" t="s">
        <v>1632</v>
      </c>
      <c r="DH177" s="371">
        <v>292375000</v>
      </c>
      <c r="DI177" s="84" t="s">
        <v>1633</v>
      </c>
      <c r="DJ177" s="84" t="s">
        <v>1634</v>
      </c>
      <c r="DK177" s="84" t="s">
        <v>1635</v>
      </c>
      <c r="DL177" s="84" t="s">
        <v>279</v>
      </c>
      <c r="DM177" s="84"/>
      <c r="DN177" s="85"/>
      <c r="DO177" s="86"/>
      <c r="DP177" s="148"/>
      <c r="DQ177" s="86"/>
      <c r="DR177" s="86"/>
      <c r="DS177" s="85"/>
      <c r="DT177" s="86"/>
      <c r="DU177" s="84"/>
      <c r="DV177" s="86"/>
      <c r="DW177" s="86"/>
      <c r="DX177" s="85"/>
      <c r="DY177" s="86"/>
      <c r="DZ177" s="84"/>
      <c r="EA177" s="86"/>
      <c r="EB177" s="86"/>
      <c r="EC177" s="84"/>
      <c r="ED177" s="84"/>
      <c r="EE177" s="84"/>
      <c r="EF177" s="84"/>
      <c r="EG177" s="84"/>
      <c r="EH177" s="83"/>
      <c r="EI177" s="84"/>
      <c r="EJ177" s="84"/>
      <c r="EK177" s="131"/>
      <c r="EL177" s="91" t="str">
        <f t="shared" si="39"/>
        <v>No se reportó avance</v>
      </c>
      <c r="EM177" s="83" t="str">
        <f t="shared" si="40"/>
        <v>No se reportó avance</v>
      </c>
      <c r="EN177" s="86" t="s">
        <v>1686</v>
      </c>
      <c r="EO177" s="93" t="str">
        <f t="shared" si="44"/>
        <v>Producto</v>
      </c>
      <c r="EP177" s="93" t="str">
        <f t="shared" si="45"/>
        <v>1</v>
      </c>
    </row>
    <row r="178" spans="1:146" s="93" customFormat="1" ht="150" customHeight="1">
      <c r="A178" s="84" t="s">
        <v>1602</v>
      </c>
      <c r="B178" s="85" t="s">
        <v>1603</v>
      </c>
      <c r="C178" s="85" t="s">
        <v>1604</v>
      </c>
      <c r="D178" s="85" t="s">
        <v>1605</v>
      </c>
      <c r="E178" s="85" t="s">
        <v>1606</v>
      </c>
      <c r="F178" s="84" t="s">
        <v>1607</v>
      </c>
      <c r="G178" s="84" t="s">
        <v>1607</v>
      </c>
      <c r="H178" s="84" t="s">
        <v>1607</v>
      </c>
      <c r="I178" s="84" t="s">
        <v>1608</v>
      </c>
      <c r="J178" s="84" t="s">
        <v>1609</v>
      </c>
      <c r="K178" s="84" t="s">
        <v>182</v>
      </c>
      <c r="L178" s="84">
        <v>3</v>
      </c>
      <c r="M178" s="84" t="s">
        <v>1664</v>
      </c>
      <c r="N178" s="84" t="s">
        <v>1665</v>
      </c>
      <c r="O178" s="84" t="s">
        <v>1666</v>
      </c>
      <c r="P178" s="84" t="s">
        <v>161</v>
      </c>
      <c r="Q178" s="84" t="s">
        <v>877</v>
      </c>
      <c r="R178" s="122">
        <v>1</v>
      </c>
      <c r="S178" s="84" t="s">
        <v>402</v>
      </c>
      <c r="T178" s="90">
        <v>44927</v>
      </c>
      <c r="U178" s="90">
        <v>46387</v>
      </c>
      <c r="V178" s="84"/>
      <c r="W178" s="84"/>
      <c r="X178" s="84"/>
      <c r="Y178" s="122"/>
      <c r="Z178" s="122">
        <v>2</v>
      </c>
      <c r="AA178" s="122">
        <v>0</v>
      </c>
      <c r="AB178" s="122">
        <v>0</v>
      </c>
      <c r="AC178" s="122">
        <v>1</v>
      </c>
      <c r="AD178" s="122">
        <v>1</v>
      </c>
      <c r="AE178" s="122">
        <v>2</v>
      </c>
      <c r="AF178" s="122">
        <v>0</v>
      </c>
      <c r="AG178" s="122">
        <v>0</v>
      </c>
      <c r="AH178" s="122">
        <v>1</v>
      </c>
      <c r="AI178" s="122">
        <v>1</v>
      </c>
      <c r="AJ178" s="122">
        <v>2</v>
      </c>
      <c r="AK178" s="122"/>
      <c r="AL178" s="122"/>
      <c r="AM178" s="122"/>
      <c r="AN178" s="122"/>
      <c r="AO178" s="122">
        <v>2</v>
      </c>
      <c r="AP178" s="84">
        <v>2</v>
      </c>
      <c r="AQ178" s="84"/>
      <c r="AR178" s="84"/>
      <c r="AS178" s="84"/>
      <c r="AT178" s="84"/>
      <c r="AU178" s="84"/>
      <c r="AV178" s="84"/>
      <c r="AW178" s="84"/>
      <c r="AX178" s="84"/>
      <c r="AY178" s="175"/>
      <c r="AZ178" s="370"/>
      <c r="BA178" s="175"/>
      <c r="BB178" s="370"/>
      <c r="BC178" s="335"/>
      <c r="BD178" s="370"/>
      <c r="BE178" s="175"/>
      <c r="BF178" s="175"/>
      <c r="BG178" s="175"/>
      <c r="BH178" s="175"/>
      <c r="BI178" s="84"/>
      <c r="BJ178" s="86"/>
      <c r="BK178" s="84"/>
      <c r="BL178" s="86"/>
      <c r="BM178" s="84"/>
      <c r="BN178" s="86"/>
      <c r="BO178" s="84"/>
      <c r="BP178" s="86"/>
      <c r="BQ178" s="84"/>
      <c r="BR178" s="84"/>
      <c r="BS178" s="84"/>
      <c r="BT178" s="131"/>
      <c r="BU178" s="84"/>
      <c r="BV178" s="84"/>
      <c r="BW178" s="84"/>
      <c r="BX178" s="84"/>
      <c r="BY178" s="84"/>
      <c r="BZ178" s="84"/>
      <c r="CA178" s="84"/>
      <c r="CB178" s="84"/>
      <c r="CC178" s="84"/>
      <c r="CD178" s="84"/>
      <c r="CE178" s="84"/>
      <c r="CF178" s="84"/>
      <c r="CG178" s="372"/>
      <c r="CH178" s="372"/>
      <c r="CI178" s="372"/>
      <c r="CJ178" s="83" t="str">
        <f t="shared" si="42"/>
        <v>No aplica</v>
      </c>
      <c r="CK178" s="83" t="str">
        <f t="shared" si="43"/>
        <v>No aplica</v>
      </c>
      <c r="CL178" s="83" t="str">
        <f t="shared" si="36"/>
        <v>No requiere reporte</v>
      </c>
      <c r="CM178" s="89" t="str">
        <f t="shared" si="37"/>
        <v>No requiere reporte</v>
      </c>
      <c r="CN178" s="89" t="str">
        <f t="shared" si="38"/>
        <v>No requiere reporte</v>
      </c>
      <c r="CO178" s="84" t="s">
        <v>361</v>
      </c>
      <c r="CP178" s="84" t="s">
        <v>1687</v>
      </c>
      <c r="CQ178" s="84" t="s">
        <v>1688</v>
      </c>
      <c r="CR178" s="84" t="s">
        <v>1689</v>
      </c>
      <c r="CS178" s="84" t="s">
        <v>1690</v>
      </c>
      <c r="CT178" s="84" t="s">
        <v>953</v>
      </c>
      <c r="CU178" s="84" t="s">
        <v>233</v>
      </c>
      <c r="CV178" s="291">
        <v>0</v>
      </c>
      <c r="CW178" s="84" t="s">
        <v>252</v>
      </c>
      <c r="CX178" s="90">
        <v>46023</v>
      </c>
      <c r="CY178" s="90">
        <v>46387</v>
      </c>
      <c r="CZ178" s="85">
        <v>0</v>
      </c>
      <c r="DA178" s="85">
        <v>0</v>
      </c>
      <c r="DB178" s="85">
        <v>0</v>
      </c>
      <c r="DC178" s="146">
        <v>1</v>
      </c>
      <c r="DD178" s="146">
        <v>1</v>
      </c>
      <c r="DE178" s="84" t="s">
        <v>1630</v>
      </c>
      <c r="DF178" s="84" t="s">
        <v>1685</v>
      </c>
      <c r="DG178" s="84" t="s">
        <v>1632</v>
      </c>
      <c r="DH178" s="372">
        <v>42000000</v>
      </c>
      <c r="DI178" s="84" t="s">
        <v>1633</v>
      </c>
      <c r="DJ178" s="84" t="s">
        <v>1634</v>
      </c>
      <c r="DK178" s="84" t="s">
        <v>1635</v>
      </c>
      <c r="DL178" s="84" t="s">
        <v>279</v>
      </c>
      <c r="DM178" s="84"/>
      <c r="DN178" s="85"/>
      <c r="DO178" s="86"/>
      <c r="DP178" s="84"/>
      <c r="DQ178" s="86"/>
      <c r="DR178" s="86"/>
      <c r="DS178" s="84"/>
      <c r="DT178" s="86"/>
      <c r="DU178" s="84"/>
      <c r="DV178" s="86"/>
      <c r="DW178" s="86"/>
      <c r="DX178" s="85"/>
      <c r="DY178" s="86"/>
      <c r="DZ178" s="84"/>
      <c r="EA178" s="86"/>
      <c r="EB178" s="86"/>
      <c r="EC178" s="84"/>
      <c r="ED178" s="84"/>
      <c r="EE178" s="84"/>
      <c r="EF178" s="84"/>
      <c r="EG178" s="84"/>
      <c r="EH178" s="83"/>
      <c r="EI178" s="84"/>
      <c r="EJ178" s="84"/>
      <c r="EK178" s="131"/>
      <c r="EL178" s="91" t="str">
        <f t="shared" si="39"/>
        <v>No aplica, no hay meta</v>
      </c>
      <c r="EM178" s="83" t="str">
        <f t="shared" si="40"/>
        <v>No se reportó avance</v>
      </c>
      <c r="EN178" s="153"/>
      <c r="EO178" s="93" t="str">
        <f t="shared" si="44"/>
        <v>Producto</v>
      </c>
      <c r="EP178" s="93" t="str">
        <f t="shared" si="45"/>
        <v>1</v>
      </c>
    </row>
    <row r="179" spans="1:146" s="93" customFormat="1" ht="150" customHeight="1">
      <c r="A179" s="84" t="s">
        <v>1602</v>
      </c>
      <c r="B179" s="85" t="s">
        <v>1603</v>
      </c>
      <c r="C179" s="85" t="s">
        <v>1604</v>
      </c>
      <c r="D179" s="85" t="s">
        <v>1605</v>
      </c>
      <c r="E179" s="85" t="s">
        <v>1606</v>
      </c>
      <c r="F179" s="84" t="s">
        <v>1607</v>
      </c>
      <c r="G179" s="84" t="s">
        <v>1607</v>
      </c>
      <c r="H179" s="84" t="s">
        <v>1607</v>
      </c>
      <c r="I179" s="84" t="s">
        <v>1608</v>
      </c>
      <c r="J179" s="84" t="s">
        <v>1609</v>
      </c>
      <c r="K179" s="84" t="s">
        <v>182</v>
      </c>
      <c r="L179" s="84">
        <v>3</v>
      </c>
      <c r="M179" s="84" t="s">
        <v>1664</v>
      </c>
      <c r="N179" s="84" t="s">
        <v>1665</v>
      </c>
      <c r="O179" s="84" t="s">
        <v>1666</v>
      </c>
      <c r="P179" s="84" t="s">
        <v>161</v>
      </c>
      <c r="Q179" s="84" t="s">
        <v>162</v>
      </c>
      <c r="R179" s="122">
        <v>1</v>
      </c>
      <c r="S179" s="84" t="s">
        <v>402</v>
      </c>
      <c r="T179" s="90">
        <v>44927</v>
      </c>
      <c r="U179" s="90">
        <v>46387</v>
      </c>
      <c r="V179" s="84"/>
      <c r="W179" s="84"/>
      <c r="X179" s="84"/>
      <c r="Y179" s="122"/>
      <c r="Z179" s="122">
        <v>2</v>
      </c>
      <c r="AA179" s="122">
        <v>0</v>
      </c>
      <c r="AB179" s="122">
        <v>0</v>
      </c>
      <c r="AC179" s="122">
        <v>1</v>
      </c>
      <c r="AD179" s="122">
        <v>1</v>
      </c>
      <c r="AE179" s="122">
        <v>2</v>
      </c>
      <c r="AF179" s="122">
        <v>0</v>
      </c>
      <c r="AG179" s="122">
        <v>0</v>
      </c>
      <c r="AH179" s="122">
        <v>1</v>
      </c>
      <c r="AI179" s="122">
        <v>1</v>
      </c>
      <c r="AJ179" s="122">
        <v>2</v>
      </c>
      <c r="AK179" s="122"/>
      <c r="AL179" s="122"/>
      <c r="AM179" s="122"/>
      <c r="AN179" s="122"/>
      <c r="AO179" s="122">
        <v>2</v>
      </c>
      <c r="AP179" s="84">
        <v>2</v>
      </c>
      <c r="AQ179" s="84"/>
      <c r="AR179" s="84"/>
      <c r="AS179" s="84"/>
      <c r="AT179" s="84"/>
      <c r="AU179" s="84"/>
      <c r="AV179" s="84"/>
      <c r="AW179" s="84"/>
      <c r="AX179" s="84"/>
      <c r="AY179" s="175"/>
      <c r="AZ179" s="370"/>
      <c r="BA179" s="175"/>
      <c r="BB179" s="370"/>
      <c r="BC179" s="335"/>
      <c r="BD179" s="370"/>
      <c r="BE179" s="175"/>
      <c r="BF179" s="175"/>
      <c r="BG179" s="175"/>
      <c r="BH179" s="175"/>
      <c r="BI179" s="84"/>
      <c r="BJ179" s="86"/>
      <c r="BK179" s="84"/>
      <c r="BL179" s="86"/>
      <c r="BM179" s="84"/>
      <c r="BN179" s="86"/>
      <c r="BO179" s="84"/>
      <c r="BP179" s="86"/>
      <c r="BQ179" s="84"/>
      <c r="BR179" s="84"/>
      <c r="BS179" s="84"/>
      <c r="BT179" s="131"/>
      <c r="BU179" s="84"/>
      <c r="BV179" s="84"/>
      <c r="BW179" s="84"/>
      <c r="BX179" s="84"/>
      <c r="BY179" s="84"/>
      <c r="BZ179" s="84"/>
      <c r="CA179" s="84"/>
      <c r="CB179" s="84"/>
      <c r="CC179" s="84"/>
      <c r="CD179" s="84"/>
      <c r="CE179" s="84"/>
      <c r="CF179" s="84"/>
      <c r="CG179" s="372"/>
      <c r="CH179" s="372"/>
      <c r="CI179" s="372"/>
      <c r="CJ179" s="83" t="str">
        <f t="shared" si="42"/>
        <v>No aplica</v>
      </c>
      <c r="CK179" s="83" t="str">
        <f t="shared" si="43"/>
        <v>No aplica</v>
      </c>
      <c r="CL179" s="83" t="str">
        <f t="shared" si="36"/>
        <v>No requiere reporte</v>
      </c>
      <c r="CM179" s="89" t="str">
        <f t="shared" si="37"/>
        <v>No requiere reporte</v>
      </c>
      <c r="CN179" s="89" t="str">
        <f t="shared" si="38"/>
        <v>No requiere reporte</v>
      </c>
      <c r="CO179" s="84" t="s">
        <v>366</v>
      </c>
      <c r="CP179" s="84" t="s">
        <v>1691</v>
      </c>
      <c r="CQ179" s="84" t="s">
        <v>1692</v>
      </c>
      <c r="CR179" s="84" t="s">
        <v>1693</v>
      </c>
      <c r="CS179" s="84" t="s">
        <v>1694</v>
      </c>
      <c r="CT179" s="84" t="s">
        <v>953</v>
      </c>
      <c r="CU179" s="84" t="s">
        <v>162</v>
      </c>
      <c r="CV179" s="85">
        <v>1</v>
      </c>
      <c r="CW179" s="84" t="s">
        <v>252</v>
      </c>
      <c r="CX179" s="90">
        <v>46023</v>
      </c>
      <c r="CY179" s="90">
        <v>46387</v>
      </c>
      <c r="CZ179" s="146">
        <v>1</v>
      </c>
      <c r="DA179" s="146">
        <v>1</v>
      </c>
      <c r="DB179" s="146">
        <v>1</v>
      </c>
      <c r="DC179" s="146">
        <v>1</v>
      </c>
      <c r="DD179" s="146">
        <v>1</v>
      </c>
      <c r="DE179" s="84" t="s">
        <v>1630</v>
      </c>
      <c r="DF179" s="84" t="s">
        <v>1685</v>
      </c>
      <c r="DG179" s="84" t="s">
        <v>1632</v>
      </c>
      <c r="DH179" s="372">
        <v>1043625000</v>
      </c>
      <c r="DI179" s="84" t="s">
        <v>1633</v>
      </c>
      <c r="DJ179" s="84" t="s">
        <v>1634</v>
      </c>
      <c r="DK179" s="84" t="s">
        <v>1635</v>
      </c>
      <c r="DL179" s="84" t="s">
        <v>279</v>
      </c>
      <c r="DM179" s="84"/>
      <c r="DN179" s="85"/>
      <c r="DO179" s="86"/>
      <c r="DP179" s="84"/>
      <c r="DQ179" s="86"/>
      <c r="DR179" s="86"/>
      <c r="DS179" s="91"/>
      <c r="DT179" s="86"/>
      <c r="DU179" s="84"/>
      <c r="DV179" s="86"/>
      <c r="DW179" s="86"/>
      <c r="DX179" s="91"/>
      <c r="DY179" s="86"/>
      <c r="DZ179" s="84"/>
      <c r="EA179" s="86"/>
      <c r="EB179" s="86"/>
      <c r="EC179" s="84"/>
      <c r="ED179" s="84"/>
      <c r="EE179" s="84"/>
      <c r="EF179" s="84"/>
      <c r="EG179" s="84"/>
      <c r="EH179" s="83"/>
      <c r="EI179" s="84"/>
      <c r="EJ179" s="84"/>
      <c r="EK179" s="131"/>
      <c r="EL179" s="91" t="str">
        <f t="shared" si="39"/>
        <v>No se reportó avance</v>
      </c>
      <c r="EM179" s="83" t="str">
        <f t="shared" si="40"/>
        <v>No se reportó avance</v>
      </c>
      <c r="EN179" s="153"/>
      <c r="EO179" s="93" t="str">
        <f t="shared" si="44"/>
        <v>Producto</v>
      </c>
      <c r="EP179" s="93" t="str">
        <f t="shared" si="45"/>
        <v>1</v>
      </c>
    </row>
    <row r="180" spans="1:146" s="93" customFormat="1" ht="150" customHeight="1">
      <c r="A180" s="74" t="s">
        <v>1602</v>
      </c>
      <c r="B180" s="75" t="s">
        <v>1603</v>
      </c>
      <c r="C180" s="75" t="s">
        <v>1604</v>
      </c>
      <c r="D180" s="75" t="s">
        <v>1605</v>
      </c>
      <c r="E180" s="75" t="s">
        <v>1606</v>
      </c>
      <c r="F180" s="74" t="s">
        <v>1607</v>
      </c>
      <c r="G180" s="74" t="s">
        <v>1607</v>
      </c>
      <c r="H180" s="74" t="s">
        <v>1607</v>
      </c>
      <c r="I180" s="74" t="s">
        <v>1608</v>
      </c>
      <c r="J180" s="74" t="s">
        <v>1609</v>
      </c>
      <c r="K180" s="74" t="s">
        <v>182</v>
      </c>
      <c r="L180" s="78">
        <v>4</v>
      </c>
      <c r="M180" s="78" t="s">
        <v>1695</v>
      </c>
      <c r="N180" s="78" t="s">
        <v>1696</v>
      </c>
      <c r="O180" s="78" t="s">
        <v>1697</v>
      </c>
      <c r="P180" s="78" t="s">
        <v>200</v>
      </c>
      <c r="Q180" s="78" t="s">
        <v>162</v>
      </c>
      <c r="R180" s="79">
        <v>1</v>
      </c>
      <c r="S180" s="78" t="s">
        <v>252</v>
      </c>
      <c r="T180" s="80">
        <v>44927</v>
      </c>
      <c r="U180" s="80">
        <v>46387</v>
      </c>
      <c r="V180" s="182"/>
      <c r="W180" s="182"/>
      <c r="X180" s="182"/>
      <c r="Y180" s="74"/>
      <c r="Z180" s="79">
        <v>1</v>
      </c>
      <c r="AA180" s="183">
        <v>1</v>
      </c>
      <c r="AB180" s="198">
        <v>1</v>
      </c>
      <c r="AC180" s="198">
        <v>1</v>
      </c>
      <c r="AD180" s="198">
        <v>1</v>
      </c>
      <c r="AE180" s="79">
        <v>1</v>
      </c>
      <c r="AF180" s="79">
        <v>1</v>
      </c>
      <c r="AG180" s="184">
        <v>1</v>
      </c>
      <c r="AH180" s="376">
        <v>1</v>
      </c>
      <c r="AI180" s="376">
        <v>1</v>
      </c>
      <c r="AJ180" s="376">
        <v>1</v>
      </c>
      <c r="AK180" s="376">
        <v>1</v>
      </c>
      <c r="AL180" s="376">
        <v>1</v>
      </c>
      <c r="AM180" s="376">
        <v>1</v>
      </c>
      <c r="AN180" s="376">
        <v>1</v>
      </c>
      <c r="AO180" s="79">
        <v>1</v>
      </c>
      <c r="AP180" s="79">
        <v>1</v>
      </c>
      <c r="AQ180" s="173">
        <f>6/6</f>
        <v>1</v>
      </c>
      <c r="AR180" s="692" t="s">
        <v>1698</v>
      </c>
      <c r="AS180" s="173">
        <f>6/6</f>
        <v>1</v>
      </c>
      <c r="AT180" s="692" t="s">
        <v>1699</v>
      </c>
      <c r="AU180" s="173">
        <f>6/6</f>
        <v>1</v>
      </c>
      <c r="AV180" s="692" t="s">
        <v>1700</v>
      </c>
      <c r="AW180" s="173">
        <f>6/6</f>
        <v>1</v>
      </c>
      <c r="AX180" s="796" t="s">
        <v>1701</v>
      </c>
      <c r="AY180" s="175">
        <v>1</v>
      </c>
      <c r="AZ180" s="370" t="s">
        <v>1702</v>
      </c>
      <c r="BA180" s="173">
        <v>1</v>
      </c>
      <c r="BB180" s="370" t="s">
        <v>1703</v>
      </c>
      <c r="BC180" s="173">
        <f>21/21</f>
        <v>1</v>
      </c>
      <c r="BD180" s="370" t="s">
        <v>1704</v>
      </c>
      <c r="BE180" s="173">
        <f>23/23</f>
        <v>1</v>
      </c>
      <c r="BF180" s="170" t="s">
        <v>1705</v>
      </c>
      <c r="BG180" s="173">
        <f>(14+8+4)/(14+8+4)</f>
        <v>1</v>
      </c>
      <c r="BH180" s="315" t="s">
        <v>1706</v>
      </c>
      <c r="BI180" s="122">
        <v>1</v>
      </c>
      <c r="BJ180" s="87" t="s">
        <v>1707</v>
      </c>
      <c r="BK180" s="85">
        <f>(65+95+77)/(65+95+77)</f>
        <v>1</v>
      </c>
      <c r="BL180" s="86" t="s">
        <v>1708</v>
      </c>
      <c r="BM180" s="85">
        <f>(87+185+142)/(87+185+142)</f>
        <v>1</v>
      </c>
      <c r="BN180" s="86" t="s">
        <v>1709</v>
      </c>
      <c r="BO180" s="85">
        <v>1</v>
      </c>
      <c r="BP180" s="86" t="s">
        <v>1710</v>
      </c>
      <c r="BQ180" s="84"/>
      <c r="BR180" s="84"/>
      <c r="BS180" s="144">
        <f>+SUM(BO180,BM180,BK180)/SUM(AF180:AI180)</f>
        <v>0.75</v>
      </c>
      <c r="BT180" s="144"/>
      <c r="BU180" s="83"/>
      <c r="BV180" s="83"/>
      <c r="BW180" s="83"/>
      <c r="BX180" s="83"/>
      <c r="BY180" s="83"/>
      <c r="BZ180" s="83"/>
      <c r="CA180" s="83"/>
      <c r="CB180" s="83"/>
      <c r="CC180" s="83"/>
      <c r="CD180" s="83"/>
      <c r="CE180" s="85">
        <v>1</v>
      </c>
      <c r="CF180" s="84"/>
      <c r="CG180" s="372" t="s">
        <v>201</v>
      </c>
      <c r="CH180" s="372"/>
      <c r="CI180" s="372"/>
      <c r="CJ180" s="83" t="str">
        <f t="shared" si="42"/>
        <v>No aplica</v>
      </c>
      <c r="CK180" s="83" t="str">
        <f t="shared" si="43"/>
        <v>No aplica</v>
      </c>
      <c r="CL180" s="83" t="str">
        <f t="shared" si="36"/>
        <v>No se reportó avance</v>
      </c>
      <c r="CM180" s="89" t="str">
        <f t="shared" si="37"/>
        <v>No se reportó avance</v>
      </c>
      <c r="CN180" s="89">
        <f t="shared" si="38"/>
        <v>1</v>
      </c>
      <c r="CO180" s="84" t="s">
        <v>391</v>
      </c>
      <c r="CP180" s="84" t="s">
        <v>1711</v>
      </c>
      <c r="CQ180" s="84" t="s">
        <v>1712</v>
      </c>
      <c r="CR180" s="84" t="s">
        <v>1713</v>
      </c>
      <c r="CS180" s="84" t="s">
        <v>1714</v>
      </c>
      <c r="CT180" s="84" t="s">
        <v>200</v>
      </c>
      <c r="CU180" s="84" t="s">
        <v>162</v>
      </c>
      <c r="CV180" s="85">
        <v>1</v>
      </c>
      <c r="CW180" s="84" t="s">
        <v>252</v>
      </c>
      <c r="CX180" s="90">
        <v>46023</v>
      </c>
      <c r="CY180" s="90">
        <v>46387</v>
      </c>
      <c r="CZ180" s="146">
        <v>1</v>
      </c>
      <c r="DA180" s="146">
        <v>1</v>
      </c>
      <c r="DB180" s="146">
        <v>1</v>
      </c>
      <c r="DC180" s="146">
        <v>1</v>
      </c>
      <c r="DD180" s="146">
        <v>1</v>
      </c>
      <c r="DE180" s="84" t="s">
        <v>201</v>
      </c>
      <c r="DF180" s="84" t="s">
        <v>201</v>
      </c>
      <c r="DG180" s="84" t="s">
        <v>201</v>
      </c>
      <c r="DH180" s="84" t="s">
        <v>182</v>
      </c>
      <c r="DI180" s="84" t="s">
        <v>1633</v>
      </c>
      <c r="DJ180" s="84" t="s">
        <v>1634</v>
      </c>
      <c r="DK180" s="84" t="s">
        <v>1635</v>
      </c>
      <c r="DL180" s="84" t="s">
        <v>182</v>
      </c>
      <c r="DM180" s="84"/>
      <c r="DN180" s="85"/>
      <c r="DO180" s="86"/>
      <c r="DP180" s="84"/>
      <c r="DQ180" s="86"/>
      <c r="DR180" s="86"/>
      <c r="DS180" s="91"/>
      <c r="DT180" s="86"/>
      <c r="DU180" s="84"/>
      <c r="DV180" s="86"/>
      <c r="DW180" s="86"/>
      <c r="DX180" s="91"/>
      <c r="DY180" s="86"/>
      <c r="DZ180" s="148"/>
      <c r="EA180" s="86"/>
      <c r="EB180" s="86"/>
      <c r="EC180" s="84"/>
      <c r="ED180" s="84"/>
      <c r="EE180" s="84"/>
      <c r="EF180" s="84"/>
      <c r="EG180" s="84"/>
      <c r="EH180" s="83"/>
      <c r="EI180" s="84"/>
      <c r="EJ180" s="84"/>
      <c r="EK180" s="131"/>
      <c r="EL180" s="91" t="str">
        <f t="shared" si="39"/>
        <v>No se reportó avance</v>
      </c>
      <c r="EM180" s="83" t="str">
        <f t="shared" si="40"/>
        <v>No se reportó avance</v>
      </c>
      <c r="EN180" s="153"/>
      <c r="EO180" s="93" t="str">
        <f t="shared" si="44"/>
        <v>Gestión</v>
      </c>
      <c r="EP180" s="93" t="str">
        <f t="shared" si="45"/>
        <v>1</v>
      </c>
    </row>
    <row r="181" spans="1:146" s="93" customFormat="1" ht="150" customHeight="1">
      <c r="A181" s="84" t="s">
        <v>1602</v>
      </c>
      <c r="B181" s="85" t="s">
        <v>1603</v>
      </c>
      <c r="C181" s="85" t="s">
        <v>1604</v>
      </c>
      <c r="D181" s="85" t="s">
        <v>1605</v>
      </c>
      <c r="E181" s="85" t="s">
        <v>1606</v>
      </c>
      <c r="F181" s="84" t="s">
        <v>1607</v>
      </c>
      <c r="G181" s="84" t="s">
        <v>1607</v>
      </c>
      <c r="H181" s="84" t="s">
        <v>1607</v>
      </c>
      <c r="I181" s="84" t="s">
        <v>1608</v>
      </c>
      <c r="J181" s="84" t="s">
        <v>1609</v>
      </c>
      <c r="K181" s="84" t="s">
        <v>182</v>
      </c>
      <c r="L181" s="84">
        <v>4</v>
      </c>
      <c r="M181" s="84" t="s">
        <v>1695</v>
      </c>
      <c r="N181" s="84" t="s">
        <v>1696</v>
      </c>
      <c r="O181" s="84" t="s">
        <v>1697</v>
      </c>
      <c r="P181" s="84" t="s">
        <v>200</v>
      </c>
      <c r="Q181" s="84" t="s">
        <v>877</v>
      </c>
      <c r="R181" s="85">
        <v>1</v>
      </c>
      <c r="S181" s="84" t="s">
        <v>252</v>
      </c>
      <c r="T181" s="90">
        <v>44927</v>
      </c>
      <c r="U181" s="90">
        <v>46387</v>
      </c>
      <c r="V181" s="131"/>
      <c r="W181" s="131"/>
      <c r="X181" s="131"/>
      <c r="Y181" s="84"/>
      <c r="Z181" s="83">
        <v>1</v>
      </c>
      <c r="AA181" s="144">
        <v>1</v>
      </c>
      <c r="AB181" s="144">
        <v>1</v>
      </c>
      <c r="AC181" s="144">
        <v>1</v>
      </c>
      <c r="AD181" s="144">
        <v>1</v>
      </c>
      <c r="AE181" s="83">
        <v>1</v>
      </c>
      <c r="AF181" s="83">
        <v>1</v>
      </c>
      <c r="AG181" s="144">
        <v>1</v>
      </c>
      <c r="AH181" s="144">
        <v>1</v>
      </c>
      <c r="AI181" s="144">
        <v>1</v>
      </c>
      <c r="AJ181" s="144">
        <v>1</v>
      </c>
      <c r="AK181" s="83">
        <v>1</v>
      </c>
      <c r="AL181" s="83">
        <v>1</v>
      </c>
      <c r="AM181" s="83">
        <v>1</v>
      </c>
      <c r="AN181" s="83">
        <v>1</v>
      </c>
      <c r="AO181" s="83">
        <v>1</v>
      </c>
      <c r="AP181" s="85">
        <v>1</v>
      </c>
      <c r="AQ181" s="84"/>
      <c r="AR181" s="84"/>
      <c r="AS181" s="84"/>
      <c r="AT181" s="84"/>
      <c r="AU181" s="84"/>
      <c r="AV181" s="84"/>
      <c r="AW181" s="84"/>
      <c r="AX181" s="84"/>
      <c r="AY181" s="175"/>
      <c r="AZ181" s="370"/>
      <c r="BA181" s="175"/>
      <c r="BB181" s="370"/>
      <c r="BC181" s="175"/>
      <c r="BD181" s="370"/>
      <c r="BE181" s="175"/>
      <c r="BF181" s="175"/>
      <c r="BG181" s="175"/>
      <c r="BH181" s="175"/>
      <c r="BI181" s="84"/>
      <c r="BJ181" s="86"/>
      <c r="BK181" s="84"/>
      <c r="BL181" s="86"/>
      <c r="BM181" s="84"/>
      <c r="BN181" s="86"/>
      <c r="BO181" s="84"/>
      <c r="BP181" s="86"/>
      <c r="BQ181" s="84"/>
      <c r="BR181" s="84"/>
      <c r="BS181" s="84"/>
      <c r="BT181" s="84"/>
      <c r="BU181" s="84"/>
      <c r="BV181" s="84"/>
      <c r="BW181" s="84"/>
      <c r="BX181" s="84"/>
      <c r="BY181" s="84"/>
      <c r="BZ181" s="84"/>
      <c r="CA181" s="84"/>
      <c r="CB181" s="84"/>
      <c r="CC181" s="84"/>
      <c r="CD181" s="84"/>
      <c r="CE181" s="84"/>
      <c r="CF181" s="84"/>
      <c r="CG181" s="372"/>
      <c r="CH181" s="372"/>
      <c r="CI181" s="372"/>
      <c r="CJ181" s="83" t="str">
        <f t="shared" si="42"/>
        <v>No aplica</v>
      </c>
      <c r="CK181" s="83" t="str">
        <f t="shared" si="43"/>
        <v>No aplica</v>
      </c>
      <c r="CL181" s="83" t="str">
        <f t="shared" si="36"/>
        <v>No requiere reporte</v>
      </c>
      <c r="CM181" s="89" t="str">
        <f t="shared" si="37"/>
        <v>No requiere reporte</v>
      </c>
      <c r="CN181" s="89" t="str">
        <f t="shared" si="38"/>
        <v>No requiere reporte</v>
      </c>
      <c r="CO181" s="84" t="s">
        <v>403</v>
      </c>
      <c r="CP181" s="84" t="s">
        <v>1715</v>
      </c>
      <c r="CQ181" s="84" t="s">
        <v>1712</v>
      </c>
      <c r="CR181" s="84" t="s">
        <v>1716</v>
      </c>
      <c r="CS181" s="84" t="s">
        <v>1717</v>
      </c>
      <c r="CT181" s="84" t="s">
        <v>200</v>
      </c>
      <c r="CU181" s="84" t="s">
        <v>162</v>
      </c>
      <c r="CV181" s="85">
        <v>1</v>
      </c>
      <c r="CW181" s="84" t="s">
        <v>252</v>
      </c>
      <c r="CX181" s="90">
        <v>46023</v>
      </c>
      <c r="CY181" s="90">
        <v>46387</v>
      </c>
      <c r="CZ181" s="146">
        <v>1</v>
      </c>
      <c r="DA181" s="146">
        <v>1</v>
      </c>
      <c r="DB181" s="146">
        <v>1</v>
      </c>
      <c r="DC181" s="146">
        <v>1</v>
      </c>
      <c r="DD181" s="146">
        <v>1</v>
      </c>
      <c r="DE181" s="84" t="s">
        <v>201</v>
      </c>
      <c r="DF181" s="84" t="s">
        <v>201</v>
      </c>
      <c r="DG181" s="84" t="s">
        <v>201</v>
      </c>
      <c r="DH181" s="84" t="s">
        <v>182</v>
      </c>
      <c r="DI181" s="84" t="s">
        <v>1633</v>
      </c>
      <c r="DJ181" s="84" t="s">
        <v>1634</v>
      </c>
      <c r="DK181" s="84" t="s">
        <v>1635</v>
      </c>
      <c r="DL181" s="84" t="s">
        <v>182</v>
      </c>
      <c r="DM181" s="84"/>
      <c r="DN181" s="85"/>
      <c r="DO181" s="86"/>
      <c r="DP181" s="148"/>
      <c r="DQ181" s="86"/>
      <c r="DR181" s="86"/>
      <c r="DS181" s="91"/>
      <c r="DT181" s="86"/>
      <c r="DU181" s="84"/>
      <c r="DV181" s="86"/>
      <c r="DW181" s="86"/>
      <c r="DX181" s="91"/>
      <c r="DY181" s="86"/>
      <c r="DZ181" s="84"/>
      <c r="EA181" s="86"/>
      <c r="EB181" s="86"/>
      <c r="EC181" s="84"/>
      <c r="ED181" s="84"/>
      <c r="EE181" s="84"/>
      <c r="EF181" s="84"/>
      <c r="EG181" s="84"/>
      <c r="EH181" s="83"/>
      <c r="EI181" s="84"/>
      <c r="EJ181" s="84"/>
      <c r="EK181" s="131"/>
      <c r="EL181" s="91" t="str">
        <f t="shared" si="39"/>
        <v>No se reportó avance</v>
      </c>
      <c r="EM181" s="83" t="str">
        <f t="shared" si="40"/>
        <v>No se reportó avance</v>
      </c>
      <c r="EN181" s="153"/>
      <c r="EO181" s="93" t="str">
        <f t="shared" si="44"/>
        <v>Gestión</v>
      </c>
      <c r="EP181" s="93" t="str">
        <f t="shared" si="45"/>
        <v>1</v>
      </c>
    </row>
    <row r="182" spans="1:146" s="71" customFormat="1" ht="150" customHeight="1">
      <c r="A182" s="377" t="s">
        <v>1718</v>
      </c>
      <c r="B182" s="378" t="s">
        <v>1719</v>
      </c>
      <c r="C182" s="379" t="s">
        <v>1720</v>
      </c>
      <c r="D182" s="380" t="s">
        <v>1721</v>
      </c>
      <c r="E182" s="381" t="s">
        <v>1722</v>
      </c>
      <c r="F182" s="377" t="s">
        <v>182</v>
      </c>
      <c r="G182" s="377" t="s">
        <v>182</v>
      </c>
      <c r="H182" s="377" t="s">
        <v>182</v>
      </c>
      <c r="I182" s="377" t="s">
        <v>728</v>
      </c>
      <c r="J182" s="377" t="s">
        <v>1723</v>
      </c>
      <c r="K182" s="377" t="s">
        <v>182</v>
      </c>
      <c r="L182" s="382">
        <v>1</v>
      </c>
      <c r="M182" s="382" t="s">
        <v>1724</v>
      </c>
      <c r="N182" s="382" t="s">
        <v>1725</v>
      </c>
      <c r="O182" s="382" t="s">
        <v>1726</v>
      </c>
      <c r="P182" s="382" t="s">
        <v>200</v>
      </c>
      <c r="Q182" s="382" t="s">
        <v>233</v>
      </c>
      <c r="R182" s="383">
        <v>1</v>
      </c>
      <c r="S182" s="382" t="s">
        <v>234</v>
      </c>
      <c r="T182" s="384">
        <v>44927</v>
      </c>
      <c r="U182" s="384">
        <v>46387</v>
      </c>
      <c r="V182" s="385">
        <v>3</v>
      </c>
      <c r="W182" s="385">
        <v>4</v>
      </c>
      <c r="X182" s="385">
        <v>4</v>
      </c>
      <c r="Y182" s="385">
        <v>4</v>
      </c>
      <c r="Z182" s="385">
        <f>+V182+W182+X182+Y182</f>
        <v>15</v>
      </c>
      <c r="AA182" s="386">
        <v>1</v>
      </c>
      <c r="AB182" s="386">
        <v>2</v>
      </c>
      <c r="AC182" s="386">
        <v>1</v>
      </c>
      <c r="AD182" s="386">
        <v>4</v>
      </c>
      <c r="AE182" s="386">
        <f>+AA182+AB182+AC182+AD182</f>
        <v>8</v>
      </c>
      <c r="AF182" s="385">
        <v>2</v>
      </c>
      <c r="AG182" s="385">
        <v>2</v>
      </c>
      <c r="AH182" s="385">
        <v>3</v>
      </c>
      <c r="AI182" s="385">
        <v>2</v>
      </c>
      <c r="AJ182" s="385">
        <f>+AF182+AG182+AH182+AI182</f>
        <v>9</v>
      </c>
      <c r="AK182" s="387">
        <f>SUM(CZ182:CZ184)</f>
        <v>2</v>
      </c>
      <c r="AL182" s="387">
        <f t="shared" ref="AL182:AN182" si="46">SUM(DA182:DA184)</f>
        <v>2</v>
      </c>
      <c r="AM182" s="387">
        <f t="shared" si="46"/>
        <v>3</v>
      </c>
      <c r="AN182" s="387">
        <f t="shared" si="46"/>
        <v>2</v>
      </c>
      <c r="AO182" s="387">
        <f>SUM(AK182:AN182)</f>
        <v>9</v>
      </c>
      <c r="AP182" s="388">
        <f>+Z182+AE182+AJ182+AO182</f>
        <v>41</v>
      </c>
      <c r="AQ182" s="643">
        <v>4</v>
      </c>
      <c r="AR182" s="389" t="s">
        <v>1727</v>
      </c>
      <c r="AS182" s="643">
        <v>6</v>
      </c>
      <c r="AT182" s="389" t="s">
        <v>1728</v>
      </c>
      <c r="AU182" s="643">
        <v>3</v>
      </c>
      <c r="AV182" s="389" t="s">
        <v>1729</v>
      </c>
      <c r="AW182" s="643">
        <v>4</v>
      </c>
      <c r="AX182" s="644" t="s">
        <v>1730</v>
      </c>
      <c r="AY182" s="645">
        <f>+AQ182+AS182+AU182+AW182</f>
        <v>17</v>
      </c>
      <c r="AZ182" s="644" t="s">
        <v>1731</v>
      </c>
      <c r="BA182" s="390">
        <v>1</v>
      </c>
      <c r="BB182" s="646" t="s">
        <v>1732</v>
      </c>
      <c r="BC182" s="390">
        <v>3</v>
      </c>
      <c r="BD182" s="646" t="s">
        <v>1733</v>
      </c>
      <c r="BE182" s="390">
        <v>2</v>
      </c>
      <c r="BF182" s="390" t="s">
        <v>1734</v>
      </c>
      <c r="BG182" s="390">
        <v>3</v>
      </c>
      <c r="BH182" s="390" t="s">
        <v>1735</v>
      </c>
      <c r="BI182" s="390">
        <f>+BA182+BC182+BE182+BG182</f>
        <v>9</v>
      </c>
      <c r="BJ182" s="390" t="s">
        <v>1736</v>
      </c>
      <c r="BK182" s="390">
        <f>DN183+DN184</f>
        <v>0</v>
      </c>
      <c r="BL182" s="390" t="s">
        <v>1737</v>
      </c>
      <c r="BM182" s="390">
        <v>2</v>
      </c>
      <c r="BN182" s="390" t="s">
        <v>1738</v>
      </c>
      <c r="BO182" s="390">
        <f>SUM(DX182+DX183+DX184)</f>
        <v>0</v>
      </c>
      <c r="BP182" s="390" t="s">
        <v>1739</v>
      </c>
      <c r="BQ182" s="390"/>
      <c r="BR182" s="390"/>
      <c r="BS182" s="390">
        <f>SUM(BK182+BM182+BO182)</f>
        <v>2</v>
      </c>
      <c r="BT182" s="390"/>
      <c r="BU182" s="390"/>
      <c r="BV182" s="390"/>
      <c r="BW182" s="390"/>
      <c r="BX182" s="390"/>
      <c r="BY182" s="390"/>
      <c r="BZ182" s="390"/>
      <c r="CA182" s="390"/>
      <c r="CB182" s="390"/>
      <c r="CC182" s="390"/>
      <c r="CD182" s="390"/>
      <c r="CE182" s="391">
        <f>+AY182+BI182+BS182</f>
        <v>28</v>
      </c>
      <c r="CF182" s="390"/>
      <c r="CG182" s="392">
        <f>SUM(DH182:DH184)</f>
        <v>1301255000</v>
      </c>
      <c r="CH182" s="393"/>
      <c r="CI182" s="393"/>
      <c r="CJ182" s="83">
        <f t="shared" si="42"/>
        <v>0</v>
      </c>
      <c r="CK182" s="83">
        <f t="shared" si="43"/>
        <v>0</v>
      </c>
      <c r="CL182" s="83" t="str">
        <f t="shared" si="36"/>
        <v>No se reportó avance</v>
      </c>
      <c r="CM182" s="89" t="str">
        <f t="shared" si="37"/>
        <v>No se reportó avance</v>
      </c>
      <c r="CN182" s="89">
        <f t="shared" si="38"/>
        <v>0.68292682926829273</v>
      </c>
      <c r="CO182" s="394" t="s">
        <v>177</v>
      </c>
      <c r="CP182" s="394" t="s">
        <v>4689</v>
      </c>
      <c r="CQ182" s="394" t="s">
        <v>1740</v>
      </c>
      <c r="CR182" s="394" t="s">
        <v>1741</v>
      </c>
      <c r="CS182" s="394" t="s">
        <v>1742</v>
      </c>
      <c r="CT182" s="394" t="s">
        <v>200</v>
      </c>
      <c r="CU182" s="394" t="s">
        <v>233</v>
      </c>
      <c r="CV182" s="394">
        <v>3</v>
      </c>
      <c r="CW182" s="394" t="s">
        <v>234</v>
      </c>
      <c r="CX182" s="395">
        <v>46037</v>
      </c>
      <c r="CY182" s="395">
        <v>46387</v>
      </c>
      <c r="CZ182" s="396">
        <v>0</v>
      </c>
      <c r="DA182" s="396">
        <v>0</v>
      </c>
      <c r="DB182" s="396">
        <v>1</v>
      </c>
      <c r="DC182" s="396">
        <v>0</v>
      </c>
      <c r="DD182" s="396">
        <f t="shared" ref="DD182:DD191" si="47">SUM(CZ182:DC182)</f>
        <v>1</v>
      </c>
      <c r="DE182" s="394" t="s">
        <v>514</v>
      </c>
      <c r="DF182" s="394" t="s">
        <v>1743</v>
      </c>
      <c r="DG182" s="394" t="s">
        <v>1744</v>
      </c>
      <c r="DH182" s="397">
        <v>1047255000</v>
      </c>
      <c r="DI182" s="394" t="s">
        <v>182</v>
      </c>
      <c r="DJ182" s="643" t="s">
        <v>628</v>
      </c>
      <c r="DK182" s="643" t="s">
        <v>1745</v>
      </c>
      <c r="DL182" s="394" t="s">
        <v>1746</v>
      </c>
      <c r="DM182" s="394" t="s">
        <v>1747</v>
      </c>
      <c r="DN182" s="390"/>
      <c r="DO182" s="654"/>
      <c r="DP182" s="390"/>
      <c r="DQ182" s="390"/>
      <c r="DR182" s="390"/>
      <c r="DS182" s="390"/>
      <c r="DT182" s="646"/>
      <c r="DU182" s="390"/>
      <c r="DV182" s="390"/>
      <c r="DW182" s="390"/>
      <c r="DX182" s="390"/>
      <c r="DY182" s="646"/>
      <c r="DZ182" s="829"/>
      <c r="EA182" s="390"/>
      <c r="EB182" s="390"/>
      <c r="EC182" s="390"/>
      <c r="ED182" s="390"/>
      <c r="EE182" s="390"/>
      <c r="EF182" s="390"/>
      <c r="EG182" s="390"/>
      <c r="EH182" s="390"/>
      <c r="EI182" s="390"/>
      <c r="EJ182" s="390"/>
      <c r="EK182" s="68"/>
      <c r="EL182" s="91" t="str">
        <f t="shared" si="39"/>
        <v>No aplica, no hay meta</v>
      </c>
      <c r="EM182" s="83" t="str">
        <f t="shared" si="40"/>
        <v>No se reportó avance</v>
      </c>
      <c r="EN182" s="646"/>
      <c r="EO182" s="69" t="str">
        <f t="shared" si="44"/>
        <v>Gestión</v>
      </c>
      <c r="EP182" s="69" t="str">
        <f t="shared" si="45"/>
        <v>6</v>
      </c>
    </row>
    <row r="183" spans="1:146" s="71" customFormat="1" ht="150" customHeight="1">
      <c r="A183" s="390" t="s">
        <v>1718</v>
      </c>
      <c r="B183" s="398" t="s">
        <v>1719</v>
      </c>
      <c r="C183" s="399" t="s">
        <v>1720</v>
      </c>
      <c r="D183" s="400" t="s">
        <v>1721</v>
      </c>
      <c r="E183" s="401" t="s">
        <v>1722</v>
      </c>
      <c r="F183" s="390" t="s">
        <v>182</v>
      </c>
      <c r="G183" s="390" t="s">
        <v>182</v>
      </c>
      <c r="H183" s="390" t="s">
        <v>182</v>
      </c>
      <c r="I183" s="390" t="s">
        <v>728</v>
      </c>
      <c r="J183" s="390" t="s">
        <v>1723</v>
      </c>
      <c r="K183" s="390" t="s">
        <v>182</v>
      </c>
      <c r="L183" s="402">
        <v>1</v>
      </c>
      <c r="M183" s="390" t="s">
        <v>1724</v>
      </c>
      <c r="N183" s="390" t="s">
        <v>1725</v>
      </c>
      <c r="O183" s="390" t="s">
        <v>1726</v>
      </c>
      <c r="P183" s="390" t="s">
        <v>200</v>
      </c>
      <c r="Q183" s="390" t="s">
        <v>233</v>
      </c>
      <c r="R183" s="398">
        <v>1</v>
      </c>
      <c r="S183" s="390" t="s">
        <v>234</v>
      </c>
      <c r="T183" s="403">
        <v>44927</v>
      </c>
      <c r="U183" s="403">
        <v>46387</v>
      </c>
      <c r="V183" s="404">
        <v>3</v>
      </c>
      <c r="W183" s="404">
        <v>4</v>
      </c>
      <c r="X183" s="404">
        <v>4</v>
      </c>
      <c r="Y183" s="404">
        <v>4</v>
      </c>
      <c r="Z183" s="391"/>
      <c r="AA183" s="391"/>
      <c r="AB183" s="391"/>
      <c r="AC183" s="391"/>
      <c r="AD183" s="391"/>
      <c r="AE183" s="404"/>
      <c r="AF183" s="404"/>
      <c r="AG183" s="404"/>
      <c r="AH183" s="404"/>
      <c r="AI183" s="404"/>
      <c r="AJ183" s="404"/>
      <c r="AK183" s="405"/>
      <c r="AL183" s="405"/>
      <c r="AM183" s="405"/>
      <c r="AN183" s="405"/>
      <c r="AO183" s="405"/>
      <c r="AP183" s="396"/>
      <c r="AQ183" s="390"/>
      <c r="AR183" s="390"/>
      <c r="AS183" s="390"/>
      <c r="AT183" s="390"/>
      <c r="AU183" s="390"/>
      <c r="AV183" s="390"/>
      <c r="AW183" s="390"/>
      <c r="AX183" s="390"/>
      <c r="AY183" s="391"/>
      <c r="AZ183" s="646"/>
      <c r="BA183" s="390"/>
      <c r="BB183" s="646"/>
      <c r="BC183" s="390"/>
      <c r="BD183" s="646"/>
      <c r="BE183" s="390"/>
      <c r="BF183" s="390"/>
      <c r="BG183" s="390"/>
      <c r="BH183" s="390"/>
      <c r="BI183" s="390"/>
      <c r="BJ183" s="390"/>
      <c r="BK183" s="390"/>
      <c r="BL183" s="390"/>
      <c r="BM183" s="390"/>
      <c r="BN183" s="390"/>
      <c r="BO183" s="390"/>
      <c r="BP183" s="390"/>
      <c r="BQ183" s="647"/>
      <c r="BR183" s="647"/>
      <c r="BS183" s="390"/>
      <c r="BT183" s="390"/>
      <c r="BU183" s="390"/>
      <c r="BV183" s="390"/>
      <c r="BW183" s="390"/>
      <c r="BX183" s="390"/>
      <c r="BY183" s="390"/>
      <c r="BZ183" s="390"/>
      <c r="CA183" s="390"/>
      <c r="CB183" s="390"/>
      <c r="CC183" s="390"/>
      <c r="CD183" s="390"/>
      <c r="CE183" s="390"/>
      <c r="CF183" s="647"/>
      <c r="CG183" s="393"/>
      <c r="CH183" s="393"/>
      <c r="CI183" s="393"/>
      <c r="CJ183" s="83" t="str">
        <f t="shared" si="42"/>
        <v>No aplica</v>
      </c>
      <c r="CK183" s="83" t="str">
        <f t="shared" si="43"/>
        <v>No aplica</v>
      </c>
      <c r="CL183" s="83" t="str">
        <f t="shared" si="36"/>
        <v>No requiere reporte</v>
      </c>
      <c r="CM183" s="89" t="str">
        <f t="shared" si="37"/>
        <v>No requiere reporte</v>
      </c>
      <c r="CN183" s="89" t="str">
        <f t="shared" si="38"/>
        <v>No requiere reporte</v>
      </c>
      <c r="CO183" s="394" t="s">
        <v>185</v>
      </c>
      <c r="CP183" s="394" t="s">
        <v>1748</v>
      </c>
      <c r="CQ183" s="394" t="s">
        <v>1749</v>
      </c>
      <c r="CR183" s="394" t="s">
        <v>1750</v>
      </c>
      <c r="CS183" s="394" t="s">
        <v>1751</v>
      </c>
      <c r="CT183" s="394" t="s">
        <v>200</v>
      </c>
      <c r="CU183" s="394" t="s">
        <v>233</v>
      </c>
      <c r="CV183" s="394">
        <v>7</v>
      </c>
      <c r="CW183" s="394" t="s">
        <v>234</v>
      </c>
      <c r="CX183" s="395">
        <v>46037</v>
      </c>
      <c r="CY183" s="395">
        <v>46387</v>
      </c>
      <c r="CZ183" s="396">
        <v>1</v>
      </c>
      <c r="DA183" s="396">
        <v>1</v>
      </c>
      <c r="DB183" s="396">
        <v>1</v>
      </c>
      <c r="DC183" s="396">
        <v>1</v>
      </c>
      <c r="DD183" s="396">
        <f t="shared" si="47"/>
        <v>4</v>
      </c>
      <c r="DE183" s="394" t="s">
        <v>514</v>
      </c>
      <c r="DF183" s="394" t="s">
        <v>1743</v>
      </c>
      <c r="DG183" s="394" t="s">
        <v>1744</v>
      </c>
      <c r="DH183" s="397">
        <v>107000000</v>
      </c>
      <c r="DI183" s="394" t="s">
        <v>182</v>
      </c>
      <c r="DJ183" s="643" t="s">
        <v>628</v>
      </c>
      <c r="DK183" s="643" t="s">
        <v>1745</v>
      </c>
      <c r="DL183" s="394" t="s">
        <v>1746</v>
      </c>
      <c r="DM183" s="394" t="s">
        <v>1747</v>
      </c>
      <c r="DN183" s="390"/>
      <c r="DO183" s="654"/>
      <c r="DP183" s="830"/>
      <c r="DQ183" s="390"/>
      <c r="DR183" s="390"/>
      <c r="DS183" s="390"/>
      <c r="DT183" s="646"/>
      <c r="DU183" s="406"/>
      <c r="DV183" s="390"/>
      <c r="DW183" s="390"/>
      <c r="DX183" s="390"/>
      <c r="DY183" s="646"/>
      <c r="DZ183" s="829"/>
      <c r="EA183" s="390"/>
      <c r="EB183" s="390"/>
      <c r="EC183" s="647"/>
      <c r="ED183" s="647"/>
      <c r="EE183" s="647"/>
      <c r="EF183" s="647"/>
      <c r="EG183" s="647"/>
      <c r="EH183" s="390"/>
      <c r="EI183" s="647"/>
      <c r="EJ183" s="647"/>
      <c r="EK183" s="68"/>
      <c r="EL183" s="91" t="str">
        <f t="shared" si="39"/>
        <v>No se reportó avance</v>
      </c>
      <c r="EM183" s="83" t="str">
        <f t="shared" si="40"/>
        <v>No se reportó avance</v>
      </c>
      <c r="EN183" s="646"/>
      <c r="EO183" s="69" t="str">
        <f t="shared" si="44"/>
        <v>Gestión</v>
      </c>
      <c r="EP183" s="69" t="str">
        <f t="shared" si="45"/>
        <v>6</v>
      </c>
    </row>
    <row r="184" spans="1:146" s="71" customFormat="1" ht="150" customHeight="1">
      <c r="A184" s="390" t="s">
        <v>1718</v>
      </c>
      <c r="B184" s="398" t="s">
        <v>1719</v>
      </c>
      <c r="C184" s="399" t="s">
        <v>1720</v>
      </c>
      <c r="D184" s="400" t="s">
        <v>1721</v>
      </c>
      <c r="E184" s="401" t="s">
        <v>1722</v>
      </c>
      <c r="F184" s="390" t="s">
        <v>182</v>
      </c>
      <c r="G184" s="390" t="s">
        <v>182</v>
      </c>
      <c r="H184" s="390" t="s">
        <v>182</v>
      </c>
      <c r="I184" s="390" t="s">
        <v>728</v>
      </c>
      <c r="J184" s="390" t="s">
        <v>1723</v>
      </c>
      <c r="K184" s="390" t="s">
        <v>182</v>
      </c>
      <c r="L184" s="402">
        <v>1</v>
      </c>
      <c r="M184" s="390" t="s">
        <v>1724</v>
      </c>
      <c r="N184" s="390" t="s">
        <v>1725</v>
      </c>
      <c r="O184" s="390" t="s">
        <v>1726</v>
      </c>
      <c r="P184" s="390" t="s">
        <v>200</v>
      </c>
      <c r="Q184" s="390" t="s">
        <v>233</v>
      </c>
      <c r="R184" s="398">
        <v>1</v>
      </c>
      <c r="S184" s="390" t="s">
        <v>234</v>
      </c>
      <c r="T184" s="403">
        <v>44927</v>
      </c>
      <c r="U184" s="403">
        <v>46387</v>
      </c>
      <c r="V184" s="404">
        <v>3</v>
      </c>
      <c r="W184" s="404">
        <v>4</v>
      </c>
      <c r="X184" s="404">
        <v>4</v>
      </c>
      <c r="Y184" s="404">
        <v>4</v>
      </c>
      <c r="Z184" s="391"/>
      <c r="AA184" s="391"/>
      <c r="AB184" s="391"/>
      <c r="AC184" s="391"/>
      <c r="AD184" s="391"/>
      <c r="AE184" s="404"/>
      <c r="AF184" s="404"/>
      <c r="AG184" s="404"/>
      <c r="AH184" s="404"/>
      <c r="AI184" s="404"/>
      <c r="AJ184" s="404"/>
      <c r="AK184" s="405"/>
      <c r="AL184" s="405"/>
      <c r="AM184" s="405"/>
      <c r="AN184" s="405"/>
      <c r="AO184" s="405"/>
      <c r="AP184" s="396"/>
      <c r="AQ184" s="390"/>
      <c r="AR184" s="390"/>
      <c r="AS184" s="390"/>
      <c r="AT184" s="390"/>
      <c r="AU184" s="390"/>
      <c r="AV184" s="390"/>
      <c r="AW184" s="390"/>
      <c r="AX184" s="390"/>
      <c r="AY184" s="391"/>
      <c r="AZ184" s="646"/>
      <c r="BA184" s="390"/>
      <c r="BB184" s="646"/>
      <c r="BC184" s="390"/>
      <c r="BD184" s="646"/>
      <c r="BE184" s="390"/>
      <c r="BF184" s="390"/>
      <c r="BG184" s="390"/>
      <c r="BH184" s="390"/>
      <c r="BI184" s="390"/>
      <c r="BJ184" s="390"/>
      <c r="BK184" s="390"/>
      <c r="BL184" s="390"/>
      <c r="BM184" s="390"/>
      <c r="BN184" s="390"/>
      <c r="BO184" s="390"/>
      <c r="BP184" s="390"/>
      <c r="BQ184" s="647"/>
      <c r="BR184" s="647"/>
      <c r="BS184" s="390"/>
      <c r="BT184" s="390"/>
      <c r="BU184" s="390"/>
      <c r="BV184" s="390"/>
      <c r="BW184" s="390"/>
      <c r="BX184" s="390"/>
      <c r="BY184" s="390"/>
      <c r="BZ184" s="390"/>
      <c r="CA184" s="390"/>
      <c r="CB184" s="390"/>
      <c r="CC184" s="390"/>
      <c r="CD184" s="390"/>
      <c r="CE184" s="390"/>
      <c r="CF184" s="647"/>
      <c r="CG184" s="393"/>
      <c r="CH184" s="393"/>
      <c r="CI184" s="393"/>
      <c r="CJ184" s="83" t="str">
        <f t="shared" si="42"/>
        <v>No aplica</v>
      </c>
      <c r="CK184" s="83" t="str">
        <f t="shared" si="43"/>
        <v>No aplica</v>
      </c>
      <c r="CL184" s="83" t="str">
        <f t="shared" si="36"/>
        <v>No requiere reporte</v>
      </c>
      <c r="CM184" s="89" t="str">
        <f t="shared" si="37"/>
        <v>No requiere reporte</v>
      </c>
      <c r="CN184" s="89" t="str">
        <f t="shared" si="38"/>
        <v>No requiere reporte</v>
      </c>
      <c r="CO184" s="394" t="s">
        <v>190</v>
      </c>
      <c r="CP184" s="394" t="s">
        <v>1752</v>
      </c>
      <c r="CQ184" s="394" t="s">
        <v>484</v>
      </c>
      <c r="CR184" s="394" t="s">
        <v>204</v>
      </c>
      <c r="CS184" s="394" t="s">
        <v>1753</v>
      </c>
      <c r="CT184" s="394" t="s">
        <v>200</v>
      </c>
      <c r="CU184" s="394" t="s">
        <v>233</v>
      </c>
      <c r="CV184" s="394">
        <v>7</v>
      </c>
      <c r="CW184" s="394" t="s">
        <v>234</v>
      </c>
      <c r="CX184" s="395">
        <v>46037</v>
      </c>
      <c r="CY184" s="395">
        <v>46387</v>
      </c>
      <c r="CZ184" s="396">
        <v>1</v>
      </c>
      <c r="DA184" s="396">
        <v>1</v>
      </c>
      <c r="DB184" s="396">
        <v>1</v>
      </c>
      <c r="DC184" s="396">
        <v>1</v>
      </c>
      <c r="DD184" s="396">
        <f t="shared" si="47"/>
        <v>4</v>
      </c>
      <c r="DE184" s="394" t="s">
        <v>514</v>
      </c>
      <c r="DF184" s="394" t="s">
        <v>1743</v>
      </c>
      <c r="DG184" s="394" t="s">
        <v>1744</v>
      </c>
      <c r="DH184" s="397">
        <v>147000000</v>
      </c>
      <c r="DI184" s="394" t="s">
        <v>182</v>
      </c>
      <c r="DJ184" s="643" t="s">
        <v>628</v>
      </c>
      <c r="DK184" s="643" t="s">
        <v>1745</v>
      </c>
      <c r="DL184" s="394" t="s">
        <v>1746</v>
      </c>
      <c r="DM184" s="394" t="s">
        <v>1747</v>
      </c>
      <c r="DN184" s="390"/>
      <c r="DO184" s="654"/>
      <c r="DP184" s="830"/>
      <c r="DQ184" s="390"/>
      <c r="DR184" s="390"/>
      <c r="DS184" s="390"/>
      <c r="DT184" s="646"/>
      <c r="DU184" s="406"/>
      <c r="DV184" s="390"/>
      <c r="DW184" s="390"/>
      <c r="DX184" s="390"/>
      <c r="DY184" s="646"/>
      <c r="DZ184" s="829"/>
      <c r="EA184" s="390"/>
      <c r="EB184" s="390"/>
      <c r="EC184" s="647"/>
      <c r="ED184" s="647"/>
      <c r="EE184" s="647"/>
      <c r="EF184" s="647"/>
      <c r="EG184" s="647"/>
      <c r="EH184" s="390"/>
      <c r="EI184" s="647"/>
      <c r="EJ184" s="647"/>
      <c r="EK184" s="68"/>
      <c r="EL184" s="91" t="str">
        <f t="shared" si="39"/>
        <v>No se reportó avance</v>
      </c>
      <c r="EM184" s="83" t="str">
        <f t="shared" si="40"/>
        <v>No se reportó avance</v>
      </c>
      <c r="EN184" s="646"/>
      <c r="EO184" s="69" t="str">
        <f t="shared" si="44"/>
        <v>Gestión</v>
      </c>
      <c r="EP184" s="69" t="str">
        <f t="shared" si="45"/>
        <v>6</v>
      </c>
    </row>
    <row r="185" spans="1:146" s="71" customFormat="1" ht="150" customHeight="1">
      <c r="A185" s="377" t="s">
        <v>1718</v>
      </c>
      <c r="B185" s="378" t="s">
        <v>1719</v>
      </c>
      <c r="C185" s="379" t="s">
        <v>1720</v>
      </c>
      <c r="D185" s="380" t="s">
        <v>1721</v>
      </c>
      <c r="E185" s="381" t="s">
        <v>1722</v>
      </c>
      <c r="F185" s="377" t="s">
        <v>1754</v>
      </c>
      <c r="G185" s="377" t="s">
        <v>1755</v>
      </c>
      <c r="H185" s="377" t="s">
        <v>1756</v>
      </c>
      <c r="I185" s="377" t="s">
        <v>728</v>
      </c>
      <c r="J185" s="377" t="s">
        <v>1723</v>
      </c>
      <c r="K185" s="377" t="s">
        <v>1757</v>
      </c>
      <c r="L185" s="382">
        <v>2</v>
      </c>
      <c r="M185" s="382" t="s">
        <v>1758</v>
      </c>
      <c r="N185" s="382" t="s">
        <v>1759</v>
      </c>
      <c r="O185" s="382" t="s">
        <v>1760</v>
      </c>
      <c r="P185" s="382" t="s">
        <v>200</v>
      </c>
      <c r="Q185" s="382" t="s">
        <v>233</v>
      </c>
      <c r="R185" s="383">
        <v>1</v>
      </c>
      <c r="S185" s="382" t="s">
        <v>234</v>
      </c>
      <c r="T185" s="384">
        <v>44927</v>
      </c>
      <c r="U185" s="384">
        <v>46387</v>
      </c>
      <c r="V185" s="385">
        <v>1</v>
      </c>
      <c r="W185" s="385">
        <v>10</v>
      </c>
      <c r="X185" s="385">
        <v>10</v>
      </c>
      <c r="Y185" s="385">
        <v>10</v>
      </c>
      <c r="Z185" s="386">
        <f>+V185+W185+X185+Y185</f>
        <v>31</v>
      </c>
      <c r="AA185" s="386">
        <v>0</v>
      </c>
      <c r="AB185" s="386">
        <v>17</v>
      </c>
      <c r="AC185" s="386">
        <v>30</v>
      </c>
      <c r="AD185" s="386">
        <v>17</v>
      </c>
      <c r="AE185" s="385">
        <f>+AA185+AB185+AC185+AD185</f>
        <v>64</v>
      </c>
      <c r="AF185" s="385">
        <v>0</v>
      </c>
      <c r="AG185" s="385">
        <v>25</v>
      </c>
      <c r="AH185" s="385">
        <v>41</v>
      </c>
      <c r="AI185" s="385">
        <v>16</v>
      </c>
      <c r="AJ185" s="385">
        <f>+AF185+AG185+AH185+AI185</f>
        <v>82</v>
      </c>
      <c r="AK185" s="387">
        <f>SUM(CZ185:CZ187)</f>
        <v>11</v>
      </c>
      <c r="AL185" s="387">
        <f t="shared" ref="AL185:AN185" si="48">SUM(DA185:DA187)</f>
        <v>34</v>
      </c>
      <c r="AM185" s="387">
        <f t="shared" si="48"/>
        <v>27</v>
      </c>
      <c r="AN185" s="387">
        <f t="shared" si="48"/>
        <v>10</v>
      </c>
      <c r="AO185" s="387">
        <f>SUM(AK185:AN185)</f>
        <v>82</v>
      </c>
      <c r="AP185" s="388">
        <f>+Z185+AE185+AJ185+AO185</f>
        <v>259</v>
      </c>
      <c r="AQ185" s="390">
        <v>1</v>
      </c>
      <c r="AR185" s="389" t="s">
        <v>1761</v>
      </c>
      <c r="AS185" s="390">
        <v>19</v>
      </c>
      <c r="AT185" s="389" t="s">
        <v>1762</v>
      </c>
      <c r="AU185" s="390">
        <v>2</v>
      </c>
      <c r="AV185" s="389" t="s">
        <v>1763</v>
      </c>
      <c r="AW185" s="390">
        <v>9</v>
      </c>
      <c r="AX185" s="644" t="s">
        <v>1764</v>
      </c>
      <c r="AY185" s="390">
        <f>+AW185+AU185+AS185+AQ185</f>
        <v>31</v>
      </c>
      <c r="AZ185" s="644" t="s">
        <v>1765</v>
      </c>
      <c r="BA185" s="390" t="s">
        <v>182</v>
      </c>
      <c r="BB185" s="646" t="s">
        <v>1766</v>
      </c>
      <c r="BC185" s="390">
        <v>23</v>
      </c>
      <c r="BD185" s="646" t="s">
        <v>1767</v>
      </c>
      <c r="BE185" s="390">
        <v>29</v>
      </c>
      <c r="BF185" s="390" t="s">
        <v>1768</v>
      </c>
      <c r="BG185" s="391">
        <v>23</v>
      </c>
      <c r="BH185" s="390" t="s">
        <v>1769</v>
      </c>
      <c r="BI185" s="391">
        <f>+BG185+BE185+BC185</f>
        <v>75</v>
      </c>
      <c r="BJ185" s="390" t="s">
        <v>1770</v>
      </c>
      <c r="BK185" s="390">
        <v>0</v>
      </c>
      <c r="BL185" s="390" t="s">
        <v>1771</v>
      </c>
      <c r="BM185" s="390">
        <f>SUM(DS185+DS187)</f>
        <v>0</v>
      </c>
      <c r="BN185" s="390" t="s">
        <v>1772</v>
      </c>
      <c r="BO185" s="390">
        <f>SUM(DX185+DX186+DX187)</f>
        <v>0</v>
      </c>
      <c r="BP185" s="390" t="s">
        <v>1773</v>
      </c>
      <c r="BQ185" s="647"/>
      <c r="BR185" s="647"/>
      <c r="BS185" s="390">
        <f>SUM(BK185+BM185+BO185)</f>
        <v>0</v>
      </c>
      <c r="BT185" s="390"/>
      <c r="BU185" s="390"/>
      <c r="BV185" s="390"/>
      <c r="BW185" s="390"/>
      <c r="BX185" s="390"/>
      <c r="BY185" s="390"/>
      <c r="BZ185" s="390"/>
      <c r="CA185" s="390"/>
      <c r="CB185" s="390"/>
      <c r="CC185" s="390"/>
      <c r="CD185" s="390"/>
      <c r="CE185" s="391">
        <f>+AY185+BI185+BS185</f>
        <v>106</v>
      </c>
      <c r="CF185" s="647"/>
      <c r="CG185" s="392">
        <f>SUM(DH185:DH187)</f>
        <v>2902670500</v>
      </c>
      <c r="CH185" s="393"/>
      <c r="CI185" s="393"/>
      <c r="CJ185" s="83">
        <f t="shared" si="42"/>
        <v>0</v>
      </c>
      <c r="CK185" s="83">
        <f t="shared" si="43"/>
        <v>0</v>
      </c>
      <c r="CL185" s="83" t="str">
        <f t="shared" si="36"/>
        <v>No se reportó avance</v>
      </c>
      <c r="CM185" s="89" t="str">
        <f t="shared" si="37"/>
        <v>No se reportó avance</v>
      </c>
      <c r="CN185" s="89">
        <f t="shared" si="38"/>
        <v>0.40926640926640928</v>
      </c>
      <c r="CO185" s="394" t="s">
        <v>225</v>
      </c>
      <c r="CP185" s="394" t="s">
        <v>1774</v>
      </c>
      <c r="CQ185" s="394" t="s">
        <v>1775</v>
      </c>
      <c r="CR185" s="648" t="s">
        <v>1776</v>
      </c>
      <c r="CS185" s="648" t="s">
        <v>1777</v>
      </c>
      <c r="CT185" s="648" t="s">
        <v>200</v>
      </c>
      <c r="CU185" s="648" t="s">
        <v>233</v>
      </c>
      <c r="CV185" s="394">
        <v>74</v>
      </c>
      <c r="CW185" s="394" t="s">
        <v>234</v>
      </c>
      <c r="CX185" s="395">
        <v>46037</v>
      </c>
      <c r="CY185" s="395">
        <v>46387</v>
      </c>
      <c r="CZ185" s="394">
        <v>5</v>
      </c>
      <c r="DA185" s="394">
        <v>25</v>
      </c>
      <c r="DB185" s="394">
        <v>20</v>
      </c>
      <c r="DC185" s="394">
        <v>10</v>
      </c>
      <c r="DD185" s="396">
        <f t="shared" si="47"/>
        <v>60</v>
      </c>
      <c r="DE185" s="648" t="s">
        <v>514</v>
      </c>
      <c r="DF185" s="648" t="s">
        <v>1743</v>
      </c>
      <c r="DG185" s="648" t="s">
        <v>1744</v>
      </c>
      <c r="DH185" s="397">
        <v>2040625851</v>
      </c>
      <c r="DI185" s="394" t="s">
        <v>182</v>
      </c>
      <c r="DJ185" s="643" t="s">
        <v>628</v>
      </c>
      <c r="DK185" s="643" t="s">
        <v>1745</v>
      </c>
      <c r="DL185" s="394" t="s">
        <v>279</v>
      </c>
      <c r="DM185" s="394" t="s">
        <v>1747</v>
      </c>
      <c r="DN185" s="390"/>
      <c r="DO185" s="831"/>
      <c r="DP185" s="390"/>
      <c r="DQ185" s="390"/>
      <c r="DR185" s="390"/>
      <c r="DS185" s="390"/>
      <c r="DT185" s="646"/>
      <c r="DU185" s="406"/>
      <c r="DV185" s="390"/>
      <c r="DW185" s="390"/>
      <c r="DX185" s="390"/>
      <c r="DY185" s="646"/>
      <c r="DZ185" s="829"/>
      <c r="EA185" s="390"/>
      <c r="EB185" s="390"/>
      <c r="EC185" s="647"/>
      <c r="ED185" s="647"/>
      <c r="EE185" s="647"/>
      <c r="EF185" s="647"/>
      <c r="EG185" s="647"/>
      <c r="EH185" s="390"/>
      <c r="EI185" s="647"/>
      <c r="EJ185" s="647"/>
      <c r="EK185" s="68"/>
      <c r="EL185" s="91" t="str">
        <f t="shared" si="39"/>
        <v>No se reportó avance</v>
      </c>
      <c r="EM185" s="83" t="str">
        <f t="shared" si="40"/>
        <v>No se reportó avance</v>
      </c>
      <c r="EN185" s="646" t="s">
        <v>4682</v>
      </c>
      <c r="EO185" s="69" t="str">
        <f t="shared" si="44"/>
        <v>Gestión</v>
      </c>
      <c r="EP185" s="69" t="str">
        <f t="shared" si="45"/>
        <v>6</v>
      </c>
    </row>
    <row r="186" spans="1:146" s="71" customFormat="1" ht="150" customHeight="1">
      <c r="A186" s="390" t="s">
        <v>1718</v>
      </c>
      <c r="B186" s="398" t="s">
        <v>1719</v>
      </c>
      <c r="C186" s="399" t="s">
        <v>1720</v>
      </c>
      <c r="D186" s="400" t="s">
        <v>1721</v>
      </c>
      <c r="E186" s="401" t="s">
        <v>1722</v>
      </c>
      <c r="F186" s="390" t="s">
        <v>182</v>
      </c>
      <c r="G186" s="390" t="s">
        <v>1778</v>
      </c>
      <c r="H186" s="390" t="s">
        <v>182</v>
      </c>
      <c r="I186" s="390" t="s">
        <v>728</v>
      </c>
      <c r="J186" s="390" t="s">
        <v>1723</v>
      </c>
      <c r="K186" s="390" t="s">
        <v>1757</v>
      </c>
      <c r="L186" s="402">
        <v>2</v>
      </c>
      <c r="M186" s="390" t="s">
        <v>1758</v>
      </c>
      <c r="N186" s="390" t="s">
        <v>1759</v>
      </c>
      <c r="O186" s="390" t="s">
        <v>1760</v>
      </c>
      <c r="P186" s="390" t="s">
        <v>200</v>
      </c>
      <c r="Q186" s="390" t="s">
        <v>233</v>
      </c>
      <c r="R186" s="398">
        <v>1</v>
      </c>
      <c r="S186" s="390" t="s">
        <v>234</v>
      </c>
      <c r="T186" s="403">
        <v>44927</v>
      </c>
      <c r="U186" s="403">
        <v>46387</v>
      </c>
      <c r="V186" s="404">
        <v>1</v>
      </c>
      <c r="W186" s="404">
        <v>10</v>
      </c>
      <c r="X186" s="404">
        <v>10</v>
      </c>
      <c r="Y186" s="404">
        <v>10</v>
      </c>
      <c r="Z186" s="391"/>
      <c r="AA186" s="391"/>
      <c r="AB186" s="391"/>
      <c r="AC186" s="391"/>
      <c r="AD186" s="391"/>
      <c r="AE186" s="404"/>
      <c r="AF186" s="404"/>
      <c r="AG186" s="404"/>
      <c r="AH186" s="404"/>
      <c r="AI186" s="404"/>
      <c r="AJ186" s="404"/>
      <c r="AK186" s="405"/>
      <c r="AL186" s="405"/>
      <c r="AM186" s="405"/>
      <c r="AN186" s="405"/>
      <c r="AO186" s="405"/>
      <c r="AP186" s="396"/>
      <c r="AQ186" s="390"/>
      <c r="AR186" s="390"/>
      <c r="AS186" s="390"/>
      <c r="AT186" s="390"/>
      <c r="AU186" s="390"/>
      <c r="AV186" s="390"/>
      <c r="AW186" s="390"/>
      <c r="AX186" s="390"/>
      <c r="AY186" s="390"/>
      <c r="AZ186" s="646"/>
      <c r="BA186" s="390"/>
      <c r="BB186" s="646"/>
      <c r="BC186" s="390"/>
      <c r="BD186" s="646"/>
      <c r="BE186" s="390"/>
      <c r="BF186" s="390"/>
      <c r="BG186" s="390"/>
      <c r="BH186" s="390"/>
      <c r="BI186" s="390"/>
      <c r="BJ186" s="390"/>
      <c r="BK186" s="390"/>
      <c r="BL186" s="390"/>
      <c r="BM186" s="390"/>
      <c r="BN186" s="390"/>
      <c r="BO186" s="390"/>
      <c r="BP186" s="390"/>
      <c r="BQ186" s="647"/>
      <c r="BR186" s="647"/>
      <c r="BS186" s="390"/>
      <c r="BT186" s="390"/>
      <c r="BU186" s="390"/>
      <c r="BV186" s="390"/>
      <c r="BW186" s="390"/>
      <c r="BX186" s="390"/>
      <c r="BY186" s="390"/>
      <c r="BZ186" s="390"/>
      <c r="CA186" s="390"/>
      <c r="CB186" s="390"/>
      <c r="CC186" s="390"/>
      <c r="CD186" s="390"/>
      <c r="CE186" s="390"/>
      <c r="CF186" s="647"/>
      <c r="CG186" s="393"/>
      <c r="CH186" s="393"/>
      <c r="CI186" s="393"/>
      <c r="CJ186" s="83" t="str">
        <f t="shared" si="42"/>
        <v>No aplica</v>
      </c>
      <c r="CK186" s="83" t="str">
        <f t="shared" si="43"/>
        <v>No aplica</v>
      </c>
      <c r="CL186" s="83" t="str">
        <f t="shared" si="36"/>
        <v>No requiere reporte</v>
      </c>
      <c r="CM186" s="89" t="str">
        <f t="shared" si="37"/>
        <v>No requiere reporte</v>
      </c>
      <c r="CN186" s="89" t="str">
        <f t="shared" si="38"/>
        <v>No requiere reporte</v>
      </c>
      <c r="CO186" s="394" t="s">
        <v>313</v>
      </c>
      <c r="CP186" s="394" t="s">
        <v>1779</v>
      </c>
      <c r="CQ186" s="394" t="s">
        <v>1780</v>
      </c>
      <c r="CR186" s="394" t="s">
        <v>1781</v>
      </c>
      <c r="CS186" s="394" t="s">
        <v>1782</v>
      </c>
      <c r="CT186" s="394" t="s">
        <v>200</v>
      </c>
      <c r="CU186" s="394" t="s">
        <v>233</v>
      </c>
      <c r="CV186" s="394">
        <v>7</v>
      </c>
      <c r="CW186" s="394" t="s">
        <v>234</v>
      </c>
      <c r="CX186" s="395">
        <v>46037</v>
      </c>
      <c r="CY186" s="395">
        <v>46387</v>
      </c>
      <c r="CZ186" s="396">
        <v>1</v>
      </c>
      <c r="DA186" s="396">
        <v>1</v>
      </c>
      <c r="DB186" s="396">
        <v>0</v>
      </c>
      <c r="DC186" s="396">
        <v>0</v>
      </c>
      <c r="DD186" s="396">
        <f t="shared" si="47"/>
        <v>2</v>
      </c>
      <c r="DE186" s="394" t="s">
        <v>514</v>
      </c>
      <c r="DF186" s="394" t="s">
        <v>1743</v>
      </c>
      <c r="DG186" s="394" t="s">
        <v>1744</v>
      </c>
      <c r="DH186" s="397">
        <v>734044649</v>
      </c>
      <c r="DI186" s="394" t="s">
        <v>182</v>
      </c>
      <c r="DJ186" s="643" t="s">
        <v>628</v>
      </c>
      <c r="DK186" s="643" t="s">
        <v>1745</v>
      </c>
      <c r="DL186" s="394" t="s">
        <v>279</v>
      </c>
      <c r="DM186" s="394" t="s">
        <v>1747</v>
      </c>
      <c r="DN186" s="390"/>
      <c r="DO186" s="654"/>
      <c r="DP186" s="390"/>
      <c r="DQ186" s="390"/>
      <c r="DR186" s="390"/>
      <c r="DS186" s="390"/>
      <c r="DT186" s="646"/>
      <c r="DU186" s="390"/>
      <c r="DV186" s="390"/>
      <c r="DW186" s="390"/>
      <c r="DX186" s="390"/>
      <c r="DY186" s="646"/>
      <c r="DZ186" s="829"/>
      <c r="EA186" s="390"/>
      <c r="EB186" s="390"/>
      <c r="EC186" s="647"/>
      <c r="ED186" s="647"/>
      <c r="EE186" s="647"/>
      <c r="EF186" s="647"/>
      <c r="EG186" s="647"/>
      <c r="EH186" s="390"/>
      <c r="EI186" s="647"/>
      <c r="EJ186" s="647"/>
      <c r="EK186" s="68"/>
      <c r="EL186" s="91" t="str">
        <f t="shared" si="39"/>
        <v>No se reportó avance</v>
      </c>
      <c r="EM186" s="83" t="str">
        <f t="shared" si="40"/>
        <v>No se reportó avance</v>
      </c>
      <c r="EN186" s="646"/>
      <c r="EO186" s="69" t="str">
        <f t="shared" si="44"/>
        <v>Gestión</v>
      </c>
      <c r="EP186" s="69" t="str">
        <f t="shared" si="45"/>
        <v>6</v>
      </c>
    </row>
    <row r="187" spans="1:146" ht="150" customHeight="1">
      <c r="A187" s="390" t="s">
        <v>1718</v>
      </c>
      <c r="B187" s="398" t="s">
        <v>1719</v>
      </c>
      <c r="C187" s="399" t="s">
        <v>1720</v>
      </c>
      <c r="D187" s="400" t="s">
        <v>1721</v>
      </c>
      <c r="E187" s="401" t="s">
        <v>1722</v>
      </c>
      <c r="F187" s="390" t="s">
        <v>182</v>
      </c>
      <c r="G187" s="390" t="s">
        <v>1783</v>
      </c>
      <c r="H187" s="390" t="s">
        <v>1784</v>
      </c>
      <c r="I187" s="390" t="s">
        <v>728</v>
      </c>
      <c r="J187" s="390" t="s">
        <v>1723</v>
      </c>
      <c r="K187" s="390" t="s">
        <v>1757</v>
      </c>
      <c r="L187" s="402">
        <v>2</v>
      </c>
      <c r="M187" s="390" t="s">
        <v>1758</v>
      </c>
      <c r="N187" s="390" t="s">
        <v>1759</v>
      </c>
      <c r="O187" s="390" t="s">
        <v>1760</v>
      </c>
      <c r="P187" s="390" t="s">
        <v>200</v>
      </c>
      <c r="Q187" s="390" t="s">
        <v>233</v>
      </c>
      <c r="R187" s="398">
        <v>1</v>
      </c>
      <c r="S187" s="390" t="s">
        <v>234</v>
      </c>
      <c r="T187" s="403">
        <v>44927</v>
      </c>
      <c r="U187" s="403">
        <v>46387</v>
      </c>
      <c r="V187" s="404">
        <v>1</v>
      </c>
      <c r="W187" s="404">
        <v>10</v>
      </c>
      <c r="X187" s="404">
        <v>10</v>
      </c>
      <c r="Y187" s="404">
        <v>10</v>
      </c>
      <c r="Z187" s="391"/>
      <c r="AA187" s="391"/>
      <c r="AB187" s="391"/>
      <c r="AC187" s="391"/>
      <c r="AD187" s="391"/>
      <c r="AE187" s="404"/>
      <c r="AF187" s="404"/>
      <c r="AG187" s="404"/>
      <c r="AH187" s="404"/>
      <c r="AI187" s="404"/>
      <c r="AJ187" s="404"/>
      <c r="AK187" s="405"/>
      <c r="AL187" s="405"/>
      <c r="AM187" s="405"/>
      <c r="AN187" s="405"/>
      <c r="AO187" s="405"/>
      <c r="AP187" s="396"/>
      <c r="AQ187" s="390"/>
      <c r="AR187" s="390"/>
      <c r="AS187" s="390"/>
      <c r="AT187" s="390"/>
      <c r="AU187" s="390"/>
      <c r="AV187" s="390"/>
      <c r="AW187" s="390"/>
      <c r="AX187" s="390"/>
      <c r="AY187" s="390"/>
      <c r="AZ187" s="646"/>
      <c r="BA187" s="390"/>
      <c r="BB187" s="646"/>
      <c r="BC187" s="390"/>
      <c r="BD187" s="646"/>
      <c r="BE187" s="390"/>
      <c r="BF187" s="390"/>
      <c r="BG187" s="390"/>
      <c r="BH187" s="390"/>
      <c r="BI187" s="390"/>
      <c r="BJ187" s="390"/>
      <c r="BK187" s="390"/>
      <c r="BL187" s="390"/>
      <c r="BM187" s="390"/>
      <c r="BN187" s="390"/>
      <c r="BO187" s="390"/>
      <c r="BP187" s="390"/>
      <c r="BQ187" s="647"/>
      <c r="BR187" s="647"/>
      <c r="BS187" s="390"/>
      <c r="BT187" s="390"/>
      <c r="BU187" s="390"/>
      <c r="BV187" s="390"/>
      <c r="BW187" s="390"/>
      <c r="BX187" s="390"/>
      <c r="BY187" s="390"/>
      <c r="BZ187" s="390"/>
      <c r="CA187" s="390"/>
      <c r="CB187" s="390"/>
      <c r="CC187" s="390"/>
      <c r="CD187" s="390"/>
      <c r="CE187" s="390"/>
      <c r="CF187" s="647"/>
      <c r="CG187" s="393"/>
      <c r="CH187" s="393"/>
      <c r="CI187" s="393"/>
      <c r="CJ187" s="83" t="str">
        <f t="shared" si="42"/>
        <v>No aplica</v>
      </c>
      <c r="CK187" s="83" t="str">
        <f t="shared" si="43"/>
        <v>No aplica</v>
      </c>
      <c r="CL187" s="83" t="str">
        <f t="shared" si="36"/>
        <v>No requiere reporte</v>
      </c>
      <c r="CM187" s="89" t="str">
        <f t="shared" si="37"/>
        <v>No requiere reporte</v>
      </c>
      <c r="CN187" s="89" t="str">
        <f t="shared" si="38"/>
        <v>No requiere reporte</v>
      </c>
      <c r="CO187" s="394" t="s">
        <v>318</v>
      </c>
      <c r="CP187" s="394" t="s">
        <v>1785</v>
      </c>
      <c r="CQ187" s="394" t="s">
        <v>1775</v>
      </c>
      <c r="CR187" s="394" t="s">
        <v>1786</v>
      </c>
      <c r="CS187" s="394" t="s">
        <v>1777</v>
      </c>
      <c r="CT187" s="394" t="s">
        <v>200</v>
      </c>
      <c r="CU187" s="394" t="s">
        <v>233</v>
      </c>
      <c r="CV187" s="394">
        <v>26</v>
      </c>
      <c r="CW187" s="394" t="s">
        <v>234</v>
      </c>
      <c r="CX187" s="395">
        <v>46037</v>
      </c>
      <c r="CY187" s="395">
        <v>46387</v>
      </c>
      <c r="CZ187" s="396">
        <v>5</v>
      </c>
      <c r="DA187" s="396">
        <v>8</v>
      </c>
      <c r="DB187" s="396">
        <v>7</v>
      </c>
      <c r="DC187" s="396">
        <v>0</v>
      </c>
      <c r="DD187" s="396">
        <f t="shared" si="47"/>
        <v>20</v>
      </c>
      <c r="DE187" s="394" t="s">
        <v>514</v>
      </c>
      <c r="DF187" s="394" t="s">
        <v>1743</v>
      </c>
      <c r="DG187" s="394" t="s">
        <v>1744</v>
      </c>
      <c r="DH187" s="397">
        <v>128000000</v>
      </c>
      <c r="DI187" s="394" t="s">
        <v>182</v>
      </c>
      <c r="DJ187" s="643" t="s">
        <v>628</v>
      </c>
      <c r="DK187" s="643" t="s">
        <v>1745</v>
      </c>
      <c r="DL187" s="394" t="s">
        <v>279</v>
      </c>
      <c r="DM187" s="394" t="s">
        <v>1787</v>
      </c>
      <c r="DN187" s="390"/>
      <c r="DO187" s="654"/>
      <c r="DP187" s="390"/>
      <c r="DQ187" s="390"/>
      <c r="DR187" s="390"/>
      <c r="DS187" s="390"/>
      <c r="DT187" s="646"/>
      <c r="DU187" s="406"/>
      <c r="DV187" s="390"/>
      <c r="DW187" s="390"/>
      <c r="DX187" s="390"/>
      <c r="DY187" s="646"/>
      <c r="DZ187" s="829"/>
      <c r="EA187" s="390"/>
      <c r="EB187" s="390"/>
      <c r="EC187" s="647"/>
      <c r="ED187" s="647"/>
      <c r="EE187" s="647"/>
      <c r="EF187" s="647"/>
      <c r="EG187" s="647"/>
      <c r="EH187" s="390"/>
      <c r="EI187" s="647"/>
      <c r="EJ187" s="647"/>
      <c r="EK187" s="68"/>
      <c r="EL187" s="91" t="str">
        <f t="shared" si="39"/>
        <v>No se reportó avance</v>
      </c>
      <c r="EM187" s="83" t="str">
        <f t="shared" si="40"/>
        <v>No se reportó avance</v>
      </c>
      <c r="EN187" s="646"/>
      <c r="EO187" s="69" t="str">
        <f t="shared" si="44"/>
        <v>Gestión</v>
      </c>
      <c r="EP187" s="69" t="str">
        <f t="shared" si="45"/>
        <v>6</v>
      </c>
    </row>
    <row r="188" spans="1:146" ht="150" customHeight="1">
      <c r="A188" s="377" t="s">
        <v>1718</v>
      </c>
      <c r="B188" s="378" t="s">
        <v>1719</v>
      </c>
      <c r="C188" s="379" t="s">
        <v>1720</v>
      </c>
      <c r="D188" s="380" t="s">
        <v>1721</v>
      </c>
      <c r="E188" s="381" t="s">
        <v>1722</v>
      </c>
      <c r="F188" s="377" t="s">
        <v>182</v>
      </c>
      <c r="G188" s="377" t="s">
        <v>182</v>
      </c>
      <c r="H188" s="377" t="s">
        <v>182</v>
      </c>
      <c r="I188" s="377" t="s">
        <v>728</v>
      </c>
      <c r="J188" s="377" t="s">
        <v>1723</v>
      </c>
      <c r="K188" s="377" t="s">
        <v>182</v>
      </c>
      <c r="L188" s="382">
        <v>3</v>
      </c>
      <c r="M188" s="382" t="s">
        <v>1788</v>
      </c>
      <c r="N188" s="382" t="s">
        <v>1789</v>
      </c>
      <c r="O188" s="382" t="s">
        <v>1790</v>
      </c>
      <c r="P188" s="382" t="s">
        <v>200</v>
      </c>
      <c r="Q188" s="382" t="s">
        <v>162</v>
      </c>
      <c r="R188" s="383">
        <v>1</v>
      </c>
      <c r="S188" s="382" t="s">
        <v>163</v>
      </c>
      <c r="T188" s="384">
        <v>44927</v>
      </c>
      <c r="U188" s="384">
        <v>46387</v>
      </c>
      <c r="V188" s="407">
        <v>1</v>
      </c>
      <c r="W188" s="407">
        <v>1</v>
      </c>
      <c r="X188" s="407">
        <v>1</v>
      </c>
      <c r="Y188" s="407">
        <v>1</v>
      </c>
      <c r="Z188" s="378">
        <v>1</v>
      </c>
      <c r="AA188" s="378">
        <v>1</v>
      </c>
      <c r="AB188" s="378">
        <v>1</v>
      </c>
      <c r="AC188" s="378">
        <v>1</v>
      </c>
      <c r="AD188" s="378">
        <v>1</v>
      </c>
      <c r="AE188" s="378">
        <v>1</v>
      </c>
      <c r="AF188" s="407">
        <v>1</v>
      </c>
      <c r="AG188" s="407">
        <v>1</v>
      </c>
      <c r="AH188" s="407">
        <v>1</v>
      </c>
      <c r="AI188" s="407">
        <v>1</v>
      </c>
      <c r="AJ188" s="407">
        <v>1</v>
      </c>
      <c r="AK188" s="408">
        <v>1</v>
      </c>
      <c r="AL188" s="408">
        <v>1</v>
      </c>
      <c r="AM188" s="408">
        <v>1</v>
      </c>
      <c r="AN188" s="408">
        <v>1</v>
      </c>
      <c r="AO188" s="408">
        <v>1</v>
      </c>
      <c r="AP188" s="409">
        <v>1</v>
      </c>
      <c r="AQ188" s="172">
        <f>(12+26+33)/71*100%</f>
        <v>1</v>
      </c>
      <c r="AR188" s="389" t="s">
        <v>1791</v>
      </c>
      <c r="AS188" s="398">
        <f>SUM(52+94+163)/309*100%</f>
        <v>1</v>
      </c>
      <c r="AT188" s="389" t="s">
        <v>1792</v>
      </c>
      <c r="AU188" s="398">
        <f>SUM(924+259+25)/1208*100%</f>
        <v>1</v>
      </c>
      <c r="AV188" s="389" t="s">
        <v>1793</v>
      </c>
      <c r="AW188" s="410">
        <f>SUM(4+2+0)/6*100%</f>
        <v>1</v>
      </c>
      <c r="AX188" s="644" t="s">
        <v>1794</v>
      </c>
      <c r="AY188" s="410">
        <f>(1594/1594)*100%</f>
        <v>1</v>
      </c>
      <c r="AZ188" s="644" t="s">
        <v>1795</v>
      </c>
      <c r="BA188" s="172">
        <f>SUM(6+8+3)/17*100%</f>
        <v>1</v>
      </c>
      <c r="BB188" s="646" t="s">
        <v>1796</v>
      </c>
      <c r="BC188" s="172">
        <f>SUM(4+2+6)/12*100%</f>
        <v>1</v>
      </c>
      <c r="BD188" s="646" t="s">
        <v>1797</v>
      </c>
      <c r="BE188" s="172">
        <f>SUM(5+5+1)/11*100%</f>
        <v>1</v>
      </c>
      <c r="BF188" s="390" t="s">
        <v>1798</v>
      </c>
      <c r="BG188" s="172">
        <f>SUM(3+2+0)/5*100%</f>
        <v>1</v>
      </c>
      <c r="BH188" s="172" t="s">
        <v>1799</v>
      </c>
      <c r="BI188" s="172">
        <v>1</v>
      </c>
      <c r="BJ188" s="172" t="s">
        <v>1800</v>
      </c>
      <c r="BK188" s="398">
        <f>SUM(0+0+2)/2*100%</f>
        <v>1</v>
      </c>
      <c r="BL188" s="398" t="s">
        <v>1801</v>
      </c>
      <c r="BM188" s="398">
        <f>SUM(0+1+1)/2*100%</f>
        <v>1</v>
      </c>
      <c r="BN188" s="398" t="s">
        <v>1802</v>
      </c>
      <c r="BO188" s="398">
        <f>SUM(0+1+1)/3</f>
        <v>0.66666666666666663</v>
      </c>
      <c r="BP188" s="398" t="s">
        <v>1803</v>
      </c>
      <c r="BQ188" s="649"/>
      <c r="BR188" s="649"/>
      <c r="BS188" s="398">
        <f>+BO188</f>
        <v>0.66666666666666663</v>
      </c>
      <c r="BT188" s="390"/>
      <c r="BU188" s="650"/>
      <c r="BV188" s="390"/>
      <c r="BW188" s="650"/>
      <c r="BX188" s="390"/>
      <c r="BY188" s="650"/>
      <c r="BZ188" s="390"/>
      <c r="CA188" s="650"/>
      <c r="CB188" s="390"/>
      <c r="CC188" s="650"/>
      <c r="CD188" s="390"/>
      <c r="CE188" s="172">
        <v>0.89</v>
      </c>
      <c r="CF188" s="647"/>
      <c r="CG188" s="392">
        <f>SUM(DH188:DH190)</f>
        <v>120000000</v>
      </c>
      <c r="CH188" s="411"/>
      <c r="CI188" s="412"/>
      <c r="CJ188" s="83">
        <f t="shared" si="42"/>
        <v>0</v>
      </c>
      <c r="CK188" s="83">
        <f t="shared" si="43"/>
        <v>0</v>
      </c>
      <c r="CL188" s="83" t="str">
        <f t="shared" si="36"/>
        <v>No se reportó avance</v>
      </c>
      <c r="CM188" s="89" t="str">
        <f t="shared" si="37"/>
        <v>No se reportó avance</v>
      </c>
      <c r="CN188" s="89">
        <f t="shared" si="38"/>
        <v>0.89</v>
      </c>
      <c r="CO188" s="394" t="s">
        <v>236</v>
      </c>
      <c r="CP188" s="394" t="s">
        <v>1804</v>
      </c>
      <c r="CQ188" s="394" t="s">
        <v>1805</v>
      </c>
      <c r="CR188" s="394" t="s">
        <v>1806</v>
      </c>
      <c r="CS188" s="394" t="s">
        <v>1742</v>
      </c>
      <c r="CT188" s="394" t="s">
        <v>200</v>
      </c>
      <c r="CU188" s="394" t="s">
        <v>233</v>
      </c>
      <c r="CV188" s="394">
        <v>1</v>
      </c>
      <c r="CW188" s="394" t="s">
        <v>234</v>
      </c>
      <c r="CX188" s="395">
        <v>46037</v>
      </c>
      <c r="CY188" s="395">
        <v>46387</v>
      </c>
      <c r="CZ188" s="396">
        <v>0</v>
      </c>
      <c r="DA188" s="396">
        <v>0</v>
      </c>
      <c r="DB188" s="396">
        <v>0</v>
      </c>
      <c r="DC188" s="396">
        <v>1</v>
      </c>
      <c r="DD188" s="391">
        <f t="shared" si="47"/>
        <v>1</v>
      </c>
      <c r="DE188" s="394" t="s">
        <v>514</v>
      </c>
      <c r="DF188" s="394" t="s">
        <v>1743</v>
      </c>
      <c r="DG188" s="394" t="s">
        <v>1744</v>
      </c>
      <c r="DH188" s="397">
        <v>60000000</v>
      </c>
      <c r="DI188" s="394" t="s">
        <v>182</v>
      </c>
      <c r="DJ188" s="643" t="s">
        <v>628</v>
      </c>
      <c r="DK188" s="643" t="s">
        <v>1745</v>
      </c>
      <c r="DL188" s="394" t="s">
        <v>279</v>
      </c>
      <c r="DM188" s="394" t="s">
        <v>1747</v>
      </c>
      <c r="DN188" s="390"/>
      <c r="DO188" s="654"/>
      <c r="DP188" s="390"/>
      <c r="DQ188" s="390"/>
      <c r="DR188" s="390"/>
      <c r="DS188" s="390"/>
      <c r="DT188" s="646"/>
      <c r="DU188" s="390"/>
      <c r="DV188" s="390"/>
      <c r="DW188" s="390"/>
      <c r="DX188" s="390"/>
      <c r="DY188" s="646"/>
      <c r="DZ188" s="829"/>
      <c r="EA188" s="390"/>
      <c r="EB188" s="390"/>
      <c r="EC188" s="647"/>
      <c r="ED188" s="647"/>
      <c r="EE188" s="647"/>
      <c r="EF188" s="647"/>
      <c r="EG188" s="647"/>
      <c r="EH188" s="390"/>
      <c r="EI188" s="647"/>
      <c r="EJ188" s="647"/>
      <c r="EK188" s="68"/>
      <c r="EL188" s="91" t="str">
        <f t="shared" si="39"/>
        <v>No aplica, no hay meta</v>
      </c>
      <c r="EM188" s="83" t="str">
        <f t="shared" si="40"/>
        <v>No se reportó avance</v>
      </c>
      <c r="EN188" s="646"/>
      <c r="EO188" s="69" t="str">
        <f t="shared" si="44"/>
        <v>Gestión</v>
      </c>
      <c r="EP188" s="69" t="str">
        <f t="shared" si="45"/>
        <v>6</v>
      </c>
    </row>
    <row r="189" spans="1:146" ht="150" customHeight="1">
      <c r="A189" s="390" t="s">
        <v>1718</v>
      </c>
      <c r="B189" s="398" t="s">
        <v>1719</v>
      </c>
      <c r="C189" s="399" t="s">
        <v>1720</v>
      </c>
      <c r="D189" s="400" t="s">
        <v>1721</v>
      </c>
      <c r="E189" s="401" t="s">
        <v>1722</v>
      </c>
      <c r="F189" s="390" t="s">
        <v>182</v>
      </c>
      <c r="G189" s="390" t="s">
        <v>182</v>
      </c>
      <c r="H189" s="390" t="s">
        <v>182</v>
      </c>
      <c r="I189" s="390" t="s">
        <v>728</v>
      </c>
      <c r="J189" s="390" t="s">
        <v>1723</v>
      </c>
      <c r="K189" s="390" t="s">
        <v>182</v>
      </c>
      <c r="L189" s="402">
        <v>3</v>
      </c>
      <c r="M189" s="390" t="s">
        <v>1788</v>
      </c>
      <c r="N189" s="390" t="s">
        <v>1789</v>
      </c>
      <c r="O189" s="390" t="s">
        <v>1790</v>
      </c>
      <c r="P189" s="390" t="s">
        <v>200</v>
      </c>
      <c r="Q189" s="390" t="s">
        <v>162</v>
      </c>
      <c r="R189" s="398">
        <v>1</v>
      </c>
      <c r="S189" s="390" t="s">
        <v>163</v>
      </c>
      <c r="T189" s="403">
        <v>44927</v>
      </c>
      <c r="U189" s="403">
        <v>46387</v>
      </c>
      <c r="V189" s="172">
        <v>1</v>
      </c>
      <c r="W189" s="172">
        <v>1</v>
      </c>
      <c r="X189" s="172">
        <v>1</v>
      </c>
      <c r="Y189" s="172">
        <v>1</v>
      </c>
      <c r="Z189" s="398"/>
      <c r="AA189" s="398"/>
      <c r="AB189" s="398"/>
      <c r="AC189" s="398"/>
      <c r="AD189" s="398"/>
      <c r="AE189" s="172"/>
      <c r="AF189" s="172"/>
      <c r="AG189" s="172"/>
      <c r="AH189" s="172"/>
      <c r="AI189" s="172"/>
      <c r="AJ189" s="172"/>
      <c r="AK189" s="413"/>
      <c r="AL189" s="413"/>
      <c r="AM189" s="413"/>
      <c r="AN189" s="413"/>
      <c r="AO189" s="413"/>
      <c r="AP189" s="414"/>
      <c r="AQ189" s="390"/>
      <c r="AR189" s="390"/>
      <c r="AS189" s="390"/>
      <c r="AT189" s="390"/>
      <c r="AU189" s="390"/>
      <c r="AV189" s="390"/>
      <c r="AW189" s="390"/>
      <c r="AX189" s="390"/>
      <c r="AY189" s="390"/>
      <c r="AZ189" s="646"/>
      <c r="BA189" s="390"/>
      <c r="BB189" s="646"/>
      <c r="BC189" s="390"/>
      <c r="BD189" s="646"/>
      <c r="BE189" s="390"/>
      <c r="BF189" s="390"/>
      <c r="BG189" s="390"/>
      <c r="BH189" s="390"/>
      <c r="BI189" s="390"/>
      <c r="BJ189" s="390"/>
      <c r="BK189" s="390"/>
      <c r="BL189" s="390"/>
      <c r="BM189" s="390"/>
      <c r="BN189" s="390"/>
      <c r="BO189" s="390"/>
      <c r="BP189" s="390"/>
      <c r="BQ189" s="647"/>
      <c r="BR189" s="647"/>
      <c r="BS189" s="390"/>
      <c r="BT189" s="390"/>
      <c r="BU189" s="390"/>
      <c r="BV189" s="390"/>
      <c r="BW189" s="390"/>
      <c r="BX189" s="390"/>
      <c r="BY189" s="390"/>
      <c r="BZ189" s="390"/>
      <c r="CA189" s="390"/>
      <c r="CB189" s="390"/>
      <c r="CC189" s="390"/>
      <c r="CD189" s="390"/>
      <c r="CE189" s="390"/>
      <c r="CF189" s="647"/>
      <c r="CG189" s="393"/>
      <c r="CH189" s="393"/>
      <c r="CI189" s="393"/>
      <c r="CJ189" s="83" t="str">
        <f t="shared" si="42"/>
        <v>No aplica</v>
      </c>
      <c r="CK189" s="83" t="str">
        <f t="shared" si="43"/>
        <v>No aplica</v>
      </c>
      <c r="CL189" s="83" t="str">
        <f t="shared" si="36"/>
        <v>No requiere reporte</v>
      </c>
      <c r="CM189" s="89" t="str">
        <f t="shared" si="37"/>
        <v>No requiere reporte</v>
      </c>
      <c r="CN189" s="89" t="str">
        <f t="shared" si="38"/>
        <v>No requiere reporte</v>
      </c>
      <c r="CO189" s="394" t="s">
        <v>361</v>
      </c>
      <c r="CP189" s="394" t="s">
        <v>1807</v>
      </c>
      <c r="CQ189" s="394" t="s">
        <v>1749</v>
      </c>
      <c r="CR189" s="394" t="s">
        <v>1808</v>
      </c>
      <c r="CS189" s="394" t="s">
        <v>1809</v>
      </c>
      <c r="CT189" s="394" t="s">
        <v>200</v>
      </c>
      <c r="CU189" s="394" t="s">
        <v>233</v>
      </c>
      <c r="CV189" s="394">
        <v>5</v>
      </c>
      <c r="CW189" s="394" t="s">
        <v>234</v>
      </c>
      <c r="CX189" s="395">
        <v>46037</v>
      </c>
      <c r="CY189" s="395">
        <v>46387</v>
      </c>
      <c r="CZ189" s="396">
        <v>1</v>
      </c>
      <c r="DA189" s="396">
        <v>1</v>
      </c>
      <c r="DB189" s="396">
        <v>0</v>
      </c>
      <c r="DC189" s="396">
        <v>1</v>
      </c>
      <c r="DD189" s="391">
        <f t="shared" si="47"/>
        <v>3</v>
      </c>
      <c r="DE189" s="394" t="s">
        <v>514</v>
      </c>
      <c r="DF189" s="394" t="s">
        <v>1743</v>
      </c>
      <c r="DG189" s="394" t="s">
        <v>1744</v>
      </c>
      <c r="DH189" s="397">
        <v>30000000</v>
      </c>
      <c r="DI189" s="394" t="s">
        <v>182</v>
      </c>
      <c r="DJ189" s="643" t="s">
        <v>628</v>
      </c>
      <c r="DK189" s="643" t="s">
        <v>1745</v>
      </c>
      <c r="DL189" s="394" t="s">
        <v>279</v>
      </c>
      <c r="DM189" s="394" t="s">
        <v>1747</v>
      </c>
      <c r="DN189" s="390"/>
      <c r="DO189" s="654"/>
      <c r="DP189" s="830"/>
      <c r="DQ189" s="390"/>
      <c r="DR189" s="390"/>
      <c r="DS189" s="390"/>
      <c r="DT189" s="646"/>
      <c r="DU189" s="406"/>
      <c r="DV189" s="390"/>
      <c r="DW189" s="390"/>
      <c r="DX189" s="390"/>
      <c r="DY189" s="646"/>
      <c r="DZ189" s="829"/>
      <c r="EA189" s="390"/>
      <c r="EB189" s="390"/>
      <c r="EC189" s="647"/>
      <c r="ED189" s="647"/>
      <c r="EE189" s="647"/>
      <c r="EF189" s="647"/>
      <c r="EG189" s="647"/>
      <c r="EH189" s="390"/>
      <c r="EI189" s="647"/>
      <c r="EJ189" s="647"/>
      <c r="EK189" s="68"/>
      <c r="EL189" s="91" t="str">
        <f t="shared" si="39"/>
        <v>No se reportó avance</v>
      </c>
      <c r="EM189" s="83" t="str">
        <f t="shared" si="40"/>
        <v>No se reportó avance</v>
      </c>
      <c r="EN189" s="646"/>
      <c r="EO189" s="69" t="str">
        <f t="shared" si="44"/>
        <v>Gestión</v>
      </c>
      <c r="EP189" s="69" t="str">
        <f t="shared" si="45"/>
        <v>6</v>
      </c>
    </row>
    <row r="190" spans="1:146" ht="150" customHeight="1">
      <c r="A190" s="390" t="s">
        <v>1718</v>
      </c>
      <c r="B190" s="398" t="s">
        <v>1719</v>
      </c>
      <c r="C190" s="399" t="s">
        <v>1720</v>
      </c>
      <c r="D190" s="400" t="s">
        <v>1721</v>
      </c>
      <c r="E190" s="401" t="s">
        <v>1722</v>
      </c>
      <c r="F190" s="390" t="s">
        <v>182</v>
      </c>
      <c r="G190" s="390" t="s">
        <v>182</v>
      </c>
      <c r="H190" s="390" t="s">
        <v>182</v>
      </c>
      <c r="I190" s="390" t="s">
        <v>728</v>
      </c>
      <c r="J190" s="390" t="s">
        <v>1723</v>
      </c>
      <c r="K190" s="390" t="s">
        <v>182</v>
      </c>
      <c r="L190" s="402">
        <v>3</v>
      </c>
      <c r="M190" s="390" t="s">
        <v>1788</v>
      </c>
      <c r="N190" s="390" t="s">
        <v>1789</v>
      </c>
      <c r="O190" s="390" t="s">
        <v>1790</v>
      </c>
      <c r="P190" s="390" t="s">
        <v>200</v>
      </c>
      <c r="Q190" s="390" t="s">
        <v>162</v>
      </c>
      <c r="R190" s="398">
        <v>1</v>
      </c>
      <c r="S190" s="390" t="s">
        <v>163</v>
      </c>
      <c r="T190" s="403">
        <v>44927</v>
      </c>
      <c r="U190" s="403">
        <v>46387</v>
      </c>
      <c r="V190" s="172">
        <v>1</v>
      </c>
      <c r="W190" s="172">
        <v>1</v>
      </c>
      <c r="X190" s="172">
        <v>1</v>
      </c>
      <c r="Y190" s="172">
        <v>1</v>
      </c>
      <c r="Z190" s="398"/>
      <c r="AA190" s="398"/>
      <c r="AB190" s="398"/>
      <c r="AC190" s="398"/>
      <c r="AD190" s="398"/>
      <c r="AE190" s="172"/>
      <c r="AF190" s="172"/>
      <c r="AG190" s="172"/>
      <c r="AH190" s="172"/>
      <c r="AI190" s="172"/>
      <c r="AJ190" s="172"/>
      <c r="AK190" s="413"/>
      <c r="AL190" s="413"/>
      <c r="AM190" s="413"/>
      <c r="AN190" s="413"/>
      <c r="AO190" s="413"/>
      <c r="AP190" s="414"/>
      <c r="AQ190" s="645"/>
      <c r="AR190" s="645"/>
      <c r="AS190" s="645"/>
      <c r="AT190" s="645"/>
      <c r="AU190" s="645"/>
      <c r="AV190" s="645"/>
      <c r="AW190" s="645"/>
      <c r="AX190" s="645"/>
      <c r="AY190" s="645"/>
      <c r="AZ190" s="797"/>
      <c r="BA190" s="645"/>
      <c r="BB190" s="798"/>
      <c r="BC190" s="645"/>
      <c r="BD190" s="798"/>
      <c r="BE190" s="645"/>
      <c r="BF190" s="798"/>
      <c r="BG190" s="645"/>
      <c r="BH190" s="798"/>
      <c r="BI190" s="645"/>
      <c r="BJ190" s="798"/>
      <c r="BK190" s="390"/>
      <c r="BL190" s="390"/>
      <c r="BM190" s="390"/>
      <c r="BN190" s="390"/>
      <c r="BO190" s="390"/>
      <c r="BP190" s="390"/>
      <c r="BQ190" s="647"/>
      <c r="BR190" s="647"/>
      <c r="BS190" s="390"/>
      <c r="BT190" s="390"/>
      <c r="BU190" s="390"/>
      <c r="BV190" s="390"/>
      <c r="BW190" s="390"/>
      <c r="BX190" s="390"/>
      <c r="BY190" s="390"/>
      <c r="BZ190" s="390"/>
      <c r="CA190" s="390"/>
      <c r="CB190" s="390"/>
      <c r="CC190" s="390"/>
      <c r="CD190" s="390"/>
      <c r="CE190" s="390"/>
      <c r="CF190" s="647"/>
      <c r="CG190" s="393"/>
      <c r="CH190" s="393"/>
      <c r="CI190" s="393"/>
      <c r="CJ190" s="83" t="str">
        <f t="shared" si="42"/>
        <v>No aplica</v>
      </c>
      <c r="CK190" s="83" t="str">
        <f t="shared" si="43"/>
        <v>No aplica</v>
      </c>
      <c r="CL190" s="83" t="str">
        <f t="shared" si="36"/>
        <v>No requiere reporte</v>
      </c>
      <c r="CM190" s="89" t="str">
        <f t="shared" si="37"/>
        <v>No requiere reporte</v>
      </c>
      <c r="CN190" s="89" t="str">
        <f t="shared" si="38"/>
        <v>No requiere reporte</v>
      </c>
      <c r="CO190" s="394" t="s">
        <v>366</v>
      </c>
      <c r="CP190" s="394" t="s">
        <v>1810</v>
      </c>
      <c r="CQ190" s="394" t="s">
        <v>484</v>
      </c>
      <c r="CR190" s="394" t="s">
        <v>204</v>
      </c>
      <c r="CS190" s="394" t="s">
        <v>1753</v>
      </c>
      <c r="CT190" s="394" t="s">
        <v>200</v>
      </c>
      <c r="CU190" s="394" t="s">
        <v>233</v>
      </c>
      <c r="CV190" s="394">
        <v>6</v>
      </c>
      <c r="CW190" s="394" t="s">
        <v>234</v>
      </c>
      <c r="CX190" s="395">
        <v>46037</v>
      </c>
      <c r="CY190" s="395">
        <v>46387</v>
      </c>
      <c r="CZ190" s="396">
        <v>1</v>
      </c>
      <c r="DA190" s="396">
        <v>1</v>
      </c>
      <c r="DB190" s="396">
        <v>1</v>
      </c>
      <c r="DC190" s="396">
        <v>1</v>
      </c>
      <c r="DD190" s="391">
        <f t="shared" si="47"/>
        <v>4</v>
      </c>
      <c r="DE190" s="394" t="s">
        <v>514</v>
      </c>
      <c r="DF190" s="394" t="s">
        <v>1743</v>
      </c>
      <c r="DG190" s="394" t="s">
        <v>1744</v>
      </c>
      <c r="DH190" s="397">
        <v>30000000</v>
      </c>
      <c r="DI190" s="394" t="s">
        <v>182</v>
      </c>
      <c r="DJ190" s="643" t="s">
        <v>628</v>
      </c>
      <c r="DK190" s="643" t="s">
        <v>1745</v>
      </c>
      <c r="DL190" s="394" t="s">
        <v>279</v>
      </c>
      <c r="DM190" s="394" t="s">
        <v>1747</v>
      </c>
      <c r="DN190" s="390"/>
      <c r="DO190" s="654"/>
      <c r="DP190" s="830"/>
      <c r="DQ190" s="390"/>
      <c r="DR190" s="390"/>
      <c r="DS190" s="390"/>
      <c r="DT190" s="646"/>
      <c r="DU190" s="406"/>
      <c r="DV190" s="390"/>
      <c r="DW190" s="390"/>
      <c r="DX190" s="390"/>
      <c r="DY190" s="646"/>
      <c r="DZ190" s="829"/>
      <c r="EA190" s="390"/>
      <c r="EB190" s="390"/>
      <c r="EC190" s="647"/>
      <c r="ED190" s="647"/>
      <c r="EE190" s="647"/>
      <c r="EF190" s="647"/>
      <c r="EG190" s="647"/>
      <c r="EH190" s="390"/>
      <c r="EI190" s="647"/>
      <c r="EJ190" s="647"/>
      <c r="EK190" s="68"/>
      <c r="EL190" s="91" t="str">
        <f t="shared" si="39"/>
        <v>No se reportó avance</v>
      </c>
      <c r="EM190" s="83" t="str">
        <f t="shared" si="40"/>
        <v>No se reportó avance</v>
      </c>
      <c r="EN190" s="646"/>
      <c r="EO190" s="69" t="str">
        <f t="shared" si="44"/>
        <v>Gestión</v>
      </c>
      <c r="EP190" s="69" t="str">
        <f t="shared" si="45"/>
        <v>6</v>
      </c>
    </row>
    <row r="191" spans="1:146" ht="150" customHeight="1">
      <c r="A191" s="377" t="s">
        <v>1718</v>
      </c>
      <c r="B191" s="378" t="s">
        <v>1719</v>
      </c>
      <c r="C191" s="379" t="s">
        <v>1720</v>
      </c>
      <c r="D191" s="380" t="s">
        <v>1721</v>
      </c>
      <c r="E191" s="381" t="s">
        <v>1722</v>
      </c>
      <c r="F191" s="377" t="s">
        <v>182</v>
      </c>
      <c r="G191" s="377" t="s">
        <v>182</v>
      </c>
      <c r="H191" s="377" t="s">
        <v>182</v>
      </c>
      <c r="I191" s="377" t="s">
        <v>728</v>
      </c>
      <c r="J191" s="377" t="s">
        <v>1723</v>
      </c>
      <c r="K191" s="377" t="s">
        <v>182</v>
      </c>
      <c r="L191" s="382">
        <v>4</v>
      </c>
      <c r="M191" s="382" t="s">
        <v>1811</v>
      </c>
      <c r="N191" s="382" t="s">
        <v>1812</v>
      </c>
      <c r="O191" s="382" t="s">
        <v>1813</v>
      </c>
      <c r="P191" s="382" t="s">
        <v>200</v>
      </c>
      <c r="Q191" s="382" t="s">
        <v>162</v>
      </c>
      <c r="R191" s="383">
        <v>1</v>
      </c>
      <c r="S191" s="382" t="s">
        <v>163</v>
      </c>
      <c r="T191" s="384">
        <v>44927</v>
      </c>
      <c r="U191" s="384">
        <v>46387</v>
      </c>
      <c r="V191" s="385">
        <v>0</v>
      </c>
      <c r="W191" s="378">
        <f>+(1)*100%</f>
        <v>1</v>
      </c>
      <c r="X191" s="378">
        <f>+(1)*100%</f>
        <v>1</v>
      </c>
      <c r="Y191" s="378">
        <f>+(1)*100%</f>
        <v>1</v>
      </c>
      <c r="Z191" s="378">
        <v>1</v>
      </c>
      <c r="AA191" s="407">
        <v>1</v>
      </c>
      <c r="AB191" s="407">
        <v>1</v>
      </c>
      <c r="AC191" s="407">
        <v>1</v>
      </c>
      <c r="AD191" s="407">
        <v>1</v>
      </c>
      <c r="AE191" s="407">
        <v>1</v>
      </c>
      <c r="AF191" s="407">
        <v>1</v>
      </c>
      <c r="AG191" s="407">
        <v>1</v>
      </c>
      <c r="AH191" s="407">
        <v>1</v>
      </c>
      <c r="AI191" s="407">
        <v>1</v>
      </c>
      <c r="AJ191" s="407">
        <v>1</v>
      </c>
      <c r="AK191" s="408">
        <v>1</v>
      </c>
      <c r="AL191" s="408">
        <v>1</v>
      </c>
      <c r="AM191" s="408">
        <v>1</v>
      </c>
      <c r="AN191" s="408">
        <v>1</v>
      </c>
      <c r="AO191" s="409">
        <v>1</v>
      </c>
      <c r="AP191" s="409">
        <v>1</v>
      </c>
      <c r="AQ191" s="172">
        <f>+(44/44)*100%</f>
        <v>1</v>
      </c>
      <c r="AR191" s="389" t="s">
        <v>1814</v>
      </c>
      <c r="AS191" s="172">
        <f>+(63/63)*100%</f>
        <v>1</v>
      </c>
      <c r="AT191" s="389" t="s">
        <v>1815</v>
      </c>
      <c r="AU191" s="172">
        <f>+(86/86)*100%</f>
        <v>1</v>
      </c>
      <c r="AV191" s="389" t="s">
        <v>1816</v>
      </c>
      <c r="AW191" s="172">
        <f>+(41/41)*100%</f>
        <v>1</v>
      </c>
      <c r="AX191" s="644" t="s">
        <v>1817</v>
      </c>
      <c r="AY191" s="172">
        <f>+(234/234)*100%</f>
        <v>1</v>
      </c>
      <c r="AZ191" s="644" t="s">
        <v>1818</v>
      </c>
      <c r="BA191" s="172">
        <f>SUM(0+0+1)/1*100%</f>
        <v>1</v>
      </c>
      <c r="BB191" s="646" t="s">
        <v>1819</v>
      </c>
      <c r="BC191" s="172">
        <f>SUM(2+1+6)/9*100%</f>
        <v>1</v>
      </c>
      <c r="BD191" s="646" t="s">
        <v>1820</v>
      </c>
      <c r="BE191" s="172">
        <f>SUM(4+4+5)/13*100%</f>
        <v>1</v>
      </c>
      <c r="BF191" s="390" t="s">
        <v>1821</v>
      </c>
      <c r="BG191" s="172">
        <f>SUM(0+14+3)/17*100%</f>
        <v>1</v>
      </c>
      <c r="BH191" s="172" t="s">
        <v>1822</v>
      </c>
      <c r="BI191" s="172">
        <v>1</v>
      </c>
      <c r="BJ191" s="172" t="s">
        <v>1823</v>
      </c>
      <c r="BK191" s="398">
        <f>SUM(3+6+8)/17*100%</f>
        <v>1</v>
      </c>
      <c r="BL191" s="390" t="s">
        <v>1824</v>
      </c>
      <c r="BM191" s="398">
        <f>SUM(14+12+13)/39*100%</f>
        <v>1</v>
      </c>
      <c r="BN191" s="390" t="s">
        <v>1825</v>
      </c>
      <c r="BO191" s="398">
        <f>SUM(10+8+13)/31*100%</f>
        <v>1</v>
      </c>
      <c r="BP191" s="390" t="s">
        <v>1826</v>
      </c>
      <c r="BQ191" s="651"/>
      <c r="BR191" s="647"/>
      <c r="BS191" s="398">
        <v>0.75</v>
      </c>
      <c r="BT191" s="390"/>
      <c r="BU191" s="650"/>
      <c r="BV191" s="390"/>
      <c r="BW191" s="650"/>
      <c r="BX191" s="390"/>
      <c r="BY191" s="650"/>
      <c r="BZ191" s="390"/>
      <c r="CA191" s="650"/>
      <c r="CB191" s="390"/>
      <c r="CC191" s="650"/>
      <c r="CD191" s="390"/>
      <c r="CE191" s="172">
        <v>0.92</v>
      </c>
      <c r="CF191" s="647"/>
      <c r="CG191" s="392">
        <f>SUM(DH191:DH194)</f>
        <v>2475435000</v>
      </c>
      <c r="CH191" s="393"/>
      <c r="CI191" s="393"/>
      <c r="CJ191" s="83">
        <f t="shared" si="42"/>
        <v>0</v>
      </c>
      <c r="CK191" s="83">
        <f t="shared" si="43"/>
        <v>0</v>
      </c>
      <c r="CL191" s="83" t="str">
        <f t="shared" si="36"/>
        <v>No se reportó avance</v>
      </c>
      <c r="CM191" s="89" t="str">
        <f t="shared" si="37"/>
        <v>No se reportó avance</v>
      </c>
      <c r="CN191" s="89">
        <f t="shared" si="38"/>
        <v>0.92</v>
      </c>
      <c r="CO191" s="394" t="s">
        <v>391</v>
      </c>
      <c r="CP191" s="394" t="s">
        <v>1827</v>
      </c>
      <c r="CQ191" s="394" t="s">
        <v>1828</v>
      </c>
      <c r="CR191" s="394" t="s">
        <v>1829</v>
      </c>
      <c r="CS191" s="394" t="s">
        <v>1830</v>
      </c>
      <c r="CT191" s="394" t="s">
        <v>200</v>
      </c>
      <c r="CU191" s="394" t="s">
        <v>233</v>
      </c>
      <c r="CV191" s="415">
        <v>59</v>
      </c>
      <c r="CW191" s="394" t="s">
        <v>234</v>
      </c>
      <c r="CX191" s="395">
        <v>46037</v>
      </c>
      <c r="CY191" s="395">
        <v>46387</v>
      </c>
      <c r="CZ191" s="394">
        <v>32</v>
      </c>
      <c r="DA191" s="394">
        <v>32</v>
      </c>
      <c r="DB191" s="394">
        <v>0</v>
      </c>
      <c r="DC191" s="394">
        <v>0</v>
      </c>
      <c r="DD191" s="391">
        <f t="shared" si="47"/>
        <v>64</v>
      </c>
      <c r="DE191" s="394" t="s">
        <v>514</v>
      </c>
      <c r="DF191" s="394" t="s">
        <v>1743</v>
      </c>
      <c r="DG191" s="394" t="s">
        <v>1744</v>
      </c>
      <c r="DH191" s="397">
        <v>1169435000</v>
      </c>
      <c r="DI191" s="394" t="s">
        <v>182</v>
      </c>
      <c r="DJ191" s="643" t="s">
        <v>628</v>
      </c>
      <c r="DK191" s="643" t="s">
        <v>1745</v>
      </c>
      <c r="DL191" s="394" t="s">
        <v>279</v>
      </c>
      <c r="DM191" s="394" t="s">
        <v>1747</v>
      </c>
      <c r="DN191" s="390"/>
      <c r="DO191" s="654"/>
      <c r="DP191" s="830"/>
      <c r="DQ191" s="390"/>
      <c r="DR191" s="390"/>
      <c r="DS191" s="390"/>
      <c r="DT191" s="646"/>
      <c r="DU191" s="406"/>
      <c r="DV191" s="390"/>
      <c r="DW191" s="390"/>
      <c r="DX191" s="390"/>
      <c r="DY191" s="646"/>
      <c r="DZ191" s="829"/>
      <c r="EA191" s="390"/>
      <c r="EB191" s="390"/>
      <c r="EC191" s="647"/>
      <c r="ED191" s="647"/>
      <c r="EE191" s="647"/>
      <c r="EF191" s="647"/>
      <c r="EG191" s="647"/>
      <c r="EH191" s="390"/>
      <c r="EI191" s="647"/>
      <c r="EJ191" s="647"/>
      <c r="EK191" s="68"/>
      <c r="EL191" s="91" t="str">
        <f t="shared" si="39"/>
        <v>No se reportó avance</v>
      </c>
      <c r="EM191" s="83" t="str">
        <f t="shared" si="40"/>
        <v>No se reportó avance</v>
      </c>
      <c r="EN191" s="646" t="s">
        <v>4682</v>
      </c>
      <c r="EO191" s="69" t="str">
        <f t="shared" si="44"/>
        <v>Gestión</v>
      </c>
      <c r="EP191" s="69" t="str">
        <f t="shared" si="45"/>
        <v>6</v>
      </c>
    </row>
    <row r="192" spans="1:146" ht="150" customHeight="1">
      <c r="A192" s="390" t="s">
        <v>1718</v>
      </c>
      <c r="B192" s="398" t="s">
        <v>1719</v>
      </c>
      <c r="C192" s="399" t="s">
        <v>1720</v>
      </c>
      <c r="D192" s="400" t="s">
        <v>1721</v>
      </c>
      <c r="E192" s="401" t="s">
        <v>1722</v>
      </c>
      <c r="F192" s="390" t="s">
        <v>182</v>
      </c>
      <c r="G192" s="390" t="s">
        <v>182</v>
      </c>
      <c r="H192" s="390" t="s">
        <v>182</v>
      </c>
      <c r="I192" s="390" t="s">
        <v>728</v>
      </c>
      <c r="J192" s="390" t="s">
        <v>1723</v>
      </c>
      <c r="K192" s="390" t="s">
        <v>182</v>
      </c>
      <c r="L192" s="402">
        <v>4</v>
      </c>
      <c r="M192" s="390" t="s">
        <v>1811</v>
      </c>
      <c r="N192" s="390" t="s">
        <v>1812</v>
      </c>
      <c r="O192" s="390" t="s">
        <v>1813</v>
      </c>
      <c r="P192" s="390" t="s">
        <v>200</v>
      </c>
      <c r="Q192" s="390" t="s">
        <v>162</v>
      </c>
      <c r="R192" s="398">
        <v>1</v>
      </c>
      <c r="S192" s="390" t="s">
        <v>163</v>
      </c>
      <c r="T192" s="403">
        <v>44927</v>
      </c>
      <c r="U192" s="403">
        <v>46387</v>
      </c>
      <c r="V192" s="391"/>
      <c r="W192" s="391"/>
      <c r="X192" s="391"/>
      <c r="Y192" s="391"/>
      <c r="Z192" s="391"/>
      <c r="AA192" s="391"/>
      <c r="AB192" s="391"/>
      <c r="AC192" s="391"/>
      <c r="AD192" s="391"/>
      <c r="AE192" s="391"/>
      <c r="AF192" s="391"/>
      <c r="AG192" s="391"/>
      <c r="AH192" s="391"/>
      <c r="AI192" s="391"/>
      <c r="AJ192" s="391"/>
      <c r="AK192" s="396"/>
      <c r="AL192" s="396"/>
      <c r="AM192" s="396"/>
      <c r="AN192" s="396"/>
      <c r="AO192" s="396"/>
      <c r="AP192" s="396"/>
      <c r="AQ192" s="390"/>
      <c r="AR192" s="390"/>
      <c r="AS192" s="390"/>
      <c r="AT192" s="390"/>
      <c r="AU192" s="390"/>
      <c r="AV192" s="390"/>
      <c r="AW192" s="390"/>
      <c r="AX192" s="390"/>
      <c r="AY192" s="390"/>
      <c r="AZ192" s="646"/>
      <c r="BA192" s="390"/>
      <c r="BB192" s="646"/>
      <c r="BC192" s="390"/>
      <c r="BD192" s="646"/>
      <c r="BE192" s="390"/>
      <c r="BF192" s="390"/>
      <c r="BG192" s="390"/>
      <c r="BH192" s="390"/>
      <c r="BI192" s="390"/>
      <c r="BJ192" s="390"/>
      <c r="BK192" s="390"/>
      <c r="BL192" s="390"/>
      <c r="BM192" s="390"/>
      <c r="BN192" s="390"/>
      <c r="BO192" s="390"/>
      <c r="BP192" s="390"/>
      <c r="BQ192" s="647"/>
      <c r="BR192" s="647"/>
      <c r="BS192" s="390"/>
      <c r="BT192" s="390"/>
      <c r="BU192" s="390"/>
      <c r="BV192" s="390"/>
      <c r="BW192" s="390"/>
      <c r="BX192" s="390"/>
      <c r="BY192" s="390"/>
      <c r="BZ192" s="390"/>
      <c r="CA192" s="390"/>
      <c r="CB192" s="390"/>
      <c r="CC192" s="390"/>
      <c r="CD192" s="390"/>
      <c r="CE192" s="390"/>
      <c r="CF192" s="647"/>
      <c r="CG192" s="393"/>
      <c r="CH192" s="393"/>
      <c r="CI192" s="393"/>
      <c r="CJ192" s="83" t="str">
        <f t="shared" si="42"/>
        <v>No aplica</v>
      </c>
      <c r="CK192" s="83" t="str">
        <f t="shared" si="43"/>
        <v>No aplica</v>
      </c>
      <c r="CL192" s="83" t="str">
        <f t="shared" si="36"/>
        <v>No requiere reporte</v>
      </c>
      <c r="CM192" s="89" t="str">
        <f t="shared" si="37"/>
        <v>No requiere reporte</v>
      </c>
      <c r="CN192" s="89" t="str">
        <f t="shared" si="38"/>
        <v>No requiere reporte</v>
      </c>
      <c r="CO192" s="394" t="s">
        <v>403</v>
      </c>
      <c r="CP192" s="394" t="s">
        <v>1831</v>
      </c>
      <c r="CQ192" s="394" t="s">
        <v>1832</v>
      </c>
      <c r="CR192" s="394" t="s">
        <v>1833</v>
      </c>
      <c r="CS192" s="394" t="s">
        <v>1834</v>
      </c>
      <c r="CT192" s="394" t="s">
        <v>200</v>
      </c>
      <c r="CU192" s="394" t="s">
        <v>162</v>
      </c>
      <c r="CV192" s="413">
        <v>1</v>
      </c>
      <c r="CW192" s="394" t="s">
        <v>163</v>
      </c>
      <c r="CX192" s="395">
        <v>46037</v>
      </c>
      <c r="CY192" s="395">
        <v>46387</v>
      </c>
      <c r="CZ192" s="414">
        <v>1</v>
      </c>
      <c r="DA192" s="414">
        <v>1</v>
      </c>
      <c r="DB192" s="414">
        <v>1</v>
      </c>
      <c r="DC192" s="414">
        <v>1</v>
      </c>
      <c r="DD192" s="398">
        <v>1</v>
      </c>
      <c r="DE192" s="394" t="s">
        <v>514</v>
      </c>
      <c r="DF192" s="394" t="s">
        <v>1743</v>
      </c>
      <c r="DG192" s="394" t="s">
        <v>1744</v>
      </c>
      <c r="DH192" s="397">
        <v>426000000</v>
      </c>
      <c r="DI192" s="394" t="s">
        <v>182</v>
      </c>
      <c r="DJ192" s="643" t="s">
        <v>628</v>
      </c>
      <c r="DK192" s="643" t="s">
        <v>1745</v>
      </c>
      <c r="DL192" s="394" t="s">
        <v>279</v>
      </c>
      <c r="DM192" s="394" t="s">
        <v>1747</v>
      </c>
      <c r="DN192" s="172"/>
      <c r="DO192" s="654"/>
      <c r="DP192" s="830"/>
      <c r="DQ192" s="390"/>
      <c r="DR192" s="390"/>
      <c r="DS192" s="398"/>
      <c r="DT192" s="646"/>
      <c r="DU192" s="406"/>
      <c r="DV192" s="390"/>
      <c r="DW192" s="390"/>
      <c r="DX192" s="398"/>
      <c r="DY192" s="646"/>
      <c r="DZ192" s="829"/>
      <c r="EA192" s="390"/>
      <c r="EB192" s="390"/>
      <c r="EC192" s="651"/>
      <c r="ED192" s="647"/>
      <c r="EE192" s="647"/>
      <c r="EF192" s="647"/>
      <c r="EG192" s="647"/>
      <c r="EH192" s="398"/>
      <c r="EI192" s="647"/>
      <c r="EJ192" s="647"/>
      <c r="EK192" s="68"/>
      <c r="EL192" s="91" t="str">
        <f t="shared" si="39"/>
        <v>No se reportó avance</v>
      </c>
      <c r="EM192" s="83" t="str">
        <f t="shared" si="40"/>
        <v>No se reportó avance</v>
      </c>
      <c r="EN192" s="646"/>
      <c r="EO192" s="69" t="str">
        <f t="shared" si="44"/>
        <v>Gestión</v>
      </c>
      <c r="EP192" s="69" t="str">
        <f t="shared" si="45"/>
        <v>6</v>
      </c>
    </row>
    <row r="193" spans="1:146" ht="150" customHeight="1">
      <c r="A193" s="390" t="s">
        <v>1718</v>
      </c>
      <c r="B193" s="398" t="s">
        <v>1719</v>
      </c>
      <c r="C193" s="399" t="s">
        <v>1720</v>
      </c>
      <c r="D193" s="400" t="s">
        <v>1721</v>
      </c>
      <c r="E193" s="401" t="s">
        <v>1722</v>
      </c>
      <c r="F193" s="390" t="s">
        <v>182</v>
      </c>
      <c r="G193" s="390" t="s">
        <v>182</v>
      </c>
      <c r="H193" s="390" t="s">
        <v>1835</v>
      </c>
      <c r="I193" s="390" t="s">
        <v>728</v>
      </c>
      <c r="J193" s="390" t="s">
        <v>1723</v>
      </c>
      <c r="K193" s="390" t="s">
        <v>182</v>
      </c>
      <c r="L193" s="402">
        <v>4</v>
      </c>
      <c r="M193" s="390" t="s">
        <v>1811</v>
      </c>
      <c r="N193" s="390" t="s">
        <v>1812</v>
      </c>
      <c r="O193" s="390" t="s">
        <v>1813</v>
      </c>
      <c r="P193" s="390" t="s">
        <v>200</v>
      </c>
      <c r="Q193" s="390" t="s">
        <v>162</v>
      </c>
      <c r="R193" s="398">
        <v>1</v>
      </c>
      <c r="S193" s="390" t="s">
        <v>163</v>
      </c>
      <c r="T193" s="403">
        <v>44927</v>
      </c>
      <c r="U193" s="403">
        <v>46387</v>
      </c>
      <c r="V193" s="391"/>
      <c r="W193" s="391"/>
      <c r="X193" s="391"/>
      <c r="Y193" s="391"/>
      <c r="Z193" s="391"/>
      <c r="AA193" s="391"/>
      <c r="AB193" s="391"/>
      <c r="AC193" s="391"/>
      <c r="AD193" s="391"/>
      <c r="AE193" s="391"/>
      <c r="AF193" s="391"/>
      <c r="AG193" s="391"/>
      <c r="AH193" s="391"/>
      <c r="AI193" s="391"/>
      <c r="AJ193" s="391"/>
      <c r="AK193" s="396"/>
      <c r="AL193" s="396"/>
      <c r="AM193" s="396"/>
      <c r="AN193" s="396"/>
      <c r="AO193" s="396"/>
      <c r="AP193" s="396"/>
      <c r="AQ193" s="390"/>
      <c r="AR193" s="390"/>
      <c r="AS193" s="390"/>
      <c r="AT193" s="390"/>
      <c r="AU193" s="390"/>
      <c r="AV193" s="390"/>
      <c r="AW193" s="390"/>
      <c r="AX193" s="390"/>
      <c r="AY193" s="390"/>
      <c r="AZ193" s="646"/>
      <c r="BA193" s="390"/>
      <c r="BB193" s="646"/>
      <c r="BC193" s="390"/>
      <c r="BD193" s="646"/>
      <c r="BE193" s="390"/>
      <c r="BF193" s="390"/>
      <c r="BG193" s="390"/>
      <c r="BH193" s="390"/>
      <c r="BI193" s="390"/>
      <c r="BJ193" s="390"/>
      <c r="BK193" s="390"/>
      <c r="BL193" s="390"/>
      <c r="BM193" s="390"/>
      <c r="BN193" s="390"/>
      <c r="BO193" s="390"/>
      <c r="BP193" s="390"/>
      <c r="BQ193" s="647"/>
      <c r="BR193" s="647"/>
      <c r="BS193" s="390"/>
      <c r="BT193" s="390"/>
      <c r="BU193" s="390"/>
      <c r="BV193" s="390"/>
      <c r="BW193" s="390"/>
      <c r="BX193" s="390"/>
      <c r="BY193" s="390"/>
      <c r="BZ193" s="390"/>
      <c r="CA193" s="390"/>
      <c r="CB193" s="390"/>
      <c r="CC193" s="390"/>
      <c r="CD193" s="390"/>
      <c r="CE193" s="390"/>
      <c r="CF193" s="647"/>
      <c r="CG193" s="393"/>
      <c r="CH193" s="393"/>
      <c r="CI193" s="393"/>
      <c r="CJ193" s="83" t="str">
        <f t="shared" si="42"/>
        <v>No aplica</v>
      </c>
      <c r="CK193" s="83" t="str">
        <f t="shared" si="43"/>
        <v>No aplica</v>
      </c>
      <c r="CL193" s="83" t="str">
        <f t="shared" si="36"/>
        <v>No requiere reporte</v>
      </c>
      <c r="CM193" s="89" t="str">
        <f t="shared" si="37"/>
        <v>No requiere reporte</v>
      </c>
      <c r="CN193" s="89" t="str">
        <f t="shared" si="38"/>
        <v>No requiere reporte</v>
      </c>
      <c r="CO193" s="394" t="s">
        <v>408</v>
      </c>
      <c r="CP193" s="394" t="s">
        <v>1836</v>
      </c>
      <c r="CQ193" s="394" t="s">
        <v>1837</v>
      </c>
      <c r="CR193" s="394" t="s">
        <v>1838</v>
      </c>
      <c r="CS193" s="394" t="s">
        <v>1839</v>
      </c>
      <c r="CT193" s="394" t="s">
        <v>200</v>
      </c>
      <c r="CU193" s="394" t="s">
        <v>162</v>
      </c>
      <c r="CV193" s="413">
        <v>1</v>
      </c>
      <c r="CW193" s="394" t="s">
        <v>163</v>
      </c>
      <c r="CX193" s="395">
        <v>46037</v>
      </c>
      <c r="CY193" s="395">
        <v>46387</v>
      </c>
      <c r="CZ193" s="414">
        <v>1</v>
      </c>
      <c r="DA193" s="414">
        <v>1</v>
      </c>
      <c r="DB193" s="414">
        <v>1</v>
      </c>
      <c r="DC193" s="414">
        <v>1</v>
      </c>
      <c r="DD193" s="398">
        <v>1</v>
      </c>
      <c r="DE193" s="394" t="s">
        <v>514</v>
      </c>
      <c r="DF193" s="394" t="s">
        <v>1743</v>
      </c>
      <c r="DG193" s="394" t="s">
        <v>1744</v>
      </c>
      <c r="DH193" s="397">
        <v>51000000</v>
      </c>
      <c r="DI193" s="394" t="s">
        <v>182</v>
      </c>
      <c r="DJ193" s="643" t="s">
        <v>628</v>
      </c>
      <c r="DK193" s="643" t="s">
        <v>1745</v>
      </c>
      <c r="DL193" s="394" t="s">
        <v>279</v>
      </c>
      <c r="DM193" s="394" t="s">
        <v>1747</v>
      </c>
      <c r="DN193" s="172"/>
      <c r="DO193" s="654"/>
      <c r="DP193" s="830"/>
      <c r="DQ193" s="390"/>
      <c r="DR193" s="390"/>
      <c r="DS193" s="172"/>
      <c r="DT193" s="646"/>
      <c r="DU193" s="406"/>
      <c r="DV193" s="390"/>
      <c r="DW193" s="390"/>
      <c r="DX193" s="172"/>
      <c r="DY193" s="646"/>
      <c r="DZ193" s="829"/>
      <c r="EA193" s="390"/>
      <c r="EB193" s="390"/>
      <c r="EC193" s="651"/>
      <c r="ED193" s="647"/>
      <c r="EE193" s="647"/>
      <c r="EF193" s="647"/>
      <c r="EG193" s="647"/>
      <c r="EH193" s="172"/>
      <c r="EI193" s="647"/>
      <c r="EJ193" s="647"/>
      <c r="EK193" s="68"/>
      <c r="EL193" s="91" t="str">
        <f t="shared" si="39"/>
        <v>No se reportó avance</v>
      </c>
      <c r="EM193" s="83" t="str">
        <f t="shared" si="40"/>
        <v>No se reportó avance</v>
      </c>
      <c r="EN193" s="646"/>
      <c r="EO193" s="69" t="str">
        <f t="shared" si="44"/>
        <v>Gestión</v>
      </c>
      <c r="EP193" s="69" t="str">
        <f t="shared" si="45"/>
        <v>6</v>
      </c>
    </row>
    <row r="194" spans="1:146" ht="150" customHeight="1">
      <c r="A194" s="390" t="s">
        <v>1718</v>
      </c>
      <c r="B194" s="398" t="s">
        <v>1719</v>
      </c>
      <c r="C194" s="399" t="s">
        <v>1720</v>
      </c>
      <c r="D194" s="400" t="s">
        <v>1721</v>
      </c>
      <c r="E194" s="401" t="s">
        <v>1722</v>
      </c>
      <c r="F194" s="390" t="s">
        <v>182</v>
      </c>
      <c r="G194" s="390" t="s">
        <v>182</v>
      </c>
      <c r="H194" s="390" t="s">
        <v>182</v>
      </c>
      <c r="I194" s="390" t="s">
        <v>728</v>
      </c>
      <c r="J194" s="390" t="s">
        <v>1723</v>
      </c>
      <c r="K194" s="390" t="s">
        <v>182</v>
      </c>
      <c r="L194" s="402">
        <v>4</v>
      </c>
      <c r="M194" s="390" t="s">
        <v>1811</v>
      </c>
      <c r="N194" s="390" t="s">
        <v>1812</v>
      </c>
      <c r="O194" s="390" t="s">
        <v>1813</v>
      </c>
      <c r="P194" s="390" t="s">
        <v>200</v>
      </c>
      <c r="Q194" s="390" t="s">
        <v>162</v>
      </c>
      <c r="R194" s="398">
        <v>1</v>
      </c>
      <c r="S194" s="390" t="s">
        <v>163</v>
      </c>
      <c r="T194" s="403">
        <v>44927</v>
      </c>
      <c r="U194" s="403">
        <v>46387</v>
      </c>
      <c r="V194" s="391"/>
      <c r="W194" s="391"/>
      <c r="X194" s="391"/>
      <c r="Y194" s="391"/>
      <c r="Z194" s="391"/>
      <c r="AA194" s="391"/>
      <c r="AB194" s="391"/>
      <c r="AC194" s="391"/>
      <c r="AD194" s="391"/>
      <c r="AE194" s="391"/>
      <c r="AF194" s="391"/>
      <c r="AG194" s="391"/>
      <c r="AH194" s="391"/>
      <c r="AI194" s="391"/>
      <c r="AJ194" s="391"/>
      <c r="AK194" s="396"/>
      <c r="AL194" s="396"/>
      <c r="AM194" s="396"/>
      <c r="AN194" s="396"/>
      <c r="AO194" s="396"/>
      <c r="AP194" s="396"/>
      <c r="AQ194" s="645"/>
      <c r="AR194" s="645"/>
      <c r="AS194" s="645"/>
      <c r="AT194" s="645"/>
      <c r="AU194" s="645"/>
      <c r="AV194" s="645"/>
      <c r="AW194" s="645"/>
      <c r="AX194" s="645"/>
      <c r="AY194" s="645"/>
      <c r="AZ194" s="797"/>
      <c r="BA194" s="645"/>
      <c r="BB194" s="798"/>
      <c r="BC194" s="645"/>
      <c r="BD194" s="798"/>
      <c r="BE194" s="645"/>
      <c r="BF194" s="799"/>
      <c r="BG194" s="645"/>
      <c r="BH194" s="799"/>
      <c r="BI194" s="645"/>
      <c r="BJ194" s="799"/>
      <c r="BK194" s="390"/>
      <c r="BL194" s="390"/>
      <c r="BM194" s="390"/>
      <c r="BN194" s="390"/>
      <c r="BO194" s="390"/>
      <c r="BP194" s="390"/>
      <c r="BQ194" s="654"/>
      <c r="BR194" s="654"/>
      <c r="BS194" s="390"/>
      <c r="BT194" s="390"/>
      <c r="BU194" s="390"/>
      <c r="BV194" s="390"/>
      <c r="BW194" s="390"/>
      <c r="BX194" s="390"/>
      <c r="BY194" s="390"/>
      <c r="BZ194" s="390"/>
      <c r="CA194" s="390"/>
      <c r="CB194" s="390"/>
      <c r="CC194" s="390"/>
      <c r="CD194" s="391"/>
      <c r="CE194" s="390"/>
      <c r="CF194" s="654"/>
      <c r="CG194" s="393"/>
      <c r="CH194" s="393"/>
      <c r="CI194" s="393"/>
      <c r="CJ194" s="83" t="str">
        <f t="shared" si="42"/>
        <v>No aplica</v>
      </c>
      <c r="CK194" s="83" t="str">
        <f t="shared" si="43"/>
        <v>No aplica</v>
      </c>
      <c r="CL194" s="83" t="str">
        <f t="shared" si="36"/>
        <v>No requiere reporte</v>
      </c>
      <c r="CM194" s="89" t="str">
        <f t="shared" si="37"/>
        <v>No requiere reporte</v>
      </c>
      <c r="CN194" s="89" t="str">
        <f t="shared" si="38"/>
        <v>No requiere reporte</v>
      </c>
      <c r="CO194" s="394" t="s">
        <v>413</v>
      </c>
      <c r="CP194" s="394" t="s">
        <v>1840</v>
      </c>
      <c r="CQ194" s="394" t="s">
        <v>1828</v>
      </c>
      <c r="CR194" s="394" t="s">
        <v>1841</v>
      </c>
      <c r="CS194" s="394" t="s">
        <v>1842</v>
      </c>
      <c r="CT194" s="394" t="s">
        <v>200</v>
      </c>
      <c r="CU194" s="394" t="s">
        <v>233</v>
      </c>
      <c r="CV194" s="415">
        <v>3</v>
      </c>
      <c r="CW194" s="394" t="s">
        <v>234</v>
      </c>
      <c r="CX194" s="395">
        <v>46037</v>
      </c>
      <c r="CY194" s="395">
        <v>46387</v>
      </c>
      <c r="CZ194" s="396">
        <v>1</v>
      </c>
      <c r="DA194" s="396">
        <v>2</v>
      </c>
      <c r="DB194" s="396">
        <v>0</v>
      </c>
      <c r="DC194" s="396">
        <v>0</v>
      </c>
      <c r="DD194" s="391">
        <f>SUM(CZ194:DC194)</f>
        <v>3</v>
      </c>
      <c r="DE194" s="394" t="s">
        <v>514</v>
      </c>
      <c r="DF194" s="394" t="s">
        <v>1743</v>
      </c>
      <c r="DG194" s="394" t="s">
        <v>1744</v>
      </c>
      <c r="DH194" s="397">
        <v>829000000</v>
      </c>
      <c r="DI194" s="394" t="s">
        <v>182</v>
      </c>
      <c r="DJ194" s="643" t="s">
        <v>628</v>
      </c>
      <c r="DK194" s="643" t="s">
        <v>1745</v>
      </c>
      <c r="DL194" s="394" t="s">
        <v>279</v>
      </c>
      <c r="DM194" s="394" t="s">
        <v>1747</v>
      </c>
      <c r="DN194" s="390"/>
      <c r="DO194" s="654"/>
      <c r="DP194" s="830"/>
      <c r="DQ194" s="390"/>
      <c r="DR194" s="390"/>
      <c r="DS194" s="390"/>
      <c r="DT194" s="646"/>
      <c r="DU194" s="406"/>
      <c r="DV194" s="390"/>
      <c r="DW194" s="390"/>
      <c r="DX194" s="390"/>
      <c r="DY194" s="646"/>
      <c r="DZ194" s="829"/>
      <c r="EA194" s="390"/>
      <c r="EB194" s="390"/>
      <c r="EC194" s="647"/>
      <c r="ED194" s="647"/>
      <c r="EE194" s="647"/>
      <c r="EF194" s="647"/>
      <c r="EG194" s="647"/>
      <c r="EH194" s="390"/>
      <c r="EI194" s="647"/>
      <c r="EJ194" s="647"/>
      <c r="EK194" s="68"/>
      <c r="EL194" s="91" t="str">
        <f t="shared" si="39"/>
        <v>No se reportó avance</v>
      </c>
      <c r="EM194" s="83" t="str">
        <f t="shared" si="40"/>
        <v>No se reportó avance</v>
      </c>
      <c r="EN194" s="646"/>
      <c r="EO194" s="69" t="str">
        <f t="shared" si="44"/>
        <v>Gestión</v>
      </c>
      <c r="EP194" s="69" t="str">
        <f t="shared" si="45"/>
        <v>6</v>
      </c>
    </row>
    <row r="195" spans="1:146" ht="150" hidden="1" customHeight="1">
      <c r="A195" s="241" t="s">
        <v>1718</v>
      </c>
      <c r="B195" s="240" t="s">
        <v>1719</v>
      </c>
      <c r="C195" s="241" t="s">
        <v>280</v>
      </c>
      <c r="D195" s="416" t="s">
        <v>280</v>
      </c>
      <c r="E195" s="417" t="s">
        <v>1843</v>
      </c>
      <c r="F195" s="241" t="s">
        <v>1844</v>
      </c>
      <c r="G195" s="241" t="s">
        <v>1845</v>
      </c>
      <c r="H195" s="241" t="s">
        <v>280</v>
      </c>
      <c r="I195" s="241" t="s">
        <v>728</v>
      </c>
      <c r="J195" s="241" t="s">
        <v>1723</v>
      </c>
      <c r="K195" s="241"/>
      <c r="L195" s="241">
        <v>5</v>
      </c>
      <c r="M195" s="241" t="s">
        <v>1846</v>
      </c>
      <c r="N195" s="241" t="s">
        <v>1847</v>
      </c>
      <c r="O195" s="241" t="s">
        <v>1848</v>
      </c>
      <c r="P195" s="241" t="s">
        <v>161</v>
      </c>
      <c r="Q195" s="241" t="s">
        <v>233</v>
      </c>
      <c r="R195" s="418">
        <v>17</v>
      </c>
      <c r="S195" s="241" t="s">
        <v>234</v>
      </c>
      <c r="T195" s="419">
        <v>44927</v>
      </c>
      <c r="U195" s="419">
        <v>46387</v>
      </c>
      <c r="V195" s="420">
        <v>0</v>
      </c>
      <c r="W195" s="420">
        <v>10</v>
      </c>
      <c r="X195" s="420">
        <v>10</v>
      </c>
      <c r="Y195" s="420">
        <v>0</v>
      </c>
      <c r="Z195" s="241">
        <v>20</v>
      </c>
      <c r="AA195" s="241"/>
      <c r="AB195" s="241"/>
      <c r="AC195" s="241"/>
      <c r="AD195" s="241"/>
      <c r="AE195" s="420">
        <v>20</v>
      </c>
      <c r="AF195" s="420">
        <f t="shared" ref="AF195:AN195" si="49">3769/3769</f>
        <v>1</v>
      </c>
      <c r="AG195" s="420">
        <f t="shared" si="49"/>
        <v>1</v>
      </c>
      <c r="AH195" s="420">
        <f t="shared" si="49"/>
        <v>1</v>
      </c>
      <c r="AI195" s="420">
        <f t="shared" si="49"/>
        <v>1</v>
      </c>
      <c r="AJ195" s="420">
        <v>20</v>
      </c>
      <c r="AK195" s="421">
        <f t="shared" si="49"/>
        <v>1</v>
      </c>
      <c r="AL195" s="421">
        <f t="shared" si="49"/>
        <v>1</v>
      </c>
      <c r="AM195" s="421">
        <f t="shared" si="49"/>
        <v>1</v>
      </c>
      <c r="AN195" s="421">
        <f t="shared" si="49"/>
        <v>1</v>
      </c>
      <c r="AO195" s="421">
        <v>20</v>
      </c>
      <c r="AP195" s="422">
        <f>+Z195+AE195+AJ195+AO195</f>
        <v>80</v>
      </c>
      <c r="AQ195" s="241" t="s">
        <v>182</v>
      </c>
      <c r="AR195" s="423" t="s">
        <v>1849</v>
      </c>
      <c r="AS195" s="241">
        <v>7</v>
      </c>
      <c r="AT195" s="423" t="s">
        <v>1850</v>
      </c>
      <c r="AU195" s="241">
        <v>5</v>
      </c>
      <c r="AV195" s="423" t="s">
        <v>1851</v>
      </c>
      <c r="AW195" s="241">
        <v>8</v>
      </c>
      <c r="AX195" s="424" t="s">
        <v>1852</v>
      </c>
      <c r="AY195" s="425">
        <f>SUM(AS195:AW195)</f>
        <v>20</v>
      </c>
      <c r="AZ195" s="424" t="s">
        <v>1853</v>
      </c>
      <c r="BA195" s="241"/>
      <c r="BB195" s="416"/>
      <c r="BC195" s="241"/>
      <c r="BD195" s="416"/>
      <c r="BE195" s="241"/>
      <c r="BF195" s="241"/>
      <c r="BG195" s="241"/>
      <c r="BH195" s="241"/>
      <c r="BI195" s="241"/>
      <c r="BJ195" s="241"/>
      <c r="BK195" s="241"/>
      <c r="BL195" s="241"/>
      <c r="BM195" s="241"/>
      <c r="BN195" s="241"/>
      <c r="BO195" s="241"/>
      <c r="BP195" s="241"/>
      <c r="BQ195" s="426"/>
      <c r="BR195" s="426"/>
      <c r="BS195" s="241"/>
      <c r="BT195" s="241"/>
      <c r="BU195" s="241"/>
      <c r="BV195" s="241"/>
      <c r="BW195" s="241"/>
      <c r="BX195" s="241"/>
      <c r="BY195" s="241"/>
      <c r="BZ195" s="241"/>
      <c r="CA195" s="241"/>
      <c r="CB195" s="241"/>
      <c r="CC195" s="241"/>
      <c r="CD195" s="241"/>
      <c r="CE195" s="241"/>
      <c r="CF195" s="426"/>
      <c r="CG195" s="427"/>
      <c r="CH195" s="427"/>
      <c r="CI195" s="427"/>
      <c r="CJ195" s="160" t="str">
        <f t="shared" si="42"/>
        <v>No aplica</v>
      </c>
      <c r="CK195" s="160" t="str">
        <f t="shared" si="43"/>
        <v>No aplica</v>
      </c>
      <c r="CL195" s="83" t="str">
        <f t="shared" si="36"/>
        <v>No se reportó avance</v>
      </c>
      <c r="CM195" s="89" t="str">
        <f t="shared" si="37"/>
        <v>No se reportó avance</v>
      </c>
      <c r="CN195" s="89" t="str">
        <f t="shared" si="38"/>
        <v>No se reportó avance</v>
      </c>
      <c r="CO195" s="428"/>
      <c r="CP195" s="429"/>
      <c r="CQ195" s="428"/>
      <c r="CR195" s="430"/>
      <c r="CS195" s="430"/>
      <c r="CT195" s="428"/>
      <c r="CU195" s="428"/>
      <c r="CV195" s="431"/>
      <c r="CW195" s="428"/>
      <c r="CX195" s="432"/>
      <c r="CY195" s="432"/>
      <c r="CZ195" s="428"/>
      <c r="DA195" s="428"/>
      <c r="DB195" s="428"/>
      <c r="DC195" s="428"/>
      <c r="DD195" s="250">
        <f t="shared" ref="DD195:DD211" si="50">SUM(CZ195:DC195)</f>
        <v>0</v>
      </c>
      <c r="DE195" s="422"/>
      <c r="DF195" s="422"/>
      <c r="DG195" s="422"/>
      <c r="DH195" s="433"/>
      <c r="DI195" s="422" t="s">
        <v>182</v>
      </c>
      <c r="DJ195" s="636" t="s">
        <v>628</v>
      </c>
      <c r="DK195" s="636" t="s">
        <v>1745</v>
      </c>
      <c r="DL195" s="422" t="s">
        <v>279</v>
      </c>
      <c r="DM195" s="422"/>
      <c r="DN195" s="241"/>
      <c r="DO195" s="416"/>
      <c r="DP195" s="241"/>
      <c r="DQ195" s="241"/>
      <c r="DR195" s="241"/>
      <c r="DS195" s="241"/>
      <c r="DT195" s="416"/>
      <c r="DU195" s="241"/>
      <c r="DV195" s="241"/>
      <c r="DW195" s="241"/>
      <c r="DX195" s="241"/>
      <c r="DY195" s="416"/>
      <c r="DZ195" s="241"/>
      <c r="EA195" s="241"/>
      <c r="EB195" s="241"/>
      <c r="EC195" s="426"/>
      <c r="ED195" s="426"/>
      <c r="EE195" s="426"/>
      <c r="EF195" s="426"/>
      <c r="EG195" s="426"/>
      <c r="EH195" s="241"/>
      <c r="EI195" s="426"/>
      <c r="EJ195" s="426"/>
      <c r="EK195" s="434"/>
      <c r="EL195" s="91" t="str">
        <f t="shared" si="39"/>
        <v>No aplica, no hay meta</v>
      </c>
      <c r="EM195" s="83" t="str">
        <f t="shared" si="40"/>
        <v>No aplica, no hay meta</v>
      </c>
      <c r="EN195" s="416"/>
      <c r="EO195" s="69" t="str">
        <f t="shared" si="44"/>
        <v>Producto</v>
      </c>
      <c r="EP195" s="69" t="str">
        <f t="shared" si="45"/>
        <v>6</v>
      </c>
    </row>
    <row r="196" spans="1:146" ht="150" customHeight="1">
      <c r="A196" s="377" t="s">
        <v>1718</v>
      </c>
      <c r="B196" s="378" t="s">
        <v>1719</v>
      </c>
      <c r="C196" s="379" t="s">
        <v>1720</v>
      </c>
      <c r="D196" s="380" t="s">
        <v>1721</v>
      </c>
      <c r="E196" s="380" t="s">
        <v>1854</v>
      </c>
      <c r="F196" s="377" t="s">
        <v>182</v>
      </c>
      <c r="G196" s="377" t="s">
        <v>182</v>
      </c>
      <c r="H196" s="377" t="s">
        <v>1855</v>
      </c>
      <c r="I196" s="377" t="s">
        <v>728</v>
      </c>
      <c r="J196" s="377" t="s">
        <v>1723</v>
      </c>
      <c r="K196" s="377" t="s">
        <v>182</v>
      </c>
      <c r="L196" s="382">
        <v>6</v>
      </c>
      <c r="M196" s="382" t="s">
        <v>1856</v>
      </c>
      <c r="N196" s="382" t="s">
        <v>1857</v>
      </c>
      <c r="O196" s="382" t="s">
        <v>1858</v>
      </c>
      <c r="P196" s="382" t="s">
        <v>200</v>
      </c>
      <c r="Q196" s="382" t="s">
        <v>233</v>
      </c>
      <c r="R196" s="383">
        <v>1</v>
      </c>
      <c r="S196" s="382" t="s">
        <v>234</v>
      </c>
      <c r="T196" s="436">
        <v>44927</v>
      </c>
      <c r="U196" s="384">
        <v>46387</v>
      </c>
      <c r="V196" s="378" t="s">
        <v>182</v>
      </c>
      <c r="W196" s="377">
        <v>9</v>
      </c>
      <c r="X196" s="377">
        <v>3</v>
      </c>
      <c r="Y196" s="377">
        <v>8</v>
      </c>
      <c r="Z196" s="386">
        <f>+W196+X196+Y196</f>
        <v>20</v>
      </c>
      <c r="AA196" s="386">
        <v>1</v>
      </c>
      <c r="AB196" s="386">
        <v>42</v>
      </c>
      <c r="AC196" s="386">
        <v>6</v>
      </c>
      <c r="AD196" s="386">
        <v>27</v>
      </c>
      <c r="AE196" s="386">
        <f>+AA196+AB196+AC196+AD196</f>
        <v>76</v>
      </c>
      <c r="AF196" s="386">
        <v>1</v>
      </c>
      <c r="AG196" s="386">
        <v>9</v>
      </c>
      <c r="AH196" s="386">
        <v>14</v>
      </c>
      <c r="AI196" s="386">
        <v>31</v>
      </c>
      <c r="AJ196" s="386">
        <f>+SUM(AF196:AI196)</f>
        <v>55</v>
      </c>
      <c r="AK196" s="388">
        <f>SUM(CZ196:CZ207)</f>
        <v>0.05</v>
      </c>
      <c r="AL196" s="388">
        <f t="shared" ref="AL196:AN196" si="51">SUM(DA196:DA207)</f>
        <v>8.15</v>
      </c>
      <c r="AM196" s="388">
        <f t="shared" si="51"/>
        <v>16.200000000000003</v>
      </c>
      <c r="AN196" s="388">
        <f t="shared" si="51"/>
        <v>32.1</v>
      </c>
      <c r="AO196" s="388">
        <f>SUM(AK196:AN196)</f>
        <v>56.500000000000007</v>
      </c>
      <c r="AP196" s="388">
        <f>+Z196+AE196+AJ196+AO196</f>
        <v>207.5</v>
      </c>
      <c r="AQ196" s="390" t="s">
        <v>182</v>
      </c>
      <c r="AR196" s="389" t="s">
        <v>1859</v>
      </c>
      <c r="AS196" s="390">
        <v>9</v>
      </c>
      <c r="AT196" s="389" t="s">
        <v>1860</v>
      </c>
      <c r="AU196" s="390">
        <v>3</v>
      </c>
      <c r="AV196" s="389" t="s">
        <v>1861</v>
      </c>
      <c r="AW196" s="390">
        <v>8</v>
      </c>
      <c r="AX196" s="644" t="s">
        <v>1862</v>
      </c>
      <c r="AY196" s="391">
        <f>+AW196+AU196+AS196</f>
        <v>20</v>
      </c>
      <c r="AZ196" s="644" t="s">
        <v>1863</v>
      </c>
      <c r="BA196" s="404">
        <v>1</v>
      </c>
      <c r="BB196" s="646" t="s">
        <v>1864</v>
      </c>
      <c r="BC196" s="174">
        <v>13</v>
      </c>
      <c r="BD196" s="646" t="s">
        <v>1865</v>
      </c>
      <c r="BE196" s="174">
        <v>3</v>
      </c>
      <c r="BF196" s="646" t="s">
        <v>1866</v>
      </c>
      <c r="BG196" s="404">
        <v>14</v>
      </c>
      <c r="BH196" s="404" t="s">
        <v>1867</v>
      </c>
      <c r="BI196" s="404">
        <v>31</v>
      </c>
      <c r="BJ196" s="404" t="s">
        <v>1868</v>
      </c>
      <c r="BK196" s="390">
        <v>1</v>
      </c>
      <c r="BL196" s="390" t="s">
        <v>1869</v>
      </c>
      <c r="BM196" s="390">
        <v>4</v>
      </c>
      <c r="BN196" s="390" t="s">
        <v>1870</v>
      </c>
      <c r="BO196" s="390">
        <f>SUM(DX196+DX199+DX200+DX201+DX202+DX203+DX207)</f>
        <v>0</v>
      </c>
      <c r="BP196" s="390" t="s">
        <v>1871</v>
      </c>
      <c r="BQ196" s="647"/>
      <c r="BR196" s="647"/>
      <c r="BS196" s="390">
        <f>+BO196+BM196+BK196</f>
        <v>5</v>
      </c>
      <c r="BT196" s="390"/>
      <c r="BU196" s="390"/>
      <c r="BV196" s="390"/>
      <c r="BW196" s="390"/>
      <c r="BX196" s="390"/>
      <c r="BY196" s="390"/>
      <c r="BZ196" s="390"/>
      <c r="CA196" s="390"/>
      <c r="CB196" s="390"/>
      <c r="CC196" s="390"/>
      <c r="CD196" s="390"/>
      <c r="CE196" s="391">
        <v>70</v>
      </c>
      <c r="CF196" s="647"/>
      <c r="CG196" s="392">
        <f>SUM(DH196:DH207)</f>
        <v>2425256000</v>
      </c>
      <c r="CH196" s="393"/>
      <c r="CI196" s="393"/>
      <c r="CJ196" s="83">
        <f t="shared" si="42"/>
        <v>0</v>
      </c>
      <c r="CK196" s="83">
        <f t="shared" si="43"/>
        <v>0</v>
      </c>
      <c r="CL196" s="83" t="str">
        <f t="shared" si="36"/>
        <v>No se reportó avance</v>
      </c>
      <c r="CM196" s="89" t="str">
        <f t="shared" si="37"/>
        <v>No se reportó avance</v>
      </c>
      <c r="CN196" s="89">
        <f t="shared" si="38"/>
        <v>0.33734939759036142</v>
      </c>
      <c r="CO196" s="394" t="s">
        <v>1362</v>
      </c>
      <c r="CP196" s="394" t="s">
        <v>1872</v>
      </c>
      <c r="CQ196" s="394" t="s">
        <v>1873</v>
      </c>
      <c r="CR196" s="394" t="s">
        <v>1874</v>
      </c>
      <c r="CS196" s="394" t="s">
        <v>1875</v>
      </c>
      <c r="CT196" s="394" t="s">
        <v>161</v>
      </c>
      <c r="CU196" s="394" t="s">
        <v>233</v>
      </c>
      <c r="CV196" s="394">
        <v>2</v>
      </c>
      <c r="CW196" s="394" t="s">
        <v>234</v>
      </c>
      <c r="CX196" s="395">
        <v>46037</v>
      </c>
      <c r="CY196" s="395">
        <v>46387</v>
      </c>
      <c r="CZ196" s="396">
        <v>0</v>
      </c>
      <c r="DA196" s="396">
        <v>1</v>
      </c>
      <c r="DB196" s="396">
        <v>1</v>
      </c>
      <c r="DC196" s="396">
        <v>1</v>
      </c>
      <c r="DD196" s="391">
        <f t="shared" si="50"/>
        <v>3</v>
      </c>
      <c r="DE196" s="394" t="s">
        <v>514</v>
      </c>
      <c r="DF196" s="394" t="s">
        <v>1876</v>
      </c>
      <c r="DG196" s="394" t="s">
        <v>1877</v>
      </c>
      <c r="DH196" s="397">
        <v>113464767</v>
      </c>
      <c r="DI196" s="394" t="s">
        <v>182</v>
      </c>
      <c r="DJ196" s="643" t="s">
        <v>628</v>
      </c>
      <c r="DK196" s="643" t="s">
        <v>1745</v>
      </c>
      <c r="DL196" s="394" t="s">
        <v>279</v>
      </c>
      <c r="DM196" s="394" t="s">
        <v>1878</v>
      </c>
      <c r="DN196" s="390"/>
      <c r="DO196" s="654"/>
      <c r="DP196" s="390"/>
      <c r="DQ196" s="390"/>
      <c r="DR196" s="390"/>
      <c r="DS196" s="390"/>
      <c r="DT196" s="646"/>
      <c r="DU196" s="406"/>
      <c r="DV196" s="390"/>
      <c r="DW196" s="390"/>
      <c r="DX196" s="390"/>
      <c r="DY196" s="646"/>
      <c r="DZ196" s="829"/>
      <c r="EA196" s="390"/>
      <c r="EB196" s="390"/>
      <c r="EC196" s="647"/>
      <c r="ED196" s="647"/>
      <c r="EE196" s="647"/>
      <c r="EF196" s="647"/>
      <c r="EG196" s="647"/>
      <c r="EH196" s="390"/>
      <c r="EI196" s="647"/>
      <c r="EJ196" s="647"/>
      <c r="EK196" s="68"/>
      <c r="EL196" s="91" t="str">
        <f t="shared" si="39"/>
        <v>No aplica, no hay meta</v>
      </c>
      <c r="EM196" s="83" t="str">
        <f t="shared" si="40"/>
        <v>No se reportó avance</v>
      </c>
      <c r="EN196" s="646"/>
      <c r="EO196" s="69" t="str">
        <f t="shared" si="44"/>
        <v>Gestión</v>
      </c>
      <c r="EP196" s="69" t="str">
        <f t="shared" si="45"/>
        <v>6</v>
      </c>
    </row>
    <row r="197" spans="1:146" ht="150" customHeight="1">
      <c r="A197" s="390" t="s">
        <v>1718</v>
      </c>
      <c r="B197" s="398" t="s">
        <v>1719</v>
      </c>
      <c r="C197" s="399" t="s">
        <v>1720</v>
      </c>
      <c r="D197" s="400" t="s">
        <v>1721</v>
      </c>
      <c r="E197" s="400" t="s">
        <v>1854</v>
      </c>
      <c r="F197" s="390" t="s">
        <v>182</v>
      </c>
      <c r="G197" s="390" t="s">
        <v>182</v>
      </c>
      <c r="H197" s="390" t="s">
        <v>1879</v>
      </c>
      <c r="I197" s="390" t="s">
        <v>728</v>
      </c>
      <c r="J197" s="390" t="s">
        <v>1723</v>
      </c>
      <c r="K197" s="390" t="s">
        <v>182</v>
      </c>
      <c r="L197" s="402">
        <v>6</v>
      </c>
      <c r="M197" s="390" t="s">
        <v>1856</v>
      </c>
      <c r="N197" s="390" t="s">
        <v>1857</v>
      </c>
      <c r="O197" s="390" t="s">
        <v>1858</v>
      </c>
      <c r="P197" s="390" t="s">
        <v>200</v>
      </c>
      <c r="Q197" s="390" t="s">
        <v>233</v>
      </c>
      <c r="R197" s="398">
        <v>1</v>
      </c>
      <c r="S197" s="390" t="s">
        <v>234</v>
      </c>
      <c r="T197" s="437">
        <v>44927</v>
      </c>
      <c r="U197" s="403">
        <v>46387</v>
      </c>
      <c r="V197" s="391"/>
      <c r="W197" s="391"/>
      <c r="X197" s="391"/>
      <c r="Y197" s="391"/>
      <c r="Z197" s="391"/>
      <c r="AA197" s="391"/>
      <c r="AB197" s="391"/>
      <c r="AC197" s="391"/>
      <c r="AD197" s="391"/>
      <c r="AE197" s="391"/>
      <c r="AF197" s="391"/>
      <c r="AG197" s="391"/>
      <c r="AH197" s="391"/>
      <c r="AI197" s="391"/>
      <c r="AJ197" s="391"/>
      <c r="AK197" s="396"/>
      <c r="AL197" s="396"/>
      <c r="AM197" s="396"/>
      <c r="AN197" s="396"/>
      <c r="AO197" s="396"/>
      <c r="AP197" s="396"/>
      <c r="AQ197" s="390"/>
      <c r="AR197" s="390"/>
      <c r="AS197" s="390"/>
      <c r="AT197" s="390"/>
      <c r="AU197" s="390"/>
      <c r="AV197" s="390"/>
      <c r="AW197" s="390"/>
      <c r="AX197" s="390"/>
      <c r="AY197" s="390"/>
      <c r="AZ197" s="646"/>
      <c r="BA197" s="390"/>
      <c r="BB197" s="646"/>
      <c r="BC197" s="390"/>
      <c r="BD197" s="646"/>
      <c r="BE197" s="390"/>
      <c r="BF197" s="390"/>
      <c r="BG197" s="390"/>
      <c r="BH197" s="390"/>
      <c r="BI197" s="390"/>
      <c r="BJ197" s="390"/>
      <c r="BK197" s="390"/>
      <c r="BL197" s="390"/>
      <c r="BM197" s="390"/>
      <c r="BN197" s="390"/>
      <c r="BO197" s="390"/>
      <c r="BP197" s="390"/>
      <c r="BQ197" s="647"/>
      <c r="BR197" s="647"/>
      <c r="BS197" s="390"/>
      <c r="BT197" s="390"/>
      <c r="BU197" s="390"/>
      <c r="BV197" s="390"/>
      <c r="BW197" s="390"/>
      <c r="BX197" s="390"/>
      <c r="BY197" s="390"/>
      <c r="BZ197" s="390"/>
      <c r="CA197" s="390"/>
      <c r="CB197" s="390"/>
      <c r="CC197" s="390"/>
      <c r="CD197" s="390"/>
      <c r="CE197" s="390"/>
      <c r="CF197" s="647"/>
      <c r="CG197" s="393"/>
      <c r="CH197" s="393"/>
      <c r="CI197" s="393"/>
      <c r="CJ197" s="83" t="str">
        <f t="shared" si="42"/>
        <v>No aplica</v>
      </c>
      <c r="CK197" s="83" t="str">
        <f t="shared" si="43"/>
        <v>No aplica</v>
      </c>
      <c r="CL197" s="83" t="str">
        <f t="shared" si="36"/>
        <v>No requiere reporte</v>
      </c>
      <c r="CM197" s="89" t="str">
        <f t="shared" si="37"/>
        <v>No requiere reporte</v>
      </c>
      <c r="CN197" s="89" t="str">
        <f t="shared" si="38"/>
        <v>No requiere reporte</v>
      </c>
      <c r="CO197" s="394" t="s">
        <v>1368</v>
      </c>
      <c r="CP197" s="394" t="s">
        <v>1880</v>
      </c>
      <c r="CQ197" s="658" t="s">
        <v>1881</v>
      </c>
      <c r="CR197" s="658" t="s">
        <v>1882</v>
      </c>
      <c r="CS197" s="394" t="s">
        <v>1883</v>
      </c>
      <c r="CT197" s="394" t="s">
        <v>161</v>
      </c>
      <c r="CU197" s="394" t="s">
        <v>233</v>
      </c>
      <c r="CV197" s="394">
        <v>5</v>
      </c>
      <c r="CW197" s="394" t="s">
        <v>234</v>
      </c>
      <c r="CX197" s="395">
        <v>46037</v>
      </c>
      <c r="CY197" s="395">
        <v>46387</v>
      </c>
      <c r="CZ197" s="396">
        <v>0</v>
      </c>
      <c r="DA197" s="396">
        <v>0</v>
      </c>
      <c r="DB197" s="396">
        <v>0</v>
      </c>
      <c r="DC197" s="396">
        <v>20</v>
      </c>
      <c r="DD197" s="391">
        <f t="shared" si="50"/>
        <v>20</v>
      </c>
      <c r="DE197" s="394" t="s">
        <v>514</v>
      </c>
      <c r="DF197" s="394" t="s">
        <v>1876</v>
      </c>
      <c r="DG197" s="394" t="s">
        <v>1877</v>
      </c>
      <c r="DH197" s="397">
        <v>472771462</v>
      </c>
      <c r="DI197" s="394" t="s">
        <v>182</v>
      </c>
      <c r="DJ197" s="643" t="s">
        <v>628</v>
      </c>
      <c r="DK197" s="643" t="s">
        <v>1745</v>
      </c>
      <c r="DL197" s="394" t="s">
        <v>279</v>
      </c>
      <c r="DM197" s="394" t="s">
        <v>1878</v>
      </c>
      <c r="DN197" s="390"/>
      <c r="DO197" s="654"/>
      <c r="DP197" s="390"/>
      <c r="DQ197" s="390"/>
      <c r="DR197" s="390"/>
      <c r="DS197" s="390"/>
      <c r="DT197" s="646"/>
      <c r="DU197" s="390"/>
      <c r="DV197" s="390"/>
      <c r="DW197" s="390"/>
      <c r="DX197" s="390"/>
      <c r="DY197" s="646"/>
      <c r="DZ197" s="829"/>
      <c r="EA197" s="390"/>
      <c r="EB197" s="390"/>
      <c r="EC197" s="647"/>
      <c r="ED197" s="647"/>
      <c r="EE197" s="647"/>
      <c r="EF197" s="647"/>
      <c r="EG197" s="647"/>
      <c r="EH197" s="390"/>
      <c r="EI197" s="647"/>
      <c r="EJ197" s="647"/>
      <c r="EK197" s="68"/>
      <c r="EL197" s="91" t="str">
        <f t="shared" si="39"/>
        <v>No aplica, no hay meta</v>
      </c>
      <c r="EM197" s="83" t="str">
        <f t="shared" si="40"/>
        <v>No se reportó avance</v>
      </c>
      <c r="EN197" s="646"/>
      <c r="EO197" s="69" t="str">
        <f t="shared" si="44"/>
        <v>Gestión</v>
      </c>
      <c r="EP197" s="69" t="str">
        <f t="shared" si="45"/>
        <v>6</v>
      </c>
    </row>
    <row r="198" spans="1:146" ht="150" customHeight="1">
      <c r="A198" s="390" t="s">
        <v>1718</v>
      </c>
      <c r="B198" s="398" t="s">
        <v>1719</v>
      </c>
      <c r="C198" s="399" t="s">
        <v>1720</v>
      </c>
      <c r="D198" s="400" t="s">
        <v>1721</v>
      </c>
      <c r="E198" s="400" t="s">
        <v>1854</v>
      </c>
      <c r="F198" s="390" t="s">
        <v>182</v>
      </c>
      <c r="G198" s="390" t="s">
        <v>182</v>
      </c>
      <c r="H198" s="390" t="s">
        <v>1884</v>
      </c>
      <c r="I198" s="390" t="s">
        <v>728</v>
      </c>
      <c r="J198" s="390" t="s">
        <v>1723</v>
      </c>
      <c r="K198" s="390" t="s">
        <v>182</v>
      </c>
      <c r="L198" s="402">
        <v>6</v>
      </c>
      <c r="M198" s="390" t="s">
        <v>1856</v>
      </c>
      <c r="N198" s="390" t="s">
        <v>1857</v>
      </c>
      <c r="O198" s="390" t="s">
        <v>1858</v>
      </c>
      <c r="P198" s="390" t="s">
        <v>200</v>
      </c>
      <c r="Q198" s="390" t="s">
        <v>233</v>
      </c>
      <c r="R198" s="398">
        <v>1</v>
      </c>
      <c r="S198" s="390" t="s">
        <v>234</v>
      </c>
      <c r="T198" s="437">
        <v>44927</v>
      </c>
      <c r="U198" s="403">
        <v>46387</v>
      </c>
      <c r="V198" s="391"/>
      <c r="W198" s="391"/>
      <c r="X198" s="391"/>
      <c r="Y198" s="391"/>
      <c r="Z198" s="391"/>
      <c r="AA198" s="391"/>
      <c r="AB198" s="391"/>
      <c r="AC198" s="391"/>
      <c r="AD198" s="391"/>
      <c r="AE198" s="391"/>
      <c r="AF198" s="391"/>
      <c r="AG198" s="391"/>
      <c r="AH198" s="391"/>
      <c r="AI198" s="391"/>
      <c r="AJ198" s="391"/>
      <c r="AK198" s="396"/>
      <c r="AL198" s="396"/>
      <c r="AM198" s="396"/>
      <c r="AN198" s="396"/>
      <c r="AO198" s="396"/>
      <c r="AP198" s="396"/>
      <c r="AQ198" s="390"/>
      <c r="AR198" s="390"/>
      <c r="AS198" s="390"/>
      <c r="AT198" s="390"/>
      <c r="AU198" s="390"/>
      <c r="AV198" s="390"/>
      <c r="AW198" s="390"/>
      <c r="AX198" s="390"/>
      <c r="AY198" s="390"/>
      <c r="AZ198" s="646"/>
      <c r="BA198" s="390"/>
      <c r="BB198" s="646"/>
      <c r="BC198" s="390"/>
      <c r="BD198" s="646"/>
      <c r="BE198" s="390"/>
      <c r="BF198" s="390"/>
      <c r="BG198" s="390"/>
      <c r="BH198" s="390"/>
      <c r="BI198" s="390"/>
      <c r="BJ198" s="390"/>
      <c r="BK198" s="390"/>
      <c r="BL198" s="390"/>
      <c r="BM198" s="390"/>
      <c r="BN198" s="390"/>
      <c r="BO198" s="390"/>
      <c r="BP198" s="390"/>
      <c r="BQ198" s="647"/>
      <c r="BR198" s="647"/>
      <c r="BS198" s="390"/>
      <c r="BT198" s="390"/>
      <c r="BU198" s="390"/>
      <c r="BV198" s="390"/>
      <c r="BW198" s="390"/>
      <c r="BX198" s="390"/>
      <c r="BY198" s="390"/>
      <c r="BZ198" s="390"/>
      <c r="CA198" s="390"/>
      <c r="CB198" s="390"/>
      <c r="CC198" s="390"/>
      <c r="CD198" s="390"/>
      <c r="CE198" s="390"/>
      <c r="CF198" s="647"/>
      <c r="CG198" s="393"/>
      <c r="CH198" s="393"/>
      <c r="CI198" s="393"/>
      <c r="CJ198" s="83" t="str">
        <f t="shared" si="42"/>
        <v>No aplica</v>
      </c>
      <c r="CK198" s="83" t="str">
        <f t="shared" si="43"/>
        <v>No aplica</v>
      </c>
      <c r="CL198" s="83" t="str">
        <f t="shared" si="36"/>
        <v>No requiere reporte</v>
      </c>
      <c r="CM198" s="89" t="str">
        <f t="shared" si="37"/>
        <v>No requiere reporte</v>
      </c>
      <c r="CN198" s="89" t="str">
        <f t="shared" si="38"/>
        <v>No requiere reporte</v>
      </c>
      <c r="CO198" s="394" t="s">
        <v>1885</v>
      </c>
      <c r="CP198" s="394" t="s">
        <v>1886</v>
      </c>
      <c r="CQ198" s="394" t="s">
        <v>1887</v>
      </c>
      <c r="CR198" s="394" t="s">
        <v>1888</v>
      </c>
      <c r="CS198" s="394" t="s">
        <v>1889</v>
      </c>
      <c r="CT198" s="394" t="s">
        <v>200</v>
      </c>
      <c r="CU198" s="394" t="s">
        <v>233</v>
      </c>
      <c r="CV198" s="394">
        <v>2</v>
      </c>
      <c r="CW198" s="394" t="s">
        <v>234</v>
      </c>
      <c r="CX198" s="395">
        <v>46037</v>
      </c>
      <c r="CY198" s="395">
        <v>46387</v>
      </c>
      <c r="CZ198" s="396">
        <v>0</v>
      </c>
      <c r="DA198" s="396">
        <v>0</v>
      </c>
      <c r="DB198" s="396">
        <v>1</v>
      </c>
      <c r="DC198" s="396">
        <v>1</v>
      </c>
      <c r="DD198" s="391">
        <f t="shared" si="50"/>
        <v>2</v>
      </c>
      <c r="DE198" s="394" t="s">
        <v>514</v>
      </c>
      <c r="DF198" s="394" t="s">
        <v>1876</v>
      </c>
      <c r="DG198" s="394" t="s">
        <v>1877</v>
      </c>
      <c r="DH198" s="397">
        <v>550000000</v>
      </c>
      <c r="DI198" s="394" t="s">
        <v>182</v>
      </c>
      <c r="DJ198" s="643" t="s">
        <v>628</v>
      </c>
      <c r="DK198" s="643" t="s">
        <v>1745</v>
      </c>
      <c r="DL198" s="394" t="s">
        <v>279</v>
      </c>
      <c r="DM198" s="394" t="s">
        <v>1878</v>
      </c>
      <c r="DN198" s="390"/>
      <c r="DO198" s="654"/>
      <c r="DP198" s="390"/>
      <c r="DQ198" s="390"/>
      <c r="DR198" s="390"/>
      <c r="DS198" s="390"/>
      <c r="DT198" s="646"/>
      <c r="DU198" s="390"/>
      <c r="DV198" s="390"/>
      <c r="DW198" s="390"/>
      <c r="DX198" s="390"/>
      <c r="DY198" s="646"/>
      <c r="DZ198" s="829"/>
      <c r="EA198" s="390"/>
      <c r="EB198" s="390"/>
      <c r="EC198" s="647"/>
      <c r="ED198" s="647"/>
      <c r="EE198" s="647"/>
      <c r="EF198" s="647"/>
      <c r="EG198" s="647"/>
      <c r="EH198" s="390"/>
      <c r="EI198" s="647"/>
      <c r="EJ198" s="647"/>
      <c r="EK198" s="68"/>
      <c r="EL198" s="91" t="str">
        <f t="shared" si="39"/>
        <v>No aplica, no hay meta</v>
      </c>
      <c r="EM198" s="83" t="str">
        <f t="shared" si="40"/>
        <v>No se reportó avance</v>
      </c>
      <c r="EN198" s="646"/>
      <c r="EO198" s="69" t="str">
        <f t="shared" si="44"/>
        <v>Gestión</v>
      </c>
      <c r="EP198" s="69" t="str">
        <f t="shared" si="45"/>
        <v>6</v>
      </c>
    </row>
    <row r="199" spans="1:146" ht="150" customHeight="1">
      <c r="A199" s="390" t="s">
        <v>1718</v>
      </c>
      <c r="B199" s="398" t="s">
        <v>1719</v>
      </c>
      <c r="C199" s="399" t="s">
        <v>1720</v>
      </c>
      <c r="D199" s="400" t="s">
        <v>1721</v>
      </c>
      <c r="E199" s="400" t="s">
        <v>1854</v>
      </c>
      <c r="F199" s="390" t="s">
        <v>182</v>
      </c>
      <c r="G199" s="390" t="s">
        <v>182</v>
      </c>
      <c r="H199" s="390" t="s">
        <v>1890</v>
      </c>
      <c r="I199" s="390" t="s">
        <v>728</v>
      </c>
      <c r="J199" s="390" t="s">
        <v>1723</v>
      </c>
      <c r="K199" s="390" t="s">
        <v>182</v>
      </c>
      <c r="L199" s="402">
        <v>6</v>
      </c>
      <c r="M199" s="390" t="s">
        <v>1856</v>
      </c>
      <c r="N199" s="390" t="s">
        <v>1857</v>
      </c>
      <c r="O199" s="390" t="s">
        <v>1858</v>
      </c>
      <c r="P199" s="390" t="s">
        <v>200</v>
      </c>
      <c r="Q199" s="390" t="s">
        <v>233</v>
      </c>
      <c r="R199" s="398">
        <v>1</v>
      </c>
      <c r="S199" s="390" t="s">
        <v>234</v>
      </c>
      <c r="T199" s="437">
        <v>44927</v>
      </c>
      <c r="U199" s="403">
        <v>46387</v>
      </c>
      <c r="V199" s="391"/>
      <c r="W199" s="391"/>
      <c r="X199" s="391"/>
      <c r="Y199" s="391"/>
      <c r="Z199" s="391"/>
      <c r="AA199" s="391"/>
      <c r="AB199" s="391"/>
      <c r="AC199" s="391"/>
      <c r="AD199" s="391"/>
      <c r="AE199" s="391"/>
      <c r="AF199" s="391"/>
      <c r="AG199" s="391"/>
      <c r="AH199" s="391"/>
      <c r="AI199" s="391"/>
      <c r="AJ199" s="391"/>
      <c r="AK199" s="396"/>
      <c r="AL199" s="396"/>
      <c r="AM199" s="396"/>
      <c r="AN199" s="396"/>
      <c r="AO199" s="396"/>
      <c r="AP199" s="396"/>
      <c r="AQ199" s="390"/>
      <c r="AR199" s="390"/>
      <c r="AS199" s="390"/>
      <c r="AT199" s="390"/>
      <c r="AU199" s="390"/>
      <c r="AV199" s="390"/>
      <c r="AW199" s="390"/>
      <c r="AX199" s="390"/>
      <c r="AY199" s="390"/>
      <c r="AZ199" s="646"/>
      <c r="BA199" s="390"/>
      <c r="BB199" s="646"/>
      <c r="BC199" s="390"/>
      <c r="BD199" s="646"/>
      <c r="BE199" s="390"/>
      <c r="BF199" s="390"/>
      <c r="BG199" s="390"/>
      <c r="BH199" s="390"/>
      <c r="BI199" s="390"/>
      <c r="BJ199" s="390"/>
      <c r="BK199" s="390"/>
      <c r="BL199" s="390"/>
      <c r="BM199" s="390"/>
      <c r="BN199" s="390"/>
      <c r="BO199" s="390"/>
      <c r="BP199" s="390"/>
      <c r="BQ199" s="647"/>
      <c r="BR199" s="647"/>
      <c r="BS199" s="390"/>
      <c r="BT199" s="390"/>
      <c r="BU199" s="390"/>
      <c r="BV199" s="390"/>
      <c r="BW199" s="390"/>
      <c r="BX199" s="390"/>
      <c r="BY199" s="390"/>
      <c r="BZ199" s="390"/>
      <c r="CA199" s="390"/>
      <c r="CB199" s="390"/>
      <c r="CC199" s="390"/>
      <c r="CD199" s="390"/>
      <c r="CE199" s="390"/>
      <c r="CF199" s="647"/>
      <c r="CG199" s="393"/>
      <c r="CH199" s="393"/>
      <c r="CI199" s="393"/>
      <c r="CJ199" s="83" t="str">
        <f t="shared" si="42"/>
        <v>No aplica</v>
      </c>
      <c r="CK199" s="83" t="str">
        <f t="shared" si="43"/>
        <v>No aplica</v>
      </c>
      <c r="CL199" s="83" t="str">
        <f t="shared" si="36"/>
        <v>No requiere reporte</v>
      </c>
      <c r="CM199" s="89" t="str">
        <f t="shared" si="37"/>
        <v>No requiere reporte</v>
      </c>
      <c r="CN199" s="89" t="str">
        <f t="shared" si="38"/>
        <v>No requiere reporte</v>
      </c>
      <c r="CO199" s="394" t="s">
        <v>1891</v>
      </c>
      <c r="CP199" s="394" t="s">
        <v>1892</v>
      </c>
      <c r="CQ199" s="394" t="s">
        <v>1775</v>
      </c>
      <c r="CR199" s="394" t="s">
        <v>1893</v>
      </c>
      <c r="CS199" s="394" t="s">
        <v>1894</v>
      </c>
      <c r="CT199" s="394" t="s">
        <v>200</v>
      </c>
      <c r="CU199" s="394" t="s">
        <v>233</v>
      </c>
      <c r="CV199" s="394">
        <v>9</v>
      </c>
      <c r="CW199" s="394" t="s">
        <v>234</v>
      </c>
      <c r="CX199" s="395">
        <v>46037</v>
      </c>
      <c r="CY199" s="395">
        <v>46387</v>
      </c>
      <c r="CZ199" s="396">
        <v>0</v>
      </c>
      <c r="DA199" s="396">
        <v>2</v>
      </c>
      <c r="DB199" s="396">
        <v>5</v>
      </c>
      <c r="DC199" s="396">
        <v>5</v>
      </c>
      <c r="DD199" s="391">
        <f t="shared" si="50"/>
        <v>12</v>
      </c>
      <c r="DE199" s="394" t="s">
        <v>514</v>
      </c>
      <c r="DF199" s="394" t="s">
        <v>1876</v>
      </c>
      <c r="DG199" s="394" t="s">
        <v>1877</v>
      </c>
      <c r="DH199" s="397">
        <v>134056750</v>
      </c>
      <c r="DI199" s="394" t="s">
        <v>182</v>
      </c>
      <c r="DJ199" s="643" t="s">
        <v>628</v>
      </c>
      <c r="DK199" s="643" t="s">
        <v>1745</v>
      </c>
      <c r="DL199" s="394" t="s">
        <v>279</v>
      </c>
      <c r="DM199" s="394" t="s">
        <v>1878</v>
      </c>
      <c r="DN199" s="390"/>
      <c r="DO199" s="654"/>
      <c r="DP199" s="390"/>
      <c r="DQ199" s="390"/>
      <c r="DR199" s="390"/>
      <c r="DS199" s="390"/>
      <c r="DT199" s="646"/>
      <c r="DU199" s="390"/>
      <c r="DV199" s="390"/>
      <c r="DW199" s="390"/>
      <c r="DX199" s="390"/>
      <c r="DY199" s="646"/>
      <c r="DZ199" s="829"/>
      <c r="EA199" s="390"/>
      <c r="EB199" s="390"/>
      <c r="EC199" s="647"/>
      <c r="ED199" s="647"/>
      <c r="EE199" s="647"/>
      <c r="EF199" s="647"/>
      <c r="EG199" s="647"/>
      <c r="EH199" s="390"/>
      <c r="EI199" s="647"/>
      <c r="EJ199" s="647"/>
      <c r="EK199" s="68"/>
      <c r="EL199" s="91" t="str">
        <f t="shared" si="39"/>
        <v>No aplica, no hay meta</v>
      </c>
      <c r="EM199" s="83" t="str">
        <f t="shared" si="40"/>
        <v>No se reportó avance</v>
      </c>
      <c r="EN199" s="646"/>
      <c r="EO199" s="69" t="str">
        <f t="shared" si="44"/>
        <v>Gestión</v>
      </c>
      <c r="EP199" s="69" t="str">
        <f t="shared" si="45"/>
        <v>6</v>
      </c>
    </row>
    <row r="200" spans="1:146" ht="150" customHeight="1">
      <c r="A200" s="390" t="s">
        <v>1718</v>
      </c>
      <c r="B200" s="398" t="s">
        <v>1719</v>
      </c>
      <c r="C200" s="399" t="s">
        <v>1720</v>
      </c>
      <c r="D200" s="400" t="s">
        <v>1721</v>
      </c>
      <c r="E200" s="400" t="s">
        <v>1854</v>
      </c>
      <c r="F200" s="390" t="s">
        <v>182</v>
      </c>
      <c r="G200" s="390" t="s">
        <v>182</v>
      </c>
      <c r="H200" s="390" t="s">
        <v>1879</v>
      </c>
      <c r="I200" s="390" t="s">
        <v>728</v>
      </c>
      <c r="J200" s="390" t="s">
        <v>1723</v>
      </c>
      <c r="K200" s="390" t="s">
        <v>182</v>
      </c>
      <c r="L200" s="402">
        <v>6</v>
      </c>
      <c r="M200" s="390" t="s">
        <v>1856</v>
      </c>
      <c r="N200" s="390" t="s">
        <v>1857</v>
      </c>
      <c r="O200" s="390" t="s">
        <v>1858</v>
      </c>
      <c r="P200" s="390" t="s">
        <v>200</v>
      </c>
      <c r="Q200" s="390" t="s">
        <v>233</v>
      </c>
      <c r="R200" s="398">
        <v>1</v>
      </c>
      <c r="S200" s="390" t="s">
        <v>234</v>
      </c>
      <c r="T200" s="437">
        <v>44927</v>
      </c>
      <c r="U200" s="403">
        <v>46387</v>
      </c>
      <c r="V200" s="391"/>
      <c r="W200" s="391"/>
      <c r="X200" s="391"/>
      <c r="Y200" s="391"/>
      <c r="Z200" s="391"/>
      <c r="AA200" s="391"/>
      <c r="AB200" s="391"/>
      <c r="AC200" s="391"/>
      <c r="AD200" s="391"/>
      <c r="AE200" s="391"/>
      <c r="AF200" s="391"/>
      <c r="AG200" s="391"/>
      <c r="AH200" s="391"/>
      <c r="AI200" s="391"/>
      <c r="AJ200" s="391"/>
      <c r="AK200" s="396"/>
      <c r="AL200" s="396"/>
      <c r="AM200" s="396"/>
      <c r="AN200" s="396"/>
      <c r="AO200" s="396"/>
      <c r="AP200" s="396"/>
      <c r="AQ200" s="390"/>
      <c r="AR200" s="390"/>
      <c r="AS200" s="390"/>
      <c r="AT200" s="390"/>
      <c r="AU200" s="390"/>
      <c r="AV200" s="390"/>
      <c r="AW200" s="390"/>
      <c r="AX200" s="390"/>
      <c r="AY200" s="390"/>
      <c r="AZ200" s="646"/>
      <c r="BA200" s="390"/>
      <c r="BB200" s="646"/>
      <c r="BC200" s="390"/>
      <c r="BD200" s="646"/>
      <c r="BE200" s="390"/>
      <c r="BF200" s="390"/>
      <c r="BG200" s="390"/>
      <c r="BH200" s="390"/>
      <c r="BI200" s="390"/>
      <c r="BJ200" s="390"/>
      <c r="BK200" s="390"/>
      <c r="BL200" s="390"/>
      <c r="BM200" s="390"/>
      <c r="BN200" s="390"/>
      <c r="BO200" s="390"/>
      <c r="BP200" s="390"/>
      <c r="BQ200" s="647"/>
      <c r="BR200" s="647"/>
      <c r="BS200" s="390"/>
      <c r="BT200" s="390"/>
      <c r="BU200" s="390"/>
      <c r="BV200" s="390"/>
      <c r="BW200" s="390"/>
      <c r="BX200" s="390"/>
      <c r="BY200" s="390"/>
      <c r="BZ200" s="390"/>
      <c r="CA200" s="390"/>
      <c r="CB200" s="390"/>
      <c r="CC200" s="390"/>
      <c r="CD200" s="390"/>
      <c r="CE200" s="390"/>
      <c r="CF200" s="647"/>
      <c r="CG200" s="393"/>
      <c r="CH200" s="393"/>
      <c r="CI200" s="393"/>
      <c r="CJ200" s="83" t="str">
        <f t="shared" si="42"/>
        <v>No aplica</v>
      </c>
      <c r="CK200" s="83" t="str">
        <f t="shared" si="43"/>
        <v>No aplica</v>
      </c>
      <c r="CL200" s="83" t="str">
        <f t="shared" si="36"/>
        <v>No requiere reporte</v>
      </c>
      <c r="CM200" s="89" t="str">
        <f t="shared" si="37"/>
        <v>No requiere reporte</v>
      </c>
      <c r="CN200" s="89" t="str">
        <f t="shared" si="38"/>
        <v>No requiere reporte</v>
      </c>
      <c r="CO200" s="394" t="s">
        <v>1895</v>
      </c>
      <c r="CP200" s="394" t="s">
        <v>1896</v>
      </c>
      <c r="CQ200" s="394" t="s">
        <v>1897</v>
      </c>
      <c r="CR200" s="394" t="s">
        <v>1898</v>
      </c>
      <c r="CS200" s="394" t="s">
        <v>1899</v>
      </c>
      <c r="CT200" s="394" t="s">
        <v>200</v>
      </c>
      <c r="CU200" s="394" t="s">
        <v>233</v>
      </c>
      <c r="CV200" s="394">
        <v>3</v>
      </c>
      <c r="CW200" s="394" t="s">
        <v>234</v>
      </c>
      <c r="CX200" s="395">
        <v>46037</v>
      </c>
      <c r="CY200" s="395">
        <v>46387</v>
      </c>
      <c r="CZ200" s="396">
        <v>0</v>
      </c>
      <c r="DA200" s="396">
        <v>1</v>
      </c>
      <c r="DB200" s="396">
        <v>1</v>
      </c>
      <c r="DC200" s="396">
        <v>0</v>
      </c>
      <c r="DD200" s="391">
        <f t="shared" si="50"/>
        <v>2</v>
      </c>
      <c r="DE200" s="394" t="s">
        <v>514</v>
      </c>
      <c r="DF200" s="394" t="s">
        <v>1876</v>
      </c>
      <c r="DG200" s="394" t="s">
        <v>1877</v>
      </c>
      <c r="DH200" s="397">
        <v>188700000</v>
      </c>
      <c r="DI200" s="394" t="s">
        <v>182</v>
      </c>
      <c r="DJ200" s="643" t="s">
        <v>628</v>
      </c>
      <c r="DK200" s="643" t="s">
        <v>1745</v>
      </c>
      <c r="DL200" s="394" t="s">
        <v>279</v>
      </c>
      <c r="DM200" s="394" t="s">
        <v>1878</v>
      </c>
      <c r="DN200" s="390"/>
      <c r="DO200" s="654"/>
      <c r="DP200" s="390"/>
      <c r="DQ200" s="390"/>
      <c r="DR200" s="390"/>
      <c r="DS200" s="390"/>
      <c r="DT200" s="646"/>
      <c r="DU200" s="390"/>
      <c r="DV200" s="390"/>
      <c r="DW200" s="390"/>
      <c r="DX200" s="390"/>
      <c r="DY200" s="646"/>
      <c r="DZ200" s="829"/>
      <c r="EA200" s="390"/>
      <c r="EB200" s="390"/>
      <c r="EC200" s="647"/>
      <c r="ED200" s="647"/>
      <c r="EE200" s="647"/>
      <c r="EF200" s="647"/>
      <c r="EG200" s="647"/>
      <c r="EH200" s="390"/>
      <c r="EI200" s="647"/>
      <c r="EJ200" s="647"/>
      <c r="EK200" s="68"/>
      <c r="EL200" s="91" t="str">
        <f t="shared" si="39"/>
        <v>No aplica, no hay meta</v>
      </c>
      <c r="EM200" s="83" t="str">
        <f t="shared" si="40"/>
        <v>No se reportó avance</v>
      </c>
      <c r="EN200" s="646"/>
      <c r="EO200" s="69" t="str">
        <f t="shared" si="44"/>
        <v>Gestión</v>
      </c>
      <c r="EP200" s="69" t="str">
        <f t="shared" si="45"/>
        <v>6</v>
      </c>
    </row>
    <row r="201" spans="1:146" ht="150" customHeight="1">
      <c r="A201" s="390" t="s">
        <v>1718</v>
      </c>
      <c r="B201" s="398" t="s">
        <v>1719</v>
      </c>
      <c r="C201" s="399" t="s">
        <v>1720</v>
      </c>
      <c r="D201" s="400" t="s">
        <v>1721</v>
      </c>
      <c r="E201" s="400" t="s">
        <v>1854</v>
      </c>
      <c r="F201" s="390" t="s">
        <v>182</v>
      </c>
      <c r="G201" s="390" t="s">
        <v>182</v>
      </c>
      <c r="H201" s="390" t="s">
        <v>1900</v>
      </c>
      <c r="I201" s="390" t="s">
        <v>728</v>
      </c>
      <c r="J201" s="390" t="s">
        <v>1723</v>
      </c>
      <c r="K201" s="390" t="s">
        <v>182</v>
      </c>
      <c r="L201" s="402">
        <v>6</v>
      </c>
      <c r="M201" s="390" t="s">
        <v>1856</v>
      </c>
      <c r="N201" s="390" t="s">
        <v>1857</v>
      </c>
      <c r="O201" s="390" t="s">
        <v>1858</v>
      </c>
      <c r="P201" s="390" t="s">
        <v>200</v>
      </c>
      <c r="Q201" s="390" t="s">
        <v>233</v>
      </c>
      <c r="R201" s="398">
        <v>1</v>
      </c>
      <c r="S201" s="390" t="s">
        <v>234</v>
      </c>
      <c r="T201" s="437">
        <v>44927</v>
      </c>
      <c r="U201" s="403">
        <v>46387</v>
      </c>
      <c r="V201" s="391"/>
      <c r="W201" s="391"/>
      <c r="X201" s="391"/>
      <c r="Y201" s="391"/>
      <c r="Z201" s="391"/>
      <c r="AA201" s="391"/>
      <c r="AB201" s="391"/>
      <c r="AC201" s="391"/>
      <c r="AD201" s="391"/>
      <c r="AE201" s="391"/>
      <c r="AF201" s="391"/>
      <c r="AG201" s="391"/>
      <c r="AH201" s="391"/>
      <c r="AI201" s="391"/>
      <c r="AJ201" s="391"/>
      <c r="AK201" s="396"/>
      <c r="AL201" s="396"/>
      <c r="AM201" s="396"/>
      <c r="AN201" s="396"/>
      <c r="AO201" s="396"/>
      <c r="AP201" s="396"/>
      <c r="AQ201" s="390"/>
      <c r="AR201" s="390"/>
      <c r="AS201" s="390"/>
      <c r="AT201" s="390"/>
      <c r="AU201" s="390"/>
      <c r="AV201" s="390"/>
      <c r="AW201" s="390"/>
      <c r="AX201" s="390"/>
      <c r="AY201" s="390"/>
      <c r="AZ201" s="646"/>
      <c r="BA201" s="390"/>
      <c r="BB201" s="646"/>
      <c r="BC201" s="390"/>
      <c r="BD201" s="646"/>
      <c r="BE201" s="390"/>
      <c r="BF201" s="390"/>
      <c r="BG201" s="390"/>
      <c r="BH201" s="390"/>
      <c r="BI201" s="390"/>
      <c r="BJ201" s="390"/>
      <c r="BK201" s="390"/>
      <c r="BL201" s="390"/>
      <c r="BM201" s="390"/>
      <c r="BN201" s="390"/>
      <c r="BO201" s="390"/>
      <c r="BP201" s="390"/>
      <c r="BQ201" s="647"/>
      <c r="BR201" s="647"/>
      <c r="BS201" s="390"/>
      <c r="BT201" s="390"/>
      <c r="BU201" s="390"/>
      <c r="BV201" s="390"/>
      <c r="BW201" s="390"/>
      <c r="BX201" s="390"/>
      <c r="BY201" s="390"/>
      <c r="BZ201" s="390"/>
      <c r="CA201" s="390"/>
      <c r="CB201" s="390"/>
      <c r="CC201" s="390"/>
      <c r="CD201" s="390"/>
      <c r="CE201" s="390"/>
      <c r="CF201" s="647"/>
      <c r="CG201" s="393"/>
      <c r="CH201" s="393"/>
      <c r="CI201" s="393"/>
      <c r="CJ201" s="83" t="str">
        <f t="shared" si="42"/>
        <v>No aplica</v>
      </c>
      <c r="CK201" s="83" t="str">
        <f t="shared" si="43"/>
        <v>No aplica</v>
      </c>
      <c r="CL201" s="83" t="str">
        <f t="shared" si="36"/>
        <v>No requiere reporte</v>
      </c>
      <c r="CM201" s="89" t="str">
        <f t="shared" si="37"/>
        <v>No requiere reporte</v>
      </c>
      <c r="CN201" s="89" t="str">
        <f t="shared" si="38"/>
        <v>No requiere reporte</v>
      </c>
      <c r="CO201" s="394" t="s">
        <v>1901</v>
      </c>
      <c r="CP201" s="394" t="s">
        <v>1902</v>
      </c>
      <c r="CQ201" s="394" t="s">
        <v>484</v>
      </c>
      <c r="CR201" s="394" t="s">
        <v>1903</v>
      </c>
      <c r="CS201" s="394" t="s">
        <v>1904</v>
      </c>
      <c r="CT201" s="394" t="s">
        <v>200</v>
      </c>
      <c r="CU201" s="394" t="s">
        <v>233</v>
      </c>
      <c r="CV201" s="394">
        <v>4</v>
      </c>
      <c r="CW201" s="394" t="s">
        <v>234</v>
      </c>
      <c r="CX201" s="395">
        <v>46037</v>
      </c>
      <c r="CY201" s="395">
        <v>46387</v>
      </c>
      <c r="CZ201" s="396">
        <v>0</v>
      </c>
      <c r="DA201" s="396">
        <v>1</v>
      </c>
      <c r="DB201" s="396">
        <v>2</v>
      </c>
      <c r="DC201" s="396">
        <v>0</v>
      </c>
      <c r="DD201" s="391">
        <f t="shared" si="50"/>
        <v>3</v>
      </c>
      <c r="DE201" s="394" t="s">
        <v>514</v>
      </c>
      <c r="DF201" s="394" t="s">
        <v>1876</v>
      </c>
      <c r="DG201" s="394" t="s">
        <v>1877</v>
      </c>
      <c r="DH201" s="397">
        <v>239229750</v>
      </c>
      <c r="DI201" s="394" t="s">
        <v>182</v>
      </c>
      <c r="DJ201" s="643" t="s">
        <v>628</v>
      </c>
      <c r="DK201" s="643" t="s">
        <v>1745</v>
      </c>
      <c r="DL201" s="394" t="s">
        <v>279</v>
      </c>
      <c r="DM201" s="394" t="s">
        <v>1878</v>
      </c>
      <c r="DN201" s="390"/>
      <c r="DO201" s="654"/>
      <c r="DP201" s="390"/>
      <c r="DQ201" s="390"/>
      <c r="DR201" s="390"/>
      <c r="DS201" s="390"/>
      <c r="DT201" s="646"/>
      <c r="DU201" s="406"/>
      <c r="DV201" s="390"/>
      <c r="DW201" s="390"/>
      <c r="DX201" s="390"/>
      <c r="DY201" s="646"/>
      <c r="DZ201" s="829"/>
      <c r="EA201" s="390"/>
      <c r="EB201" s="390"/>
      <c r="EC201" s="647"/>
      <c r="ED201" s="647"/>
      <c r="EE201" s="647"/>
      <c r="EF201" s="647"/>
      <c r="EG201" s="647"/>
      <c r="EH201" s="390"/>
      <c r="EI201" s="647"/>
      <c r="EJ201" s="647"/>
      <c r="EK201" s="68"/>
      <c r="EL201" s="91" t="str">
        <f t="shared" si="39"/>
        <v>No aplica, no hay meta</v>
      </c>
      <c r="EM201" s="83" t="str">
        <f t="shared" si="40"/>
        <v>No se reportó avance</v>
      </c>
      <c r="EN201" s="646"/>
      <c r="EO201" s="69" t="str">
        <f t="shared" si="44"/>
        <v>Gestión</v>
      </c>
      <c r="EP201" s="69" t="str">
        <f t="shared" si="45"/>
        <v>6</v>
      </c>
    </row>
    <row r="202" spans="1:146" ht="150" customHeight="1">
      <c r="A202" s="390" t="s">
        <v>1718</v>
      </c>
      <c r="B202" s="398" t="s">
        <v>1719</v>
      </c>
      <c r="C202" s="399" t="s">
        <v>1720</v>
      </c>
      <c r="D202" s="400" t="s">
        <v>1721</v>
      </c>
      <c r="E202" s="400" t="s">
        <v>1854</v>
      </c>
      <c r="F202" s="390" t="s">
        <v>182</v>
      </c>
      <c r="G202" s="390" t="s">
        <v>182</v>
      </c>
      <c r="H202" s="390" t="s">
        <v>1900</v>
      </c>
      <c r="I202" s="390" t="s">
        <v>728</v>
      </c>
      <c r="J202" s="390" t="s">
        <v>1723</v>
      </c>
      <c r="K202" s="390" t="s">
        <v>182</v>
      </c>
      <c r="L202" s="402">
        <v>6</v>
      </c>
      <c r="M202" s="390" t="s">
        <v>1856</v>
      </c>
      <c r="N202" s="390" t="s">
        <v>1857</v>
      </c>
      <c r="O202" s="390" t="s">
        <v>1858</v>
      </c>
      <c r="P202" s="390" t="s">
        <v>200</v>
      </c>
      <c r="Q202" s="390" t="s">
        <v>233</v>
      </c>
      <c r="R202" s="398">
        <v>1</v>
      </c>
      <c r="S202" s="390" t="s">
        <v>234</v>
      </c>
      <c r="T202" s="437">
        <v>44927</v>
      </c>
      <c r="U202" s="403">
        <v>46387</v>
      </c>
      <c r="V202" s="391"/>
      <c r="W202" s="391"/>
      <c r="X202" s="391"/>
      <c r="Y202" s="391"/>
      <c r="Z202" s="391"/>
      <c r="AA202" s="391"/>
      <c r="AB202" s="391"/>
      <c r="AC202" s="391"/>
      <c r="AD202" s="391"/>
      <c r="AE202" s="391"/>
      <c r="AF202" s="391"/>
      <c r="AG202" s="391"/>
      <c r="AH202" s="391"/>
      <c r="AI202" s="391"/>
      <c r="AJ202" s="391"/>
      <c r="AK202" s="396"/>
      <c r="AL202" s="396"/>
      <c r="AM202" s="396"/>
      <c r="AN202" s="396"/>
      <c r="AO202" s="396"/>
      <c r="AP202" s="396"/>
      <c r="AQ202" s="390"/>
      <c r="AR202" s="390"/>
      <c r="AS202" s="390"/>
      <c r="AT202" s="390"/>
      <c r="AU202" s="390"/>
      <c r="AV202" s="390"/>
      <c r="AW202" s="390"/>
      <c r="AX202" s="390"/>
      <c r="AY202" s="390"/>
      <c r="AZ202" s="646"/>
      <c r="BA202" s="390"/>
      <c r="BB202" s="646"/>
      <c r="BC202" s="390"/>
      <c r="BD202" s="646"/>
      <c r="BE202" s="390"/>
      <c r="BF202" s="390"/>
      <c r="BG202" s="390"/>
      <c r="BH202" s="390"/>
      <c r="BI202" s="390"/>
      <c r="BJ202" s="390"/>
      <c r="BK202" s="390"/>
      <c r="BL202" s="390"/>
      <c r="BM202" s="390"/>
      <c r="BN202" s="390"/>
      <c r="BO202" s="390"/>
      <c r="BP202" s="390"/>
      <c r="BQ202" s="647"/>
      <c r="BR202" s="647"/>
      <c r="BS202" s="390"/>
      <c r="BT202" s="390"/>
      <c r="BU202" s="390"/>
      <c r="BV202" s="390"/>
      <c r="BW202" s="390"/>
      <c r="BX202" s="390"/>
      <c r="BY202" s="390"/>
      <c r="BZ202" s="390"/>
      <c r="CA202" s="390"/>
      <c r="CB202" s="390"/>
      <c r="CC202" s="390"/>
      <c r="CD202" s="390"/>
      <c r="CE202" s="390"/>
      <c r="CF202" s="647"/>
      <c r="CG202" s="393"/>
      <c r="CH202" s="393"/>
      <c r="CI202" s="393"/>
      <c r="CJ202" s="83" t="str">
        <f t="shared" si="42"/>
        <v>No aplica</v>
      </c>
      <c r="CK202" s="83" t="str">
        <f t="shared" si="43"/>
        <v>No aplica</v>
      </c>
      <c r="CL202" s="83" t="str">
        <f t="shared" si="36"/>
        <v>No requiere reporte</v>
      </c>
      <c r="CM202" s="89" t="str">
        <f t="shared" si="37"/>
        <v>No requiere reporte</v>
      </c>
      <c r="CN202" s="89" t="str">
        <f t="shared" si="38"/>
        <v>No requiere reporte</v>
      </c>
      <c r="CO202" s="394" t="s">
        <v>1905</v>
      </c>
      <c r="CP202" s="394" t="s">
        <v>1906</v>
      </c>
      <c r="CQ202" s="394" t="s">
        <v>1907</v>
      </c>
      <c r="CR202" s="394" t="s">
        <v>1908</v>
      </c>
      <c r="CS202" s="394" t="s">
        <v>1909</v>
      </c>
      <c r="CT202" s="394" t="s">
        <v>200</v>
      </c>
      <c r="CU202" s="394" t="s">
        <v>233</v>
      </c>
      <c r="CV202" s="394">
        <v>4</v>
      </c>
      <c r="CW202" s="394" t="s">
        <v>234</v>
      </c>
      <c r="CX202" s="395">
        <v>46037</v>
      </c>
      <c r="CY202" s="395">
        <v>46387</v>
      </c>
      <c r="CZ202" s="396">
        <v>0</v>
      </c>
      <c r="DA202" s="396">
        <v>0</v>
      </c>
      <c r="DB202" s="396">
        <v>1</v>
      </c>
      <c r="DC202" s="396">
        <v>1</v>
      </c>
      <c r="DD202" s="391">
        <f t="shared" si="50"/>
        <v>2</v>
      </c>
      <c r="DE202" s="394" t="s">
        <v>514</v>
      </c>
      <c r="DF202" s="394" t="s">
        <v>1876</v>
      </c>
      <c r="DG202" s="394" t="s">
        <v>1877</v>
      </c>
      <c r="DH202" s="397">
        <v>45250000</v>
      </c>
      <c r="DI202" s="394" t="s">
        <v>182</v>
      </c>
      <c r="DJ202" s="643" t="s">
        <v>628</v>
      </c>
      <c r="DK202" s="643" t="s">
        <v>1745</v>
      </c>
      <c r="DL202" s="394" t="s">
        <v>279</v>
      </c>
      <c r="DM202" s="394" t="s">
        <v>1878</v>
      </c>
      <c r="DN202" s="390"/>
      <c r="DO202" s="654"/>
      <c r="DP202" s="390"/>
      <c r="DQ202" s="390"/>
      <c r="DR202" s="390"/>
      <c r="DS202" s="390"/>
      <c r="DT202" s="646"/>
      <c r="DU202" s="406"/>
      <c r="DV202" s="390"/>
      <c r="DW202" s="390"/>
      <c r="DX202" s="390"/>
      <c r="DY202" s="646"/>
      <c r="DZ202" s="829"/>
      <c r="EA202" s="390"/>
      <c r="EB202" s="390"/>
      <c r="EC202" s="647"/>
      <c r="ED202" s="647"/>
      <c r="EE202" s="647"/>
      <c r="EF202" s="647"/>
      <c r="EG202" s="647"/>
      <c r="EH202" s="390"/>
      <c r="EI202" s="647"/>
      <c r="EJ202" s="647"/>
      <c r="EK202" s="68"/>
      <c r="EL202" s="91" t="str">
        <f t="shared" si="39"/>
        <v>No aplica, no hay meta</v>
      </c>
      <c r="EM202" s="83" t="str">
        <f t="shared" si="40"/>
        <v>No se reportó avance</v>
      </c>
      <c r="EN202" s="646"/>
      <c r="EO202" s="69" t="str">
        <f t="shared" si="44"/>
        <v>Gestión</v>
      </c>
      <c r="EP202" s="69" t="str">
        <f t="shared" si="45"/>
        <v>6</v>
      </c>
    </row>
    <row r="203" spans="1:146" ht="150" customHeight="1">
      <c r="A203" s="390" t="s">
        <v>1718</v>
      </c>
      <c r="B203" s="398" t="s">
        <v>1719</v>
      </c>
      <c r="C203" s="399" t="s">
        <v>1720</v>
      </c>
      <c r="D203" s="400" t="s">
        <v>1721</v>
      </c>
      <c r="E203" s="400" t="s">
        <v>1854</v>
      </c>
      <c r="F203" s="390" t="s">
        <v>182</v>
      </c>
      <c r="G203" s="390" t="s">
        <v>182</v>
      </c>
      <c r="H203" s="390" t="s">
        <v>1910</v>
      </c>
      <c r="I203" s="390" t="s">
        <v>728</v>
      </c>
      <c r="J203" s="390" t="s">
        <v>1723</v>
      </c>
      <c r="K203" s="390" t="s">
        <v>182</v>
      </c>
      <c r="L203" s="402">
        <v>6</v>
      </c>
      <c r="M203" s="390" t="s">
        <v>1856</v>
      </c>
      <c r="N203" s="390" t="s">
        <v>1857</v>
      </c>
      <c r="O203" s="390" t="s">
        <v>1858</v>
      </c>
      <c r="P203" s="390" t="s">
        <v>200</v>
      </c>
      <c r="Q203" s="390" t="s">
        <v>233</v>
      </c>
      <c r="R203" s="398">
        <v>1</v>
      </c>
      <c r="S203" s="390" t="s">
        <v>234</v>
      </c>
      <c r="T203" s="437">
        <v>44927</v>
      </c>
      <c r="U203" s="403">
        <v>46387</v>
      </c>
      <c r="V203" s="391"/>
      <c r="W203" s="391"/>
      <c r="X203" s="391"/>
      <c r="Y203" s="391"/>
      <c r="Z203" s="391"/>
      <c r="AA203" s="391"/>
      <c r="AB203" s="391"/>
      <c r="AC203" s="391"/>
      <c r="AD203" s="391"/>
      <c r="AE203" s="391"/>
      <c r="AF203" s="391"/>
      <c r="AG203" s="391"/>
      <c r="AH203" s="391"/>
      <c r="AI203" s="391"/>
      <c r="AJ203" s="391"/>
      <c r="AK203" s="396"/>
      <c r="AL203" s="396"/>
      <c r="AM203" s="396"/>
      <c r="AN203" s="396"/>
      <c r="AO203" s="396"/>
      <c r="AP203" s="396"/>
      <c r="AQ203" s="390"/>
      <c r="AR203" s="390"/>
      <c r="AS203" s="390"/>
      <c r="AT203" s="390"/>
      <c r="AU203" s="390"/>
      <c r="AV203" s="390"/>
      <c r="AW203" s="390"/>
      <c r="AX203" s="390"/>
      <c r="AY203" s="390"/>
      <c r="AZ203" s="646"/>
      <c r="BA203" s="390"/>
      <c r="BB203" s="646"/>
      <c r="BC203" s="390"/>
      <c r="BD203" s="646"/>
      <c r="BE203" s="390"/>
      <c r="BF203" s="390"/>
      <c r="BG203" s="390"/>
      <c r="BH203" s="390"/>
      <c r="BI203" s="390"/>
      <c r="BJ203" s="390"/>
      <c r="BK203" s="390"/>
      <c r="BL203" s="390"/>
      <c r="BM203" s="390"/>
      <c r="BN203" s="390"/>
      <c r="BO203" s="390"/>
      <c r="BP203" s="390"/>
      <c r="BQ203" s="647"/>
      <c r="BR203" s="647"/>
      <c r="BS203" s="390"/>
      <c r="BT203" s="390"/>
      <c r="BU203" s="390"/>
      <c r="BV203" s="390"/>
      <c r="BW203" s="390"/>
      <c r="BX203" s="390"/>
      <c r="BY203" s="390"/>
      <c r="BZ203" s="390"/>
      <c r="CA203" s="390"/>
      <c r="CB203" s="390"/>
      <c r="CC203" s="390"/>
      <c r="CD203" s="390"/>
      <c r="CE203" s="390"/>
      <c r="CF203" s="647"/>
      <c r="CG203" s="393"/>
      <c r="CH203" s="393"/>
      <c r="CI203" s="393"/>
      <c r="CJ203" s="83" t="str">
        <f t="shared" si="42"/>
        <v>No aplica</v>
      </c>
      <c r="CK203" s="83" t="str">
        <f t="shared" si="43"/>
        <v>No aplica</v>
      </c>
      <c r="CL203" s="83" t="str">
        <f t="shared" si="36"/>
        <v>No requiere reporte</v>
      </c>
      <c r="CM203" s="89" t="str">
        <f t="shared" si="37"/>
        <v>No requiere reporte</v>
      </c>
      <c r="CN203" s="89" t="str">
        <f t="shared" si="38"/>
        <v>No requiere reporte</v>
      </c>
      <c r="CO203" s="394" t="s">
        <v>1911</v>
      </c>
      <c r="CP203" s="394" t="s">
        <v>1912</v>
      </c>
      <c r="CQ203" s="394" t="s">
        <v>1913</v>
      </c>
      <c r="CR203" s="394" t="s">
        <v>1914</v>
      </c>
      <c r="CS203" s="394" t="s">
        <v>1915</v>
      </c>
      <c r="CT203" s="394" t="s">
        <v>200</v>
      </c>
      <c r="CU203" s="394" t="s">
        <v>233</v>
      </c>
      <c r="CV203" s="394" t="s">
        <v>182</v>
      </c>
      <c r="CW203" s="394" t="s">
        <v>163</v>
      </c>
      <c r="CX203" s="395">
        <v>46037</v>
      </c>
      <c r="CY203" s="395">
        <v>46387</v>
      </c>
      <c r="CZ203" s="413">
        <v>0.05</v>
      </c>
      <c r="DA203" s="413">
        <v>0.05</v>
      </c>
      <c r="DB203" s="413">
        <v>0</v>
      </c>
      <c r="DC203" s="413">
        <v>0</v>
      </c>
      <c r="DD203" s="438">
        <f t="shared" si="50"/>
        <v>0.1</v>
      </c>
      <c r="DE203" s="394" t="s">
        <v>514</v>
      </c>
      <c r="DF203" s="394" t="s">
        <v>1876</v>
      </c>
      <c r="DG203" s="394" t="s">
        <v>1877</v>
      </c>
      <c r="DH203" s="397">
        <v>100000000</v>
      </c>
      <c r="DI203" s="394" t="s">
        <v>182</v>
      </c>
      <c r="DJ203" s="643" t="s">
        <v>628</v>
      </c>
      <c r="DK203" s="643" t="s">
        <v>1745</v>
      </c>
      <c r="DL203" s="394" t="s">
        <v>279</v>
      </c>
      <c r="DM203" s="394" t="s">
        <v>1878</v>
      </c>
      <c r="DN203" s="390"/>
      <c r="DO203" s="654"/>
      <c r="DP203" s="830"/>
      <c r="DQ203" s="390"/>
      <c r="DR203" s="390"/>
      <c r="DS203" s="390"/>
      <c r="DT203" s="646"/>
      <c r="DU203" s="390"/>
      <c r="DV203" s="390"/>
      <c r="DW203" s="390"/>
      <c r="DX203" s="390"/>
      <c r="DY203" s="646"/>
      <c r="DZ203" s="829"/>
      <c r="EA203" s="390"/>
      <c r="EB203" s="390"/>
      <c r="EC203" s="647"/>
      <c r="ED203" s="647"/>
      <c r="EE203" s="647"/>
      <c r="EF203" s="647"/>
      <c r="EG203" s="647"/>
      <c r="EH203" s="390"/>
      <c r="EI203" s="647"/>
      <c r="EJ203" s="647"/>
      <c r="EK203" s="68"/>
      <c r="EL203" s="91" t="str">
        <f t="shared" si="39"/>
        <v>No se reportó avance</v>
      </c>
      <c r="EM203" s="83" t="str">
        <f t="shared" si="40"/>
        <v>No se reportó avance</v>
      </c>
      <c r="EN203" s="646"/>
      <c r="EO203" s="69" t="str">
        <f t="shared" si="44"/>
        <v>Gestión</v>
      </c>
      <c r="EP203" s="69" t="str">
        <f t="shared" si="45"/>
        <v>6</v>
      </c>
    </row>
    <row r="204" spans="1:146" ht="150" customHeight="1">
      <c r="A204" s="390" t="s">
        <v>1718</v>
      </c>
      <c r="B204" s="398" t="s">
        <v>1719</v>
      </c>
      <c r="C204" s="399" t="s">
        <v>1720</v>
      </c>
      <c r="D204" s="400" t="s">
        <v>1721</v>
      </c>
      <c r="E204" s="400" t="s">
        <v>1854</v>
      </c>
      <c r="F204" s="390" t="s">
        <v>182</v>
      </c>
      <c r="G204" s="390" t="s">
        <v>182</v>
      </c>
      <c r="H204" s="390" t="s">
        <v>1916</v>
      </c>
      <c r="I204" s="390" t="s">
        <v>728</v>
      </c>
      <c r="J204" s="390" t="s">
        <v>1723</v>
      </c>
      <c r="K204" s="390" t="s">
        <v>182</v>
      </c>
      <c r="L204" s="402">
        <v>6</v>
      </c>
      <c r="M204" s="390" t="s">
        <v>1856</v>
      </c>
      <c r="N204" s="390" t="s">
        <v>1857</v>
      </c>
      <c r="O204" s="390" t="s">
        <v>1858</v>
      </c>
      <c r="P204" s="390" t="s">
        <v>200</v>
      </c>
      <c r="Q204" s="390" t="s">
        <v>233</v>
      </c>
      <c r="R204" s="398">
        <v>1</v>
      </c>
      <c r="S204" s="390" t="s">
        <v>234</v>
      </c>
      <c r="T204" s="437">
        <v>44927</v>
      </c>
      <c r="U204" s="403">
        <v>46387</v>
      </c>
      <c r="V204" s="391"/>
      <c r="W204" s="391"/>
      <c r="X204" s="391"/>
      <c r="Y204" s="391"/>
      <c r="Z204" s="391"/>
      <c r="AA204" s="391"/>
      <c r="AB204" s="391"/>
      <c r="AC204" s="391"/>
      <c r="AD204" s="391"/>
      <c r="AE204" s="391"/>
      <c r="AF204" s="391"/>
      <c r="AG204" s="391"/>
      <c r="AH204" s="391"/>
      <c r="AI204" s="391"/>
      <c r="AJ204" s="391"/>
      <c r="AK204" s="396"/>
      <c r="AL204" s="396"/>
      <c r="AM204" s="396"/>
      <c r="AN204" s="396"/>
      <c r="AO204" s="396"/>
      <c r="AP204" s="396"/>
      <c r="AQ204" s="390"/>
      <c r="AR204" s="390"/>
      <c r="AS204" s="390"/>
      <c r="AT204" s="390"/>
      <c r="AU204" s="390"/>
      <c r="AV204" s="390"/>
      <c r="AW204" s="390"/>
      <c r="AX204" s="390"/>
      <c r="AY204" s="390"/>
      <c r="AZ204" s="646"/>
      <c r="BA204" s="390"/>
      <c r="BB204" s="646"/>
      <c r="BC204" s="390"/>
      <c r="BD204" s="646"/>
      <c r="BE204" s="390"/>
      <c r="BF204" s="390"/>
      <c r="BG204" s="390"/>
      <c r="BH204" s="390"/>
      <c r="BI204" s="390"/>
      <c r="BJ204" s="390"/>
      <c r="BK204" s="390"/>
      <c r="BL204" s="390"/>
      <c r="BM204" s="390"/>
      <c r="BN204" s="390"/>
      <c r="BO204" s="390"/>
      <c r="BP204" s="390"/>
      <c r="BQ204" s="647"/>
      <c r="BR204" s="647"/>
      <c r="BS204" s="390"/>
      <c r="BT204" s="390"/>
      <c r="BU204" s="390"/>
      <c r="BV204" s="390"/>
      <c r="BW204" s="390"/>
      <c r="BX204" s="390"/>
      <c r="BY204" s="390"/>
      <c r="BZ204" s="390"/>
      <c r="CA204" s="390"/>
      <c r="CB204" s="390"/>
      <c r="CC204" s="390"/>
      <c r="CD204" s="390"/>
      <c r="CE204" s="390"/>
      <c r="CF204" s="647"/>
      <c r="CG204" s="393"/>
      <c r="CH204" s="393"/>
      <c r="CI204" s="393"/>
      <c r="CJ204" s="83" t="str">
        <f t="shared" si="42"/>
        <v>No aplica</v>
      </c>
      <c r="CK204" s="83" t="str">
        <f t="shared" si="43"/>
        <v>No aplica</v>
      </c>
      <c r="CL204" s="83" t="str">
        <f t="shared" si="36"/>
        <v>No requiere reporte</v>
      </c>
      <c r="CM204" s="89" t="str">
        <f t="shared" si="37"/>
        <v>No requiere reporte</v>
      </c>
      <c r="CN204" s="89" t="str">
        <f t="shared" si="38"/>
        <v>No requiere reporte</v>
      </c>
      <c r="CO204" s="394" t="s">
        <v>1917</v>
      </c>
      <c r="CP204" s="394" t="s">
        <v>1918</v>
      </c>
      <c r="CQ204" s="394" t="s">
        <v>1919</v>
      </c>
      <c r="CR204" s="394" t="s">
        <v>1920</v>
      </c>
      <c r="CS204" s="394" t="s">
        <v>1921</v>
      </c>
      <c r="CT204" s="394" t="s">
        <v>200</v>
      </c>
      <c r="CU204" s="394" t="s">
        <v>233</v>
      </c>
      <c r="CV204" s="394" t="s">
        <v>182</v>
      </c>
      <c r="CW204" s="394" t="s">
        <v>234</v>
      </c>
      <c r="CX204" s="395">
        <v>46037</v>
      </c>
      <c r="CY204" s="395">
        <v>46387</v>
      </c>
      <c r="CZ204" s="661">
        <v>0</v>
      </c>
      <c r="DA204" s="661">
        <v>1</v>
      </c>
      <c r="DB204" s="661">
        <v>0</v>
      </c>
      <c r="DC204" s="661">
        <v>0</v>
      </c>
      <c r="DD204" s="391">
        <f t="shared" si="50"/>
        <v>1</v>
      </c>
      <c r="DE204" s="394" t="s">
        <v>514</v>
      </c>
      <c r="DF204" s="394" t="s">
        <v>1876</v>
      </c>
      <c r="DG204" s="394" t="s">
        <v>1877</v>
      </c>
      <c r="DH204" s="397">
        <v>357033271</v>
      </c>
      <c r="DI204" s="394" t="s">
        <v>182</v>
      </c>
      <c r="DJ204" s="643" t="s">
        <v>628</v>
      </c>
      <c r="DK204" s="643" t="s">
        <v>1745</v>
      </c>
      <c r="DL204" s="394" t="s">
        <v>279</v>
      </c>
      <c r="DM204" s="394" t="s">
        <v>1878</v>
      </c>
      <c r="DN204" s="390"/>
      <c r="DO204" s="654"/>
      <c r="DP204" s="390"/>
      <c r="DQ204" s="390"/>
      <c r="DR204" s="390"/>
      <c r="DS204" s="390"/>
      <c r="DT204" s="646"/>
      <c r="DU204" s="390"/>
      <c r="DV204" s="390"/>
      <c r="DW204" s="390"/>
      <c r="DX204" s="390"/>
      <c r="DY204" s="646"/>
      <c r="DZ204" s="832"/>
      <c r="EA204" s="390"/>
      <c r="EB204" s="390"/>
      <c r="EC204" s="647"/>
      <c r="ED204" s="647"/>
      <c r="EE204" s="647"/>
      <c r="EF204" s="647"/>
      <c r="EG204" s="647"/>
      <c r="EH204" s="390"/>
      <c r="EI204" s="647"/>
      <c r="EJ204" s="647"/>
      <c r="EK204" s="68"/>
      <c r="EL204" s="91" t="str">
        <f t="shared" si="39"/>
        <v>No aplica, no hay meta</v>
      </c>
      <c r="EM204" s="83" t="str">
        <f t="shared" si="40"/>
        <v>No se reportó avance</v>
      </c>
      <c r="EN204" s="646"/>
      <c r="EO204" s="69" t="str">
        <f t="shared" si="44"/>
        <v>Gestión</v>
      </c>
      <c r="EP204" s="69" t="str">
        <f t="shared" si="45"/>
        <v>6</v>
      </c>
    </row>
    <row r="205" spans="1:146" s="69" customFormat="1" ht="150" customHeight="1">
      <c r="A205" s="390" t="s">
        <v>1718</v>
      </c>
      <c r="B205" s="398" t="s">
        <v>1719</v>
      </c>
      <c r="C205" s="399" t="s">
        <v>1720</v>
      </c>
      <c r="D205" s="400" t="s">
        <v>1721</v>
      </c>
      <c r="E205" s="400" t="s">
        <v>1854</v>
      </c>
      <c r="F205" s="390" t="s">
        <v>182</v>
      </c>
      <c r="G205" s="390" t="s">
        <v>182</v>
      </c>
      <c r="H205" s="390" t="s">
        <v>1900</v>
      </c>
      <c r="I205" s="390" t="s">
        <v>728</v>
      </c>
      <c r="J205" s="390" t="s">
        <v>1723</v>
      </c>
      <c r="K205" s="390" t="s">
        <v>182</v>
      </c>
      <c r="L205" s="402">
        <v>6</v>
      </c>
      <c r="M205" s="390" t="s">
        <v>1856</v>
      </c>
      <c r="N205" s="390" t="s">
        <v>1857</v>
      </c>
      <c r="O205" s="390" t="s">
        <v>1858</v>
      </c>
      <c r="P205" s="390" t="s">
        <v>200</v>
      </c>
      <c r="Q205" s="390" t="s">
        <v>233</v>
      </c>
      <c r="R205" s="398">
        <v>1</v>
      </c>
      <c r="S205" s="390" t="s">
        <v>234</v>
      </c>
      <c r="T205" s="437">
        <v>44927</v>
      </c>
      <c r="U205" s="403">
        <v>46387</v>
      </c>
      <c r="V205" s="391"/>
      <c r="W205" s="391"/>
      <c r="X205" s="391"/>
      <c r="Y205" s="391"/>
      <c r="Z205" s="391"/>
      <c r="AA205" s="391"/>
      <c r="AB205" s="391"/>
      <c r="AC205" s="391"/>
      <c r="AD205" s="391"/>
      <c r="AE205" s="391"/>
      <c r="AF205" s="391"/>
      <c r="AG205" s="391"/>
      <c r="AH205" s="391"/>
      <c r="AI205" s="391"/>
      <c r="AJ205" s="391"/>
      <c r="AK205" s="396"/>
      <c r="AL205" s="396"/>
      <c r="AM205" s="396"/>
      <c r="AN205" s="396"/>
      <c r="AO205" s="396"/>
      <c r="AP205" s="396"/>
      <c r="AQ205" s="390"/>
      <c r="AR205" s="390"/>
      <c r="AS205" s="390"/>
      <c r="AT205" s="390"/>
      <c r="AU205" s="390"/>
      <c r="AV205" s="390"/>
      <c r="AW205" s="390"/>
      <c r="AX205" s="390"/>
      <c r="AY205" s="390"/>
      <c r="AZ205" s="646"/>
      <c r="BA205" s="390"/>
      <c r="BB205" s="646"/>
      <c r="BC205" s="390"/>
      <c r="BD205" s="646"/>
      <c r="BE205" s="390"/>
      <c r="BF205" s="390"/>
      <c r="BG205" s="390"/>
      <c r="BH205" s="390"/>
      <c r="BI205" s="390"/>
      <c r="BJ205" s="390"/>
      <c r="BK205" s="390"/>
      <c r="BL205" s="390"/>
      <c r="BM205" s="390"/>
      <c r="BN205" s="390"/>
      <c r="BO205" s="390"/>
      <c r="BP205" s="390"/>
      <c r="BQ205" s="647"/>
      <c r="BR205" s="647"/>
      <c r="BS205" s="390"/>
      <c r="BT205" s="390"/>
      <c r="BU205" s="390"/>
      <c r="BV205" s="390"/>
      <c r="BW205" s="390"/>
      <c r="BX205" s="390"/>
      <c r="BY205" s="390"/>
      <c r="BZ205" s="390"/>
      <c r="CA205" s="390"/>
      <c r="CB205" s="390"/>
      <c r="CC205" s="390"/>
      <c r="CD205" s="390"/>
      <c r="CE205" s="390"/>
      <c r="CF205" s="647"/>
      <c r="CG205" s="393"/>
      <c r="CH205" s="393"/>
      <c r="CI205" s="393"/>
      <c r="CJ205" s="83" t="str">
        <f t="shared" si="42"/>
        <v>No aplica</v>
      </c>
      <c r="CK205" s="83" t="str">
        <f t="shared" si="43"/>
        <v>No aplica</v>
      </c>
      <c r="CL205" s="83" t="str">
        <f t="shared" si="36"/>
        <v>No requiere reporte</v>
      </c>
      <c r="CM205" s="89" t="str">
        <f t="shared" si="37"/>
        <v>No requiere reporte</v>
      </c>
      <c r="CN205" s="89" t="str">
        <f t="shared" si="38"/>
        <v>No requiere reporte</v>
      </c>
      <c r="CO205" s="394" t="s">
        <v>1922</v>
      </c>
      <c r="CP205" s="394" t="s">
        <v>1923</v>
      </c>
      <c r="CQ205" s="394" t="s">
        <v>1907</v>
      </c>
      <c r="CR205" s="394" t="s">
        <v>1924</v>
      </c>
      <c r="CS205" s="394" t="s">
        <v>1925</v>
      </c>
      <c r="CT205" s="394" t="s">
        <v>200</v>
      </c>
      <c r="CU205" s="394" t="s">
        <v>233</v>
      </c>
      <c r="CV205" s="394">
        <v>4</v>
      </c>
      <c r="CW205" s="394" t="s">
        <v>234</v>
      </c>
      <c r="CX205" s="395">
        <v>46037</v>
      </c>
      <c r="CY205" s="395">
        <v>46387</v>
      </c>
      <c r="CZ205" s="396">
        <v>0</v>
      </c>
      <c r="DA205" s="396">
        <v>2</v>
      </c>
      <c r="DB205" s="396">
        <v>5</v>
      </c>
      <c r="DC205" s="396">
        <v>4</v>
      </c>
      <c r="DD205" s="391">
        <f t="shared" si="50"/>
        <v>11</v>
      </c>
      <c r="DE205" s="394" t="s">
        <v>514</v>
      </c>
      <c r="DF205" s="394" t="s">
        <v>1876</v>
      </c>
      <c r="DG205" s="394" t="s">
        <v>1877</v>
      </c>
      <c r="DH205" s="397">
        <v>110000000</v>
      </c>
      <c r="DI205" s="394" t="s">
        <v>182</v>
      </c>
      <c r="DJ205" s="643" t="s">
        <v>628</v>
      </c>
      <c r="DK205" s="643" t="s">
        <v>1745</v>
      </c>
      <c r="DL205" s="394" t="s">
        <v>279</v>
      </c>
      <c r="DM205" s="394" t="s">
        <v>1878</v>
      </c>
      <c r="DN205" s="390"/>
      <c r="DO205" s="654"/>
      <c r="DP205" s="390"/>
      <c r="DQ205" s="390"/>
      <c r="DR205" s="390"/>
      <c r="DS205" s="390"/>
      <c r="DT205" s="646"/>
      <c r="DU205" s="390"/>
      <c r="DV205" s="390"/>
      <c r="DW205" s="390"/>
      <c r="DX205" s="390"/>
      <c r="DY205" s="646"/>
      <c r="DZ205" s="829"/>
      <c r="EA205" s="390"/>
      <c r="EB205" s="390"/>
      <c r="EC205" s="647"/>
      <c r="ED205" s="647"/>
      <c r="EE205" s="647"/>
      <c r="EF205" s="647"/>
      <c r="EG205" s="647"/>
      <c r="EH205" s="390"/>
      <c r="EI205" s="647"/>
      <c r="EJ205" s="647"/>
      <c r="EK205" s="68"/>
      <c r="EL205" s="91" t="str">
        <f t="shared" si="39"/>
        <v>No aplica, no hay meta</v>
      </c>
      <c r="EM205" s="83" t="str">
        <f t="shared" si="40"/>
        <v>No se reportó avance</v>
      </c>
      <c r="EN205" s="646"/>
      <c r="EO205" s="69" t="str">
        <f t="shared" si="44"/>
        <v>Gestión</v>
      </c>
      <c r="EP205" s="69" t="str">
        <f t="shared" si="45"/>
        <v>6</v>
      </c>
    </row>
    <row r="206" spans="1:146" s="69" customFormat="1" ht="150" customHeight="1">
      <c r="A206" s="390" t="s">
        <v>1718</v>
      </c>
      <c r="B206" s="398" t="s">
        <v>1719</v>
      </c>
      <c r="C206" s="399" t="s">
        <v>1720</v>
      </c>
      <c r="D206" s="400" t="s">
        <v>1721</v>
      </c>
      <c r="E206" s="400" t="s">
        <v>1854</v>
      </c>
      <c r="F206" s="390" t="s">
        <v>182</v>
      </c>
      <c r="G206" s="390" t="s">
        <v>182</v>
      </c>
      <c r="H206" s="390" t="s">
        <v>1926</v>
      </c>
      <c r="I206" s="390" t="s">
        <v>728</v>
      </c>
      <c r="J206" s="390" t="s">
        <v>1723</v>
      </c>
      <c r="K206" s="390" t="s">
        <v>182</v>
      </c>
      <c r="L206" s="402">
        <v>6</v>
      </c>
      <c r="M206" s="390" t="s">
        <v>1856</v>
      </c>
      <c r="N206" s="390" t="s">
        <v>1857</v>
      </c>
      <c r="O206" s="390" t="s">
        <v>1858</v>
      </c>
      <c r="P206" s="390" t="s">
        <v>200</v>
      </c>
      <c r="Q206" s="390" t="s">
        <v>233</v>
      </c>
      <c r="R206" s="398">
        <v>1</v>
      </c>
      <c r="S206" s="390" t="s">
        <v>234</v>
      </c>
      <c r="T206" s="437">
        <v>44927</v>
      </c>
      <c r="U206" s="403">
        <v>46387</v>
      </c>
      <c r="V206" s="391"/>
      <c r="W206" s="391"/>
      <c r="X206" s="391"/>
      <c r="Y206" s="391"/>
      <c r="Z206" s="391"/>
      <c r="AA206" s="391"/>
      <c r="AB206" s="391"/>
      <c r="AC206" s="391"/>
      <c r="AD206" s="391"/>
      <c r="AE206" s="391"/>
      <c r="AF206" s="391"/>
      <c r="AG206" s="391"/>
      <c r="AH206" s="391"/>
      <c r="AI206" s="391"/>
      <c r="AJ206" s="391"/>
      <c r="AK206" s="396"/>
      <c r="AL206" s="396"/>
      <c r="AM206" s="396"/>
      <c r="AN206" s="396"/>
      <c r="AO206" s="396"/>
      <c r="AP206" s="396"/>
      <c r="AQ206" s="390"/>
      <c r="AR206" s="390"/>
      <c r="AS206" s="390"/>
      <c r="AT206" s="390"/>
      <c r="AU206" s="390"/>
      <c r="AV206" s="390"/>
      <c r="AW206" s="390"/>
      <c r="AX206" s="390"/>
      <c r="AY206" s="390"/>
      <c r="AZ206" s="646"/>
      <c r="BA206" s="390"/>
      <c r="BB206" s="646"/>
      <c r="BC206" s="390"/>
      <c r="BD206" s="646"/>
      <c r="BE206" s="390"/>
      <c r="BF206" s="390"/>
      <c r="BG206" s="390"/>
      <c r="BH206" s="390"/>
      <c r="BI206" s="390"/>
      <c r="BJ206" s="390"/>
      <c r="BK206" s="390"/>
      <c r="BL206" s="390"/>
      <c r="BM206" s="390"/>
      <c r="BN206" s="390"/>
      <c r="BO206" s="390"/>
      <c r="BP206" s="390"/>
      <c r="BQ206" s="647"/>
      <c r="BR206" s="647"/>
      <c r="BS206" s="390"/>
      <c r="BT206" s="390"/>
      <c r="BU206" s="390"/>
      <c r="BV206" s="390"/>
      <c r="BW206" s="390"/>
      <c r="BX206" s="390"/>
      <c r="BY206" s="390"/>
      <c r="BZ206" s="390"/>
      <c r="CA206" s="390"/>
      <c r="CB206" s="390"/>
      <c r="CC206" s="390"/>
      <c r="CD206" s="390"/>
      <c r="CE206" s="390"/>
      <c r="CF206" s="647"/>
      <c r="CG206" s="393"/>
      <c r="CH206" s="393"/>
      <c r="CI206" s="393"/>
      <c r="CJ206" s="83" t="str">
        <f t="shared" si="42"/>
        <v>No aplica</v>
      </c>
      <c r="CK206" s="83" t="str">
        <f t="shared" si="43"/>
        <v>No aplica</v>
      </c>
      <c r="CL206" s="83" t="str">
        <f t="shared" si="36"/>
        <v>No requiere reporte</v>
      </c>
      <c r="CM206" s="89" t="str">
        <f t="shared" si="37"/>
        <v>No requiere reporte</v>
      </c>
      <c r="CN206" s="89" t="str">
        <f t="shared" si="38"/>
        <v>No requiere reporte</v>
      </c>
      <c r="CO206" s="394" t="s">
        <v>1927</v>
      </c>
      <c r="CP206" s="394" t="s">
        <v>1928</v>
      </c>
      <c r="CQ206" s="394" t="s">
        <v>1929</v>
      </c>
      <c r="CR206" s="394" t="s">
        <v>1930</v>
      </c>
      <c r="CS206" s="394" t="s">
        <v>1931</v>
      </c>
      <c r="CT206" s="394" t="s">
        <v>200</v>
      </c>
      <c r="CU206" s="394" t="s">
        <v>233</v>
      </c>
      <c r="CV206" s="394" t="s">
        <v>182</v>
      </c>
      <c r="CW206" s="394" t="s">
        <v>163</v>
      </c>
      <c r="CX206" s="395">
        <v>46037</v>
      </c>
      <c r="CY206" s="395">
        <v>46387</v>
      </c>
      <c r="CZ206" s="413">
        <v>0</v>
      </c>
      <c r="DA206" s="413">
        <v>0.1</v>
      </c>
      <c r="DB206" s="413">
        <v>0.1</v>
      </c>
      <c r="DC206" s="413">
        <v>0</v>
      </c>
      <c r="DD206" s="438">
        <f t="shared" si="50"/>
        <v>0.2</v>
      </c>
      <c r="DE206" s="394" t="s">
        <v>514</v>
      </c>
      <c r="DF206" s="394" t="s">
        <v>1876</v>
      </c>
      <c r="DG206" s="394" t="s">
        <v>1877</v>
      </c>
      <c r="DH206" s="397">
        <v>74750000</v>
      </c>
      <c r="DI206" s="394" t="s">
        <v>182</v>
      </c>
      <c r="DJ206" s="643" t="s">
        <v>628</v>
      </c>
      <c r="DK206" s="643" t="s">
        <v>1745</v>
      </c>
      <c r="DL206" s="394" t="s">
        <v>279</v>
      </c>
      <c r="DM206" s="394" t="s">
        <v>1878</v>
      </c>
      <c r="DN206" s="390"/>
      <c r="DO206" s="654"/>
      <c r="DP206" s="390"/>
      <c r="DQ206" s="390"/>
      <c r="DR206" s="390"/>
      <c r="DS206" s="390"/>
      <c r="DT206" s="646"/>
      <c r="DU206" s="390"/>
      <c r="DV206" s="390"/>
      <c r="DW206" s="390"/>
      <c r="DX206" s="390"/>
      <c r="DY206" s="646"/>
      <c r="DZ206" s="829"/>
      <c r="EA206" s="390"/>
      <c r="EB206" s="390"/>
      <c r="EC206" s="647"/>
      <c r="ED206" s="647"/>
      <c r="EE206" s="647"/>
      <c r="EF206" s="647"/>
      <c r="EG206" s="647"/>
      <c r="EH206" s="390"/>
      <c r="EI206" s="647"/>
      <c r="EJ206" s="647"/>
      <c r="EK206" s="68"/>
      <c r="EL206" s="91" t="str">
        <f t="shared" si="39"/>
        <v>No aplica, no hay meta</v>
      </c>
      <c r="EM206" s="83" t="str">
        <f t="shared" si="40"/>
        <v>No se reportó avance</v>
      </c>
      <c r="EN206" s="646"/>
      <c r="EO206" s="69" t="str">
        <f t="shared" si="44"/>
        <v>Gestión</v>
      </c>
      <c r="EP206" s="69" t="str">
        <f t="shared" si="45"/>
        <v>6</v>
      </c>
    </row>
    <row r="207" spans="1:146" s="69" customFormat="1" ht="150" customHeight="1">
      <c r="A207" s="390" t="s">
        <v>1718</v>
      </c>
      <c r="B207" s="398" t="s">
        <v>1719</v>
      </c>
      <c r="C207" s="399" t="s">
        <v>1720</v>
      </c>
      <c r="D207" s="400" t="s">
        <v>1721</v>
      </c>
      <c r="E207" s="400" t="s">
        <v>1854</v>
      </c>
      <c r="F207" s="390" t="s">
        <v>182</v>
      </c>
      <c r="G207" s="390" t="s">
        <v>182</v>
      </c>
      <c r="H207" s="390" t="s">
        <v>1932</v>
      </c>
      <c r="I207" s="390" t="s">
        <v>728</v>
      </c>
      <c r="J207" s="390" t="s">
        <v>1723</v>
      </c>
      <c r="K207" s="390" t="s">
        <v>182</v>
      </c>
      <c r="L207" s="402">
        <v>6</v>
      </c>
      <c r="M207" s="390" t="s">
        <v>1856</v>
      </c>
      <c r="N207" s="390" t="s">
        <v>1857</v>
      </c>
      <c r="O207" s="390" t="s">
        <v>1858</v>
      </c>
      <c r="P207" s="390" t="s">
        <v>200</v>
      </c>
      <c r="Q207" s="390" t="s">
        <v>233</v>
      </c>
      <c r="R207" s="398">
        <v>1</v>
      </c>
      <c r="S207" s="390" t="s">
        <v>234</v>
      </c>
      <c r="T207" s="437">
        <v>44927</v>
      </c>
      <c r="U207" s="403">
        <v>46387</v>
      </c>
      <c r="V207" s="391"/>
      <c r="W207" s="391"/>
      <c r="X207" s="391"/>
      <c r="Y207" s="391"/>
      <c r="Z207" s="391"/>
      <c r="AA207" s="391"/>
      <c r="AB207" s="391"/>
      <c r="AC207" s="391"/>
      <c r="AD207" s="391"/>
      <c r="AE207" s="391"/>
      <c r="AF207" s="391"/>
      <c r="AG207" s="391"/>
      <c r="AH207" s="391"/>
      <c r="AI207" s="391"/>
      <c r="AJ207" s="391"/>
      <c r="AK207" s="396"/>
      <c r="AL207" s="396"/>
      <c r="AM207" s="396"/>
      <c r="AN207" s="396"/>
      <c r="AO207" s="396"/>
      <c r="AP207" s="396"/>
      <c r="AQ207" s="390"/>
      <c r="AR207" s="390"/>
      <c r="AS207" s="390"/>
      <c r="AT207" s="390"/>
      <c r="AU207" s="390"/>
      <c r="AV207" s="390"/>
      <c r="AW207" s="390"/>
      <c r="AX207" s="390"/>
      <c r="AY207" s="390"/>
      <c r="AZ207" s="646"/>
      <c r="BA207" s="390"/>
      <c r="BB207" s="646"/>
      <c r="BC207" s="390"/>
      <c r="BD207" s="646"/>
      <c r="BE207" s="390"/>
      <c r="BF207" s="390"/>
      <c r="BG207" s="390"/>
      <c r="BH207" s="390"/>
      <c r="BI207" s="390"/>
      <c r="BJ207" s="390"/>
      <c r="BK207" s="390"/>
      <c r="BL207" s="390"/>
      <c r="BM207" s="390"/>
      <c r="BN207" s="390"/>
      <c r="BO207" s="390"/>
      <c r="BP207" s="390"/>
      <c r="BQ207" s="647"/>
      <c r="BR207" s="647"/>
      <c r="BS207" s="390"/>
      <c r="BT207" s="390"/>
      <c r="BU207" s="390"/>
      <c r="BV207" s="390"/>
      <c r="BW207" s="390"/>
      <c r="BX207" s="390"/>
      <c r="BY207" s="390"/>
      <c r="BZ207" s="390"/>
      <c r="CA207" s="390"/>
      <c r="CB207" s="390"/>
      <c r="CC207" s="390"/>
      <c r="CD207" s="390"/>
      <c r="CE207" s="390"/>
      <c r="CF207" s="647"/>
      <c r="CG207" s="393"/>
      <c r="CH207" s="393"/>
      <c r="CI207" s="393"/>
      <c r="CJ207" s="83" t="str">
        <f t="shared" si="42"/>
        <v>No aplica</v>
      </c>
      <c r="CK207" s="83" t="str">
        <f t="shared" si="43"/>
        <v>No aplica</v>
      </c>
      <c r="CL207" s="83" t="str">
        <f t="shared" si="36"/>
        <v>No requiere reporte</v>
      </c>
      <c r="CM207" s="89" t="str">
        <f t="shared" si="37"/>
        <v>No requiere reporte</v>
      </c>
      <c r="CN207" s="89" t="str">
        <f t="shared" si="38"/>
        <v>No requiere reporte</v>
      </c>
      <c r="CO207" s="394" t="s">
        <v>1933</v>
      </c>
      <c r="CP207" s="394" t="s">
        <v>1934</v>
      </c>
      <c r="CQ207" s="394" t="s">
        <v>1935</v>
      </c>
      <c r="CR207" s="394" t="s">
        <v>1936</v>
      </c>
      <c r="CS207" s="394" t="s">
        <v>1937</v>
      </c>
      <c r="CT207" s="394" t="s">
        <v>200</v>
      </c>
      <c r="CU207" s="394" t="s">
        <v>233</v>
      </c>
      <c r="CV207" s="394" t="s">
        <v>182</v>
      </c>
      <c r="CW207" s="394" t="s">
        <v>163</v>
      </c>
      <c r="CX207" s="395">
        <v>46037</v>
      </c>
      <c r="CY207" s="395">
        <v>46387</v>
      </c>
      <c r="CZ207" s="413">
        <v>0</v>
      </c>
      <c r="DA207" s="413">
        <v>0</v>
      </c>
      <c r="DB207" s="413">
        <v>0.1</v>
      </c>
      <c r="DC207" s="413">
        <v>0.1</v>
      </c>
      <c r="DD207" s="438">
        <f t="shared" si="50"/>
        <v>0.2</v>
      </c>
      <c r="DE207" s="394" t="s">
        <v>514</v>
      </c>
      <c r="DF207" s="394" t="s">
        <v>1876</v>
      </c>
      <c r="DG207" s="394" t="s">
        <v>1877</v>
      </c>
      <c r="DH207" s="397">
        <v>40000000</v>
      </c>
      <c r="DI207" s="394" t="s">
        <v>182</v>
      </c>
      <c r="DJ207" s="643" t="s">
        <v>628</v>
      </c>
      <c r="DK207" s="643" t="s">
        <v>1745</v>
      </c>
      <c r="DL207" s="394" t="s">
        <v>279</v>
      </c>
      <c r="DM207" s="394" t="s">
        <v>1878</v>
      </c>
      <c r="DN207" s="390"/>
      <c r="DO207" s="654"/>
      <c r="DP207" s="390"/>
      <c r="DQ207" s="390"/>
      <c r="DR207" s="390"/>
      <c r="DS207" s="390"/>
      <c r="DT207" s="646"/>
      <c r="DU207" s="390"/>
      <c r="DV207" s="390"/>
      <c r="DW207" s="390"/>
      <c r="DX207" s="390"/>
      <c r="DY207" s="646"/>
      <c r="DZ207" s="829"/>
      <c r="EA207" s="390"/>
      <c r="EB207" s="390"/>
      <c r="EC207" s="647"/>
      <c r="ED207" s="647"/>
      <c r="EE207" s="647"/>
      <c r="EF207" s="647"/>
      <c r="EG207" s="647"/>
      <c r="EH207" s="390"/>
      <c r="EI207" s="647"/>
      <c r="EJ207" s="647"/>
      <c r="EK207" s="68"/>
      <c r="EL207" s="91" t="str">
        <f t="shared" si="39"/>
        <v>No aplica, no hay meta</v>
      </c>
      <c r="EM207" s="83" t="str">
        <f t="shared" si="40"/>
        <v>No se reportó avance</v>
      </c>
      <c r="EN207" s="646"/>
      <c r="EO207" s="69" t="str">
        <f t="shared" si="44"/>
        <v>Gestión</v>
      </c>
      <c r="EP207" s="69" t="str">
        <f t="shared" si="45"/>
        <v>6</v>
      </c>
    </row>
    <row r="208" spans="1:146" s="69" customFormat="1" ht="150" customHeight="1">
      <c r="A208" s="377" t="s">
        <v>1718</v>
      </c>
      <c r="B208" s="378" t="s">
        <v>1719</v>
      </c>
      <c r="C208" s="379" t="s">
        <v>1720</v>
      </c>
      <c r="D208" s="380" t="s">
        <v>1721</v>
      </c>
      <c r="E208" s="380" t="s">
        <v>1854</v>
      </c>
      <c r="F208" s="439" t="s">
        <v>182</v>
      </c>
      <c r="G208" s="377" t="s">
        <v>182</v>
      </c>
      <c r="H208" s="377" t="s">
        <v>1938</v>
      </c>
      <c r="I208" s="377" t="s">
        <v>728</v>
      </c>
      <c r="J208" s="377" t="s">
        <v>1723</v>
      </c>
      <c r="K208" s="377" t="s">
        <v>182</v>
      </c>
      <c r="L208" s="382">
        <v>7</v>
      </c>
      <c r="M208" s="382" t="s">
        <v>1939</v>
      </c>
      <c r="N208" s="382" t="s">
        <v>1940</v>
      </c>
      <c r="O208" s="382" t="s">
        <v>1941</v>
      </c>
      <c r="P208" s="382" t="s">
        <v>200</v>
      </c>
      <c r="Q208" s="440" t="s">
        <v>233</v>
      </c>
      <c r="R208" s="383">
        <v>1</v>
      </c>
      <c r="S208" s="382" t="s">
        <v>234</v>
      </c>
      <c r="T208" s="436">
        <v>44927</v>
      </c>
      <c r="U208" s="384">
        <v>46387</v>
      </c>
      <c r="V208" s="378" t="s">
        <v>182</v>
      </c>
      <c r="W208" s="386">
        <v>4</v>
      </c>
      <c r="X208" s="386">
        <v>6</v>
      </c>
      <c r="Y208" s="386">
        <v>8</v>
      </c>
      <c r="Z208" s="386">
        <f>+W208+X208+Y208</f>
        <v>18</v>
      </c>
      <c r="AA208" s="386">
        <v>0</v>
      </c>
      <c r="AB208" s="386">
        <v>0</v>
      </c>
      <c r="AC208" s="386">
        <v>2</v>
      </c>
      <c r="AD208" s="386">
        <v>1</v>
      </c>
      <c r="AE208" s="386">
        <v>3</v>
      </c>
      <c r="AF208" s="386">
        <v>35</v>
      </c>
      <c r="AG208" s="386">
        <v>105</v>
      </c>
      <c r="AH208" s="386">
        <v>105</v>
      </c>
      <c r="AI208" s="386">
        <v>76</v>
      </c>
      <c r="AJ208" s="386">
        <f>+SUM(AF208:AI208)</f>
        <v>321</v>
      </c>
      <c r="AK208" s="388">
        <f>SUM(CZ208:CZ210)</f>
        <v>8</v>
      </c>
      <c r="AL208" s="388">
        <f t="shared" ref="AL208:AN208" si="52">SUM(DA208:DA210)</f>
        <v>107</v>
      </c>
      <c r="AM208" s="388">
        <f t="shared" si="52"/>
        <v>107</v>
      </c>
      <c r="AN208" s="388">
        <f t="shared" si="52"/>
        <v>107</v>
      </c>
      <c r="AO208" s="388">
        <f>SUM(AK208:AN208)</f>
        <v>329</v>
      </c>
      <c r="AP208" s="388">
        <f>+Z208+AE208+AJ208+AO208</f>
        <v>671</v>
      </c>
      <c r="AQ208" s="390" t="s">
        <v>182</v>
      </c>
      <c r="AR208" s="389" t="s">
        <v>1942</v>
      </c>
      <c r="AS208" s="390">
        <v>4</v>
      </c>
      <c r="AT208" s="389" t="s">
        <v>1943</v>
      </c>
      <c r="AU208" s="390">
        <v>6</v>
      </c>
      <c r="AV208" s="389" t="s">
        <v>1944</v>
      </c>
      <c r="AW208" s="390">
        <v>8</v>
      </c>
      <c r="AX208" s="644" t="s">
        <v>1945</v>
      </c>
      <c r="AY208" s="391">
        <f>+AW208+AU208+AS208</f>
        <v>18</v>
      </c>
      <c r="AZ208" s="652" t="s">
        <v>1946</v>
      </c>
      <c r="BA208" s="404" t="s">
        <v>182</v>
      </c>
      <c r="BB208" s="646" t="s">
        <v>1947</v>
      </c>
      <c r="BC208" s="174" t="s">
        <v>182</v>
      </c>
      <c r="BD208" s="646" t="s">
        <v>1948</v>
      </c>
      <c r="BE208" s="174">
        <v>2</v>
      </c>
      <c r="BF208" s="653" t="s">
        <v>1949</v>
      </c>
      <c r="BG208" s="404">
        <v>1</v>
      </c>
      <c r="BH208" s="404" t="s">
        <v>1950</v>
      </c>
      <c r="BI208" s="404">
        <v>3</v>
      </c>
      <c r="BJ208" s="404" t="s">
        <v>1951</v>
      </c>
      <c r="BK208" s="390">
        <f>SUM(DN208+DN209)</f>
        <v>0</v>
      </c>
      <c r="BL208" s="390" t="s">
        <v>1952</v>
      </c>
      <c r="BM208" s="390">
        <f>51+45+58</f>
        <v>154</v>
      </c>
      <c r="BN208" s="390" t="s">
        <v>1953</v>
      </c>
      <c r="BO208" s="390">
        <f>SUM(DX208+DX209)</f>
        <v>0</v>
      </c>
      <c r="BP208" s="390" t="s">
        <v>1954</v>
      </c>
      <c r="BQ208" s="390"/>
      <c r="BR208" s="654"/>
      <c r="BS208" s="390">
        <f>+BO208+BM208+BK208</f>
        <v>154</v>
      </c>
      <c r="BT208" s="390"/>
      <c r="BU208" s="390"/>
      <c r="BV208" s="390"/>
      <c r="BW208" s="390"/>
      <c r="BX208" s="390"/>
      <c r="BY208" s="390"/>
      <c r="BZ208" s="390"/>
      <c r="CA208" s="390"/>
      <c r="CB208" s="390"/>
      <c r="CC208" s="390"/>
      <c r="CD208" s="390"/>
      <c r="CE208" s="391">
        <v>428</v>
      </c>
      <c r="CF208" s="647"/>
      <c r="CG208" s="392">
        <f>SUM(DH208:DH210)</f>
        <v>276744000</v>
      </c>
      <c r="CH208" s="393"/>
      <c r="CI208" s="393"/>
      <c r="CJ208" s="83">
        <f t="shared" si="42"/>
        <v>0</v>
      </c>
      <c r="CK208" s="83">
        <f t="shared" si="43"/>
        <v>0</v>
      </c>
      <c r="CL208" s="83" t="str">
        <f t="shared" si="36"/>
        <v>No se reportó avance</v>
      </c>
      <c r="CM208" s="89" t="str">
        <f t="shared" si="37"/>
        <v>No se reportó avance</v>
      </c>
      <c r="CN208" s="89">
        <f t="shared" si="38"/>
        <v>0.63785394932935913</v>
      </c>
      <c r="CO208" s="394" t="s">
        <v>1384</v>
      </c>
      <c r="CP208" s="394" t="s">
        <v>1955</v>
      </c>
      <c r="CQ208" s="394" t="s">
        <v>1956</v>
      </c>
      <c r="CR208" s="394" t="s">
        <v>1957</v>
      </c>
      <c r="CS208" s="394" t="s">
        <v>1958</v>
      </c>
      <c r="CT208" s="394" t="s">
        <v>200</v>
      </c>
      <c r="CU208" s="394" t="s">
        <v>233</v>
      </c>
      <c r="CV208" s="394">
        <v>13</v>
      </c>
      <c r="CW208" s="394" t="s">
        <v>234</v>
      </c>
      <c r="CX208" s="395">
        <v>46037</v>
      </c>
      <c r="CY208" s="395">
        <v>46387</v>
      </c>
      <c r="CZ208" s="396">
        <v>5</v>
      </c>
      <c r="DA208" s="396">
        <v>5</v>
      </c>
      <c r="DB208" s="396">
        <v>5</v>
      </c>
      <c r="DC208" s="396">
        <v>5</v>
      </c>
      <c r="DD208" s="391">
        <f t="shared" si="50"/>
        <v>20</v>
      </c>
      <c r="DE208" s="394" t="s">
        <v>514</v>
      </c>
      <c r="DF208" s="394" t="s">
        <v>1876</v>
      </c>
      <c r="DG208" s="394" t="s">
        <v>1877</v>
      </c>
      <c r="DH208" s="397">
        <v>72744000</v>
      </c>
      <c r="DI208" s="394" t="s">
        <v>182</v>
      </c>
      <c r="DJ208" s="643" t="s">
        <v>628</v>
      </c>
      <c r="DK208" s="643" t="s">
        <v>1745</v>
      </c>
      <c r="DL208" s="394" t="s">
        <v>279</v>
      </c>
      <c r="DM208" s="394" t="s">
        <v>1878</v>
      </c>
      <c r="DN208" s="390"/>
      <c r="DO208" s="654"/>
      <c r="DP208" s="830"/>
      <c r="DQ208" s="390"/>
      <c r="DR208" s="390"/>
      <c r="DS208" s="390"/>
      <c r="DT208" s="646"/>
      <c r="DU208" s="406"/>
      <c r="DV208" s="390"/>
      <c r="DW208" s="390"/>
      <c r="DX208" s="390"/>
      <c r="DY208" s="646"/>
      <c r="DZ208" s="829"/>
      <c r="EA208" s="390"/>
      <c r="EB208" s="390"/>
      <c r="EC208" s="647"/>
      <c r="ED208" s="647"/>
      <c r="EE208" s="647"/>
      <c r="EF208" s="647"/>
      <c r="EG208" s="647"/>
      <c r="EH208" s="390"/>
      <c r="EI208" s="647"/>
      <c r="EJ208" s="647"/>
      <c r="EK208" s="68"/>
      <c r="EL208" s="91" t="str">
        <f t="shared" si="39"/>
        <v>No se reportó avance</v>
      </c>
      <c r="EM208" s="83" t="str">
        <f t="shared" si="40"/>
        <v>No se reportó avance</v>
      </c>
      <c r="EN208" s="646"/>
      <c r="EO208" s="69" t="str">
        <f t="shared" si="44"/>
        <v>Gestión</v>
      </c>
      <c r="EP208" s="69" t="str">
        <f t="shared" si="45"/>
        <v>6</v>
      </c>
    </row>
    <row r="209" spans="1:146" ht="150" customHeight="1">
      <c r="A209" s="390" t="s">
        <v>1718</v>
      </c>
      <c r="B209" s="398" t="s">
        <v>1719</v>
      </c>
      <c r="C209" s="399" t="s">
        <v>1720</v>
      </c>
      <c r="D209" s="400" t="s">
        <v>1721</v>
      </c>
      <c r="E209" s="400" t="s">
        <v>1854</v>
      </c>
      <c r="F209" s="390" t="s">
        <v>182</v>
      </c>
      <c r="G209" s="390" t="s">
        <v>182</v>
      </c>
      <c r="H209" s="390" t="s">
        <v>1900</v>
      </c>
      <c r="I209" s="390" t="s">
        <v>728</v>
      </c>
      <c r="J209" s="390" t="s">
        <v>1723</v>
      </c>
      <c r="K209" s="390" t="s">
        <v>182</v>
      </c>
      <c r="L209" s="402">
        <v>7</v>
      </c>
      <c r="M209" s="390" t="s">
        <v>1939</v>
      </c>
      <c r="N209" s="390" t="s">
        <v>1940</v>
      </c>
      <c r="O209" s="390" t="s">
        <v>1941</v>
      </c>
      <c r="P209" s="390" t="s">
        <v>200</v>
      </c>
      <c r="Q209" s="390" t="s">
        <v>162</v>
      </c>
      <c r="R209" s="398">
        <v>1</v>
      </c>
      <c r="S209" s="390" t="s">
        <v>234</v>
      </c>
      <c r="T209" s="437">
        <v>44927</v>
      </c>
      <c r="U209" s="403">
        <v>46387</v>
      </c>
      <c r="V209" s="391"/>
      <c r="W209" s="391"/>
      <c r="X209" s="391"/>
      <c r="Y209" s="391"/>
      <c r="Z209" s="391"/>
      <c r="AA209" s="391"/>
      <c r="AB209" s="391"/>
      <c r="AC209" s="391"/>
      <c r="AD209" s="391"/>
      <c r="AE209" s="391"/>
      <c r="AF209" s="391"/>
      <c r="AG209" s="391"/>
      <c r="AH209" s="391"/>
      <c r="AI209" s="391"/>
      <c r="AJ209" s="391"/>
      <c r="AK209" s="396"/>
      <c r="AL209" s="396"/>
      <c r="AM209" s="396"/>
      <c r="AN209" s="396"/>
      <c r="AO209" s="396"/>
      <c r="AP209" s="396"/>
      <c r="AQ209" s="390"/>
      <c r="AR209" s="390"/>
      <c r="AS209" s="390"/>
      <c r="AT209" s="390"/>
      <c r="AU209" s="390"/>
      <c r="AV209" s="390"/>
      <c r="AW209" s="390"/>
      <c r="AX209" s="390"/>
      <c r="AY209" s="390"/>
      <c r="AZ209" s="646"/>
      <c r="BA209" s="390"/>
      <c r="BB209" s="646"/>
      <c r="BC209" s="390"/>
      <c r="BD209" s="646"/>
      <c r="BE209" s="390"/>
      <c r="BF209" s="390"/>
      <c r="BG209" s="390"/>
      <c r="BH209" s="390"/>
      <c r="BI209" s="390"/>
      <c r="BJ209" s="390"/>
      <c r="BK209" s="390"/>
      <c r="BL209" s="390"/>
      <c r="BM209" s="390"/>
      <c r="BN209" s="390"/>
      <c r="BO209" s="390"/>
      <c r="BP209" s="390"/>
      <c r="BQ209" s="647"/>
      <c r="BR209" s="647"/>
      <c r="BS209" s="390"/>
      <c r="BT209" s="390"/>
      <c r="BU209" s="390"/>
      <c r="BV209" s="390"/>
      <c r="BW209" s="390"/>
      <c r="BX209" s="390"/>
      <c r="BY209" s="390"/>
      <c r="BZ209" s="390"/>
      <c r="CA209" s="390"/>
      <c r="CB209" s="390"/>
      <c r="CC209" s="390"/>
      <c r="CD209" s="390"/>
      <c r="CE209" s="390"/>
      <c r="CF209" s="647"/>
      <c r="CG209" s="393"/>
      <c r="CH209" s="393"/>
      <c r="CI209" s="393"/>
      <c r="CJ209" s="83" t="str">
        <f t="shared" si="42"/>
        <v>No aplica</v>
      </c>
      <c r="CK209" s="83" t="str">
        <f t="shared" si="43"/>
        <v>No aplica</v>
      </c>
      <c r="CL209" s="83" t="str">
        <f t="shared" ref="CL209:CL272" si="53">+IFERROR(IF(M209=M208,"No requiere reporte",IF(OR(AK209=0,AK209=""),"No aplica, no hay meta",IF(AK209="NA","No aplica, no hay meta",IF(BU209="","No se reportó avance",IF(OR(AND(Q209="Capacidad",OR(R209="",R209=0,R209="NA")),AND(Q209="Reducción",OR(R209="",R209=0,R209="NA"))),"Se requiere valor de línea base para este tipo de acumulación",IF(OR(AND(Q209="Flujo",OR(R209&lt;&gt;"",R209&lt;&gt;0,R209&lt;&gt;"NA"),BU209="NA"),AND(Q209="Stock",OR(R209&lt;&gt;"",R209&lt;&gt;0,R209&lt;&gt;"NA"),BU209="NA")),"No aplica",IF(Q209="Flujo",IF(BU209/AK209&gt;1,1.00001,BU209/AK209),IF(Q209="Stock",IF(BU209/AK209&gt;1,1.00001,BU209/AK209),IF(Q209="Acumulado",IF((BU209)/AK209&gt;1,1.00001,(BU209)/AK209),IF(Q209="Capacidad",IF(((BU209-R209)/(AK209-R209))&gt;1,1.00001,((BU209-R209)/(AK209-R209))),IF(Q209="Reducción",IF(((R209-BU209)/(R209-BU209))&gt;1,1.00001,((R209-BU209)/(R209-BU209))),"Revisar acumulación"))))))))))),"Revisar fórmula")</f>
        <v>No requiere reporte</v>
      </c>
      <c r="CM209" s="89" t="str">
        <f t="shared" ref="CM209:CM272" si="54">+IFERROR(IF(M209=M208,"No requiere reporte",IF(OR(AO209=0,AO209=""),"No aplica, no hay meta",IF(AO209="NA","No aplica, no hay meta",IF(CC209="","No se reportó avance",IF(OR(AND(Q209="Capacidad",OR(R209="",R209=0,R209="NA")),AND(Q209="Reducción",OR(R209="",R209=0,R209="NA"))),"Se requiere valor de línea base para este tipo de acumulación",IF(OR(AND(Q209="Flujo",OR(R209&lt;&gt;"",R209&lt;&gt;0,R209&lt;&gt;"NA"),CC209="NA"),AND(Q209="Stock",OR(R209&lt;&gt;"",R209&lt;&gt;0,R209&lt;&gt;"NA"),CC209="NA")),"No aplica",IF(Q209="Flujo",IF(CC209/AO209&gt;1,1.00001,CC209/AO209),IF(Q209="Stock",IF(CC209/AO209&gt;1,1.00001,CC209/AO209),IF(Q209="Acumulado",IF((CC209)/AO209&gt;1,1.00001,(CC209)/AO209),IF(Q209="Capacidad",IF(((CC209-R209)/(AO209-R209))&gt;1,1.00001,((CC209-R209)/(AO209-R209))),IF(Q209="Reducción",IF(((R209-CC209)/(R209-CC209))&gt;1,1.00001,((R209-CC209)/(R209-CC209))),"Revisar acumulación"))))))))))),"Revisar fórmula")</f>
        <v>No requiere reporte</v>
      </c>
      <c r="CN209" s="89" t="str">
        <f t="shared" ref="CN209:CN272" si="55">+IFERROR(IF(M209=M208,"No requiere reporte",IF(OR(AP209=0,AP209=""),"No aplica, no hay meta",IF(AP209="NA","No aplica, no hay meta",IF(CE209="","No se reportó avance",IF(OR(AND(Q209="Capacidad",OR(R209="",R209=0,R209="NA")),AND(Q209="Reducción",OR(R209="",R209=0,R209="NA"))),"Se requiere valor de línea base para este tipo de acumulación",IF(OR(AND(Q209="Flujo",OR(R209&lt;&gt;"",R209&lt;&gt;0,R209&lt;&gt;"NA"),CE209="NA"),AND(Q209="Stock",OR(R209&lt;&gt;"",R209&lt;&gt;0,R209&lt;&gt;"NA"),CE209="NA")),"No aplica",IF(Q209="Flujo",IF(CE209/AP209&gt;1,1.00001,CE209/AP209),IF(Q209="Stock",IF(CE209/AP209&gt;1,1.00001,CE209/AP209),IF(Q209="Acumulado",IF((CE209)/AP209&gt;1,1.00001,(CE209)/AP209),IF(Q209="Capacidad",IF(((CE209-R209)/(AP209-R209))&gt;1,1.00001,((CE209-R209)/(AP209-R209))),IF(Q209="Reducción",IF(((R209-CE209)/(R209-CE209))&gt;1,1.00001,((R209-CE209)/(R209-CE209))),"Revisar acumulación"))))))))))),"Revisar fórmula")</f>
        <v>No requiere reporte</v>
      </c>
      <c r="CO209" s="394" t="s">
        <v>1391</v>
      </c>
      <c r="CP209" s="394" t="s">
        <v>1959</v>
      </c>
      <c r="CQ209" s="394" t="s">
        <v>474</v>
      </c>
      <c r="CR209" s="394" t="s">
        <v>283</v>
      </c>
      <c r="CS209" s="394" t="s">
        <v>1960</v>
      </c>
      <c r="CT209" s="394" t="s">
        <v>161</v>
      </c>
      <c r="CU209" s="394" t="s">
        <v>233</v>
      </c>
      <c r="CV209" s="394">
        <v>395</v>
      </c>
      <c r="CW209" s="394" t="s">
        <v>234</v>
      </c>
      <c r="CX209" s="395">
        <v>46037</v>
      </c>
      <c r="CY209" s="395">
        <v>46387</v>
      </c>
      <c r="CZ209" s="396">
        <v>0</v>
      </c>
      <c r="DA209" s="396">
        <v>100</v>
      </c>
      <c r="DB209" s="396">
        <v>100</v>
      </c>
      <c r="DC209" s="396">
        <v>100</v>
      </c>
      <c r="DD209" s="391">
        <f t="shared" si="50"/>
        <v>300</v>
      </c>
      <c r="DE209" s="394" t="s">
        <v>514</v>
      </c>
      <c r="DF209" s="394" t="s">
        <v>1876</v>
      </c>
      <c r="DG209" s="394" t="s">
        <v>1877</v>
      </c>
      <c r="DH209" s="397">
        <v>134000000</v>
      </c>
      <c r="DI209" s="394" t="s">
        <v>182</v>
      </c>
      <c r="DJ209" s="643" t="s">
        <v>628</v>
      </c>
      <c r="DK209" s="643" t="s">
        <v>1745</v>
      </c>
      <c r="DL209" s="394" t="s">
        <v>279</v>
      </c>
      <c r="DM209" s="394" t="s">
        <v>1878</v>
      </c>
      <c r="DN209" s="390"/>
      <c r="DO209" s="654"/>
      <c r="DP209" s="830"/>
      <c r="DQ209" s="390"/>
      <c r="DR209" s="390"/>
      <c r="DS209" s="390"/>
      <c r="DT209" s="646"/>
      <c r="DU209" s="406"/>
      <c r="DV209" s="390"/>
      <c r="DW209" s="390"/>
      <c r="DX209" s="390"/>
      <c r="DY209" s="646"/>
      <c r="DZ209" s="829"/>
      <c r="EA209" s="390"/>
      <c r="EB209" s="390"/>
      <c r="EC209" s="647"/>
      <c r="ED209" s="647"/>
      <c r="EE209" s="647"/>
      <c r="EF209" s="647"/>
      <c r="EG209" s="647"/>
      <c r="EH209" s="390"/>
      <c r="EI209" s="647"/>
      <c r="EJ209" s="647"/>
      <c r="EK209" s="68"/>
      <c r="EL209" s="91" t="str">
        <f t="shared" ref="EL209:EL272" si="56">+IFERROR(IF(CP209=CP208,"No requiere reporte",IF(OR(CZ209=0,CZ209=""),"No aplica, no hay meta",IF(CZ209="NA","No aplica, no hay meta",IF(DN209="","No se reportó avance",IF(OR(AND(CU209="Capacidad",OR(CV209="",CV209=0,CV209="NA")),AND(CU209="Reducción",OR(CV209="",CV209=0,CV209="NA"))),"Se requiere valor de línea base para este tipo de acumulación",IF(OR(AND(CU209="Flujo",OR(CV209&lt;&gt;"",CV209&lt;&gt;0,CV209&lt;&gt;"NA"),DN209="NA"),AND(CU209="Stock",OR(CV209&lt;&gt;"",CV209&lt;&gt;0,CV209&lt;&gt;"NA"),DN209="NA")),"No aplica",IF(CU209="Flujo",IF(DN209/CZ209&gt;1,1.00001,DN209/CZ209),IF(CU209="Stock",IF(DN209/CZ209&gt;1,1.00001,DN209/CZ209),IF(CU209="Acumulado",IF((DN209)/CZ209&gt;1,1.00001,(DN209)/CZ209),IF(CU209="Capacidad",IF(((DN209-CV209)/(CZ209-CV209))&gt;1,1.00001,((DN209-CV209)/(CZ209-CV209))),IF(CU209="Reducción",IF(((CV209-DN209)/(CV209-DN209))&gt;1,1.00001,((CV209-DN209)/(CV209-DN209))),"Revisar acumulación"))))))))))),"Revisar fórmula")</f>
        <v>No aplica, no hay meta</v>
      </c>
      <c r="EM209" s="83" t="str">
        <f t="shared" ref="EM209:EM272" si="57">+IFERROR(IF(CP209=CP208,"No requiere reporte",IF(OR(DD209=0,DD209=""),"No aplica, no hay meta",IF(DD209="NA","No aplica, no hay meta",IF(EH209="","No se reportó avance",IF(OR(AND(CU209="Capacidad",OR(CV209="",CV209=0,CV209="NA")),AND(CU209="Reducción",OR(CV209="",CV209=0,CV209="NA"))),"Se requiere valor de línea base para este tipo de acumulación",IF(OR(AND(CU209="Flujo",OR(CV209&lt;&gt;"",CV209&lt;&gt;0,CV209&lt;&gt;"NA"),EH209="NA"),AND(CU209="Stock",OR(CV209&lt;&gt;"",CV209&lt;&gt;0,CV209&lt;&gt;"NA"),CV209="NA")),"No aplica",IF(CU209="Flujo",IF(EH209/DD209&gt;1,1.00001,EH209/DD209),IF(CU209="Stock",IF(EH209/DD209&gt;1,1.00001,EH209/DD209),IF(CU209="Acumulado",IF((EH209)/DD209&gt;1,1.00001,(EH209)/DD209),IF(CU209="Capacidad",IF(((EH209-CV209)/(DD209-CV209))&gt;1,1.00001,((EH209-CV209)/(DD209-CV209))),IF(CU209="Reducción",IF(((CV209-EH209)/(CV209-DD209))&gt;1,1.00001,((CV209-EH209)/(CV209-DD209))),"Revisar acumulación"))))))))))),"Revisar fórmula")</f>
        <v>No se reportó avance</v>
      </c>
      <c r="EN209" s="646"/>
      <c r="EO209" s="69" t="str">
        <f t="shared" si="44"/>
        <v>Gestión</v>
      </c>
      <c r="EP209" s="69" t="str">
        <f t="shared" si="45"/>
        <v>6</v>
      </c>
    </row>
    <row r="210" spans="1:146" ht="150" customHeight="1">
      <c r="A210" s="390" t="s">
        <v>1718</v>
      </c>
      <c r="B210" s="398" t="s">
        <v>1719</v>
      </c>
      <c r="C210" s="399" t="s">
        <v>1720</v>
      </c>
      <c r="D210" s="400" t="s">
        <v>1721</v>
      </c>
      <c r="E210" s="400" t="s">
        <v>1854</v>
      </c>
      <c r="F210" s="390" t="s">
        <v>182</v>
      </c>
      <c r="G210" s="390" t="s">
        <v>182</v>
      </c>
      <c r="H210" s="390" t="s">
        <v>1879</v>
      </c>
      <c r="I210" s="390" t="s">
        <v>728</v>
      </c>
      <c r="J210" s="390" t="s">
        <v>1723</v>
      </c>
      <c r="K210" s="390" t="s">
        <v>182</v>
      </c>
      <c r="L210" s="402">
        <v>7</v>
      </c>
      <c r="M210" s="390" t="s">
        <v>1939</v>
      </c>
      <c r="N210" s="390" t="s">
        <v>1940</v>
      </c>
      <c r="O210" s="390" t="s">
        <v>1941</v>
      </c>
      <c r="P210" s="390" t="s">
        <v>200</v>
      </c>
      <c r="Q210" s="390" t="s">
        <v>162</v>
      </c>
      <c r="R210" s="398">
        <v>1</v>
      </c>
      <c r="S210" s="390" t="s">
        <v>234</v>
      </c>
      <c r="T210" s="437">
        <v>44927</v>
      </c>
      <c r="U210" s="403">
        <v>46387</v>
      </c>
      <c r="V210" s="391"/>
      <c r="W210" s="391"/>
      <c r="X210" s="391"/>
      <c r="Y210" s="391"/>
      <c r="Z210" s="391"/>
      <c r="AA210" s="391"/>
      <c r="AB210" s="391"/>
      <c r="AC210" s="391"/>
      <c r="AD210" s="391"/>
      <c r="AE210" s="391"/>
      <c r="AF210" s="391"/>
      <c r="AG210" s="391"/>
      <c r="AH210" s="391"/>
      <c r="AI210" s="391"/>
      <c r="AJ210" s="391"/>
      <c r="AK210" s="396"/>
      <c r="AL210" s="396"/>
      <c r="AM210" s="396"/>
      <c r="AN210" s="396"/>
      <c r="AO210" s="396"/>
      <c r="AP210" s="396"/>
      <c r="AQ210" s="390"/>
      <c r="AR210" s="390"/>
      <c r="AS210" s="390"/>
      <c r="AT210" s="390"/>
      <c r="AU210" s="390"/>
      <c r="AV210" s="390"/>
      <c r="AW210" s="390"/>
      <c r="AX210" s="390"/>
      <c r="AY210" s="390"/>
      <c r="AZ210" s="646"/>
      <c r="BA210" s="390"/>
      <c r="BB210" s="646"/>
      <c r="BC210" s="390"/>
      <c r="BD210" s="646"/>
      <c r="BE210" s="390"/>
      <c r="BF210" s="390"/>
      <c r="BG210" s="390"/>
      <c r="BH210" s="390"/>
      <c r="BI210" s="390"/>
      <c r="BJ210" s="390"/>
      <c r="BK210" s="390"/>
      <c r="BL210" s="390"/>
      <c r="BM210" s="390"/>
      <c r="BN210" s="390"/>
      <c r="BO210" s="390"/>
      <c r="BP210" s="390"/>
      <c r="BQ210" s="647"/>
      <c r="BR210" s="647"/>
      <c r="BS210" s="390"/>
      <c r="BT210" s="390"/>
      <c r="BU210" s="390"/>
      <c r="BV210" s="390"/>
      <c r="BW210" s="390"/>
      <c r="BX210" s="390"/>
      <c r="BY210" s="390"/>
      <c r="BZ210" s="390"/>
      <c r="CA210" s="390"/>
      <c r="CB210" s="390"/>
      <c r="CC210" s="390"/>
      <c r="CD210" s="390"/>
      <c r="CE210" s="390"/>
      <c r="CF210" s="647"/>
      <c r="CG210" s="393"/>
      <c r="CH210" s="393"/>
      <c r="CI210" s="393"/>
      <c r="CJ210" s="83" t="str">
        <f t="shared" si="42"/>
        <v>No aplica</v>
      </c>
      <c r="CK210" s="83" t="str">
        <f t="shared" si="43"/>
        <v>No aplica</v>
      </c>
      <c r="CL210" s="83" t="str">
        <f t="shared" si="53"/>
        <v>No requiere reporte</v>
      </c>
      <c r="CM210" s="89" t="str">
        <f t="shared" si="54"/>
        <v>No requiere reporte</v>
      </c>
      <c r="CN210" s="89" t="str">
        <f t="shared" si="55"/>
        <v>No requiere reporte</v>
      </c>
      <c r="CO210" s="394" t="s">
        <v>1961</v>
      </c>
      <c r="CP210" s="394" t="s">
        <v>1962</v>
      </c>
      <c r="CQ210" s="394" t="s">
        <v>1963</v>
      </c>
      <c r="CR210" s="394" t="s">
        <v>1964</v>
      </c>
      <c r="CS210" s="658" t="s">
        <v>1965</v>
      </c>
      <c r="CT210" s="394" t="s">
        <v>161</v>
      </c>
      <c r="CU210" s="394" t="s">
        <v>233</v>
      </c>
      <c r="CV210" s="394" t="s">
        <v>182</v>
      </c>
      <c r="CW210" s="394" t="s">
        <v>234</v>
      </c>
      <c r="CX210" s="395">
        <v>46037</v>
      </c>
      <c r="CY210" s="395">
        <v>46387</v>
      </c>
      <c r="CZ210" s="396">
        <v>3</v>
      </c>
      <c r="DA210" s="396">
        <v>2</v>
      </c>
      <c r="DB210" s="396">
        <v>2</v>
      </c>
      <c r="DC210" s="396">
        <v>2</v>
      </c>
      <c r="DD210" s="391">
        <f t="shared" si="50"/>
        <v>9</v>
      </c>
      <c r="DE210" s="394" t="s">
        <v>514</v>
      </c>
      <c r="DF210" s="394" t="s">
        <v>1876</v>
      </c>
      <c r="DG210" s="394" t="s">
        <v>1877</v>
      </c>
      <c r="DH210" s="397">
        <v>70000000</v>
      </c>
      <c r="DI210" s="394" t="s">
        <v>182</v>
      </c>
      <c r="DJ210" s="643" t="s">
        <v>628</v>
      </c>
      <c r="DK210" s="643" t="s">
        <v>1745</v>
      </c>
      <c r="DL210" s="394" t="s">
        <v>279</v>
      </c>
      <c r="DM210" s="394" t="s">
        <v>1878</v>
      </c>
      <c r="DN210" s="390"/>
      <c r="DO210" s="654"/>
      <c r="DP210" s="390"/>
      <c r="DQ210" s="390"/>
      <c r="DR210" s="390"/>
      <c r="DS210" s="390"/>
      <c r="DT210" s="646"/>
      <c r="DU210" s="390"/>
      <c r="DV210" s="390"/>
      <c r="DW210" s="390"/>
      <c r="DX210" s="390"/>
      <c r="DY210" s="646"/>
      <c r="DZ210" s="829"/>
      <c r="EA210" s="390"/>
      <c r="EB210" s="390"/>
      <c r="EC210" s="647"/>
      <c r="ED210" s="647"/>
      <c r="EE210" s="647"/>
      <c r="EF210" s="647"/>
      <c r="EG210" s="647"/>
      <c r="EH210" s="390"/>
      <c r="EI210" s="647"/>
      <c r="EJ210" s="647"/>
      <c r="EK210" s="68"/>
      <c r="EL210" s="91" t="str">
        <f t="shared" si="56"/>
        <v>No se reportó avance</v>
      </c>
      <c r="EM210" s="83" t="str">
        <f t="shared" si="57"/>
        <v>No se reportó avance</v>
      </c>
      <c r="EN210" s="646"/>
      <c r="EO210" s="69" t="str">
        <f t="shared" si="44"/>
        <v>Gestión</v>
      </c>
      <c r="EP210" s="69" t="str">
        <f t="shared" si="45"/>
        <v>6</v>
      </c>
    </row>
    <row r="211" spans="1:146" ht="150" hidden="1" customHeight="1">
      <c r="A211" s="241" t="s">
        <v>1718</v>
      </c>
      <c r="B211" s="240" t="s">
        <v>1719</v>
      </c>
      <c r="C211" s="240" t="s">
        <v>1966</v>
      </c>
      <c r="D211" s="417" t="s">
        <v>1967</v>
      </c>
      <c r="E211" s="417" t="s">
        <v>1968</v>
      </c>
      <c r="F211" s="241" t="s">
        <v>1969</v>
      </c>
      <c r="G211" s="241" t="s">
        <v>280</v>
      </c>
      <c r="H211" s="241" t="s">
        <v>1970</v>
      </c>
      <c r="I211" s="241" t="s">
        <v>728</v>
      </c>
      <c r="J211" s="241" t="s">
        <v>1723</v>
      </c>
      <c r="K211" s="434"/>
      <c r="L211" s="241">
        <v>8</v>
      </c>
      <c r="M211" s="241" t="s">
        <v>1971</v>
      </c>
      <c r="N211" s="241" t="s">
        <v>1972</v>
      </c>
      <c r="O211" s="241" t="s">
        <v>1973</v>
      </c>
      <c r="P211" s="241" t="s">
        <v>200</v>
      </c>
      <c r="Q211" s="241" t="s">
        <v>162</v>
      </c>
      <c r="R211" s="240">
        <v>1</v>
      </c>
      <c r="S211" s="241" t="s">
        <v>163</v>
      </c>
      <c r="T211" s="441">
        <v>44927</v>
      </c>
      <c r="U211" s="419">
        <v>46387</v>
      </c>
      <c r="V211" s="240">
        <v>1</v>
      </c>
      <c r="W211" s="240">
        <v>1</v>
      </c>
      <c r="X211" s="240">
        <v>1</v>
      </c>
      <c r="Y211" s="240">
        <v>1</v>
      </c>
      <c r="Z211" s="250"/>
      <c r="AA211" s="250"/>
      <c r="AB211" s="250"/>
      <c r="AC211" s="250"/>
      <c r="AD211" s="250"/>
      <c r="AE211" s="240">
        <v>1</v>
      </c>
      <c r="AF211" s="250"/>
      <c r="AG211" s="250"/>
      <c r="AH211" s="250"/>
      <c r="AI211" s="250"/>
      <c r="AJ211" s="240">
        <v>1</v>
      </c>
      <c r="AK211" s="442"/>
      <c r="AL211" s="442"/>
      <c r="AM211" s="442"/>
      <c r="AN211" s="442"/>
      <c r="AO211" s="443">
        <v>1</v>
      </c>
      <c r="AP211" s="443">
        <v>1</v>
      </c>
      <c r="AQ211" s="435">
        <f>14/14*100%</f>
        <v>1</v>
      </c>
      <c r="AR211" s="423" t="s">
        <v>1974</v>
      </c>
      <c r="AS211" s="240">
        <f>(2+8+6)/16*100%</f>
        <v>1</v>
      </c>
      <c r="AT211" s="423" t="s">
        <v>1975</v>
      </c>
      <c r="AU211" s="240">
        <f>(4+5+3)/12*100%</f>
        <v>1</v>
      </c>
      <c r="AV211" s="423" t="s">
        <v>1976</v>
      </c>
      <c r="AW211" s="444">
        <f>(4+3+5)/12*100%</f>
        <v>1</v>
      </c>
      <c r="AX211" s="424" t="s">
        <v>1977</v>
      </c>
      <c r="AY211" s="444">
        <f>54/54</f>
        <v>1</v>
      </c>
      <c r="AZ211" s="424" t="s">
        <v>1978</v>
      </c>
      <c r="BA211" s="241"/>
      <c r="BB211" s="416"/>
      <c r="BC211" s="241"/>
      <c r="BD211" s="416"/>
      <c r="BE211" s="241"/>
      <c r="BF211" s="241"/>
      <c r="BG211" s="241"/>
      <c r="BH211" s="241"/>
      <c r="BI211" s="241"/>
      <c r="BJ211" s="241"/>
      <c r="BK211" s="241"/>
      <c r="BL211" s="241"/>
      <c r="BM211" s="241"/>
      <c r="BN211" s="241"/>
      <c r="BO211" s="241"/>
      <c r="BP211" s="241"/>
      <c r="BQ211" s="426"/>
      <c r="BR211" s="426"/>
      <c r="BS211" s="241"/>
      <c r="BT211" s="241"/>
      <c r="BU211" s="241"/>
      <c r="BV211" s="241"/>
      <c r="BW211" s="241"/>
      <c r="BX211" s="241"/>
      <c r="BY211" s="241"/>
      <c r="BZ211" s="241"/>
      <c r="CA211" s="241"/>
      <c r="CB211" s="241"/>
      <c r="CC211" s="241"/>
      <c r="CD211" s="241"/>
      <c r="CE211" s="241"/>
      <c r="CF211" s="426"/>
      <c r="CG211" s="427"/>
      <c r="CH211" s="427"/>
      <c r="CI211" s="427"/>
      <c r="CJ211" s="160" t="str">
        <f t="shared" si="42"/>
        <v>No aplica</v>
      </c>
      <c r="CK211" s="160" t="str">
        <f t="shared" si="43"/>
        <v>No aplica</v>
      </c>
      <c r="CL211" s="83" t="str">
        <f t="shared" si="53"/>
        <v>No aplica, no hay meta</v>
      </c>
      <c r="CM211" s="89" t="str">
        <f t="shared" si="54"/>
        <v>No se reportó avance</v>
      </c>
      <c r="CN211" s="89" t="str">
        <f t="shared" si="55"/>
        <v>No se reportó avance</v>
      </c>
      <c r="CO211" s="428"/>
      <c r="CP211" s="429"/>
      <c r="CQ211" s="428"/>
      <c r="CR211" s="430"/>
      <c r="CS211" s="430"/>
      <c r="CT211" s="428"/>
      <c r="CU211" s="428"/>
      <c r="CV211" s="431"/>
      <c r="CW211" s="428"/>
      <c r="CX211" s="432"/>
      <c r="CY211" s="432"/>
      <c r="CZ211" s="428"/>
      <c r="DA211" s="428"/>
      <c r="DB211" s="428"/>
      <c r="DC211" s="428"/>
      <c r="DD211" s="250">
        <f t="shared" si="50"/>
        <v>0</v>
      </c>
      <c r="DE211" s="422"/>
      <c r="DF211" s="422"/>
      <c r="DG211" s="422"/>
      <c r="DH211" s="433"/>
      <c r="DI211" s="422" t="s">
        <v>182</v>
      </c>
      <c r="DJ211" s="636" t="s">
        <v>628</v>
      </c>
      <c r="DK211" s="636" t="s">
        <v>1745</v>
      </c>
      <c r="DL211" s="422" t="s">
        <v>279</v>
      </c>
      <c r="DM211" s="422"/>
      <c r="DN211" s="241"/>
      <c r="DO211" s="416"/>
      <c r="DP211" s="241"/>
      <c r="DQ211" s="241"/>
      <c r="DR211" s="241"/>
      <c r="DS211" s="241"/>
      <c r="DT211" s="416"/>
      <c r="DU211" s="241"/>
      <c r="DV211" s="241"/>
      <c r="DW211" s="241"/>
      <c r="DX211" s="241"/>
      <c r="DY211" s="416"/>
      <c r="DZ211" s="241"/>
      <c r="EA211" s="241"/>
      <c r="EB211" s="241"/>
      <c r="EC211" s="426"/>
      <c r="ED211" s="426"/>
      <c r="EE211" s="426"/>
      <c r="EF211" s="426"/>
      <c r="EG211" s="426"/>
      <c r="EH211" s="241"/>
      <c r="EI211" s="426"/>
      <c r="EJ211" s="426"/>
      <c r="EK211" s="434"/>
      <c r="EL211" s="91" t="str">
        <f t="shared" si="56"/>
        <v>No aplica, no hay meta</v>
      </c>
      <c r="EM211" s="83" t="str">
        <f t="shared" si="57"/>
        <v>No aplica, no hay meta</v>
      </c>
      <c r="EN211" s="416"/>
      <c r="EO211" s="69" t="str">
        <f t="shared" si="44"/>
        <v>Gestión</v>
      </c>
      <c r="EP211" s="69" t="str">
        <f t="shared" si="45"/>
        <v>6</v>
      </c>
    </row>
    <row r="212" spans="1:146" ht="150" customHeight="1">
      <c r="A212" s="377" t="s">
        <v>1718</v>
      </c>
      <c r="B212" s="378" t="s">
        <v>1719</v>
      </c>
      <c r="C212" s="379" t="s">
        <v>1720</v>
      </c>
      <c r="D212" s="380" t="s">
        <v>1721</v>
      </c>
      <c r="E212" s="381" t="s">
        <v>1979</v>
      </c>
      <c r="F212" s="377" t="s">
        <v>182</v>
      </c>
      <c r="G212" s="377" t="s">
        <v>1980</v>
      </c>
      <c r="H212" s="377" t="s">
        <v>1981</v>
      </c>
      <c r="I212" s="377" t="s">
        <v>728</v>
      </c>
      <c r="J212" s="377" t="s">
        <v>1723</v>
      </c>
      <c r="K212" s="377" t="s">
        <v>182</v>
      </c>
      <c r="L212" s="382">
        <v>9</v>
      </c>
      <c r="M212" s="382" t="s">
        <v>1982</v>
      </c>
      <c r="N212" s="382" t="s">
        <v>1983</v>
      </c>
      <c r="O212" s="382" t="s">
        <v>1984</v>
      </c>
      <c r="P212" s="382" t="s">
        <v>200</v>
      </c>
      <c r="Q212" s="382" t="s">
        <v>162</v>
      </c>
      <c r="R212" s="383">
        <v>1</v>
      </c>
      <c r="S212" s="382" t="s">
        <v>163</v>
      </c>
      <c r="T212" s="436">
        <v>44946</v>
      </c>
      <c r="U212" s="384">
        <v>46387</v>
      </c>
      <c r="V212" s="407">
        <v>1</v>
      </c>
      <c r="W212" s="407">
        <v>1</v>
      </c>
      <c r="X212" s="407">
        <v>1</v>
      </c>
      <c r="Y212" s="407">
        <v>1</v>
      </c>
      <c r="Z212" s="407">
        <v>1</v>
      </c>
      <c r="AA212" s="378">
        <v>1</v>
      </c>
      <c r="AB212" s="378">
        <v>1</v>
      </c>
      <c r="AC212" s="378">
        <v>1</v>
      </c>
      <c r="AD212" s="378">
        <v>1</v>
      </c>
      <c r="AE212" s="378">
        <v>1</v>
      </c>
      <c r="AF212" s="378">
        <v>1</v>
      </c>
      <c r="AG212" s="378">
        <v>1</v>
      </c>
      <c r="AH212" s="378">
        <v>1</v>
      </c>
      <c r="AI212" s="378">
        <v>1</v>
      </c>
      <c r="AJ212" s="378">
        <v>1</v>
      </c>
      <c r="AK212" s="378">
        <v>1</v>
      </c>
      <c r="AL212" s="378">
        <v>1</v>
      </c>
      <c r="AM212" s="378">
        <v>1</v>
      </c>
      <c r="AN212" s="378">
        <v>1</v>
      </c>
      <c r="AO212" s="409">
        <v>1</v>
      </c>
      <c r="AP212" s="409">
        <v>1</v>
      </c>
      <c r="AQ212" s="172">
        <f>(3+7+4)/14*100%</f>
        <v>1</v>
      </c>
      <c r="AR212" s="389" t="s">
        <v>1985</v>
      </c>
      <c r="AS212" s="398">
        <f>(8+7+11)/26*100%</f>
        <v>1</v>
      </c>
      <c r="AT212" s="389" t="s">
        <v>1986</v>
      </c>
      <c r="AU212" s="398">
        <f>(8+4+16)/28*100%</f>
        <v>1</v>
      </c>
      <c r="AV212" s="389" t="s">
        <v>1987</v>
      </c>
      <c r="AW212" s="410">
        <f>(10+7+4)/21*100%</f>
        <v>1</v>
      </c>
      <c r="AX212" s="644" t="s">
        <v>1988</v>
      </c>
      <c r="AY212" s="399">
        <f>21/21</f>
        <v>1</v>
      </c>
      <c r="AZ212" s="644" t="s">
        <v>1989</v>
      </c>
      <c r="BA212" s="172">
        <f>SUM(0+1+2)/3*100%</f>
        <v>1</v>
      </c>
      <c r="BB212" s="646" t="s">
        <v>1990</v>
      </c>
      <c r="BC212" s="172">
        <f>SUM(5+20+57)/82*100%</f>
        <v>1</v>
      </c>
      <c r="BD212" s="646" t="s">
        <v>1991</v>
      </c>
      <c r="BE212" s="172">
        <f>SUM(16+28+16)/60*100%</f>
        <v>1</v>
      </c>
      <c r="BF212" s="390" t="s">
        <v>1992</v>
      </c>
      <c r="BG212" s="172">
        <f>SUM(7+11+9)/27*100%</f>
        <v>1</v>
      </c>
      <c r="BH212" s="172" t="s">
        <v>1993</v>
      </c>
      <c r="BI212" s="172">
        <v>1</v>
      </c>
      <c r="BJ212" s="172" t="s">
        <v>1994</v>
      </c>
      <c r="BK212" s="172">
        <f>SUM(3)/4*100%</f>
        <v>0.75</v>
      </c>
      <c r="BL212" s="390" t="s">
        <v>1995</v>
      </c>
      <c r="BM212" s="398">
        <f>SUM(4)/5*100%</f>
        <v>0.8</v>
      </c>
      <c r="BN212" s="390" t="s">
        <v>1996</v>
      </c>
      <c r="BO212" s="398">
        <f>SUM(6)/6*100%</f>
        <v>1</v>
      </c>
      <c r="BP212" s="390" t="s">
        <v>1997</v>
      </c>
      <c r="BQ212" s="651"/>
      <c r="BR212" s="647"/>
      <c r="BS212" s="398">
        <v>0.64</v>
      </c>
      <c r="BT212" s="390"/>
      <c r="BU212" s="650"/>
      <c r="BV212" s="390"/>
      <c r="BW212" s="650"/>
      <c r="BX212" s="390"/>
      <c r="BY212" s="650"/>
      <c r="BZ212" s="390"/>
      <c r="CA212" s="650"/>
      <c r="CB212" s="390"/>
      <c r="CC212" s="650"/>
      <c r="CD212" s="390"/>
      <c r="CE212" s="172">
        <v>0.88</v>
      </c>
      <c r="CF212" s="647"/>
      <c r="CG212" s="392">
        <f>SUM(DH212:DH221)</f>
        <v>11316886144</v>
      </c>
      <c r="CH212" s="393"/>
      <c r="CI212" s="393"/>
      <c r="CJ212" s="83">
        <f t="shared" si="42"/>
        <v>0</v>
      </c>
      <c r="CK212" s="83">
        <f t="shared" si="43"/>
        <v>0</v>
      </c>
      <c r="CL212" s="83" t="str">
        <f t="shared" si="53"/>
        <v>No se reportó avance</v>
      </c>
      <c r="CM212" s="89" t="str">
        <f t="shared" si="54"/>
        <v>No se reportó avance</v>
      </c>
      <c r="CN212" s="89">
        <f t="shared" si="55"/>
        <v>0.88</v>
      </c>
      <c r="CO212" s="394" t="s">
        <v>1998</v>
      </c>
      <c r="CP212" s="394" t="s">
        <v>1999</v>
      </c>
      <c r="CQ212" s="394" t="s">
        <v>1907</v>
      </c>
      <c r="CR212" s="394" t="s">
        <v>2000</v>
      </c>
      <c r="CS212" s="394" t="s">
        <v>2001</v>
      </c>
      <c r="CT212" s="394" t="s">
        <v>200</v>
      </c>
      <c r="CU212" s="394" t="s">
        <v>233</v>
      </c>
      <c r="CV212" s="413">
        <v>1</v>
      </c>
      <c r="CW212" s="394" t="s">
        <v>163</v>
      </c>
      <c r="CX212" s="395">
        <v>46037</v>
      </c>
      <c r="CY212" s="395">
        <v>46387</v>
      </c>
      <c r="CZ212" s="414">
        <v>1</v>
      </c>
      <c r="DA212" s="414">
        <v>1</v>
      </c>
      <c r="DB212" s="414">
        <v>1</v>
      </c>
      <c r="DC212" s="414">
        <v>1</v>
      </c>
      <c r="DD212" s="438">
        <v>1</v>
      </c>
      <c r="DE212" s="394" t="s">
        <v>514</v>
      </c>
      <c r="DF212" s="394" t="s">
        <v>1743</v>
      </c>
      <c r="DG212" s="394" t="s">
        <v>1744</v>
      </c>
      <c r="DH212" s="445">
        <v>1807101298</v>
      </c>
      <c r="DI212" s="394" t="s">
        <v>182</v>
      </c>
      <c r="DJ212" s="643" t="s">
        <v>628</v>
      </c>
      <c r="DK212" s="643" t="s">
        <v>1745</v>
      </c>
      <c r="DL212" s="394" t="s">
        <v>279</v>
      </c>
      <c r="DM212" s="394" t="s">
        <v>1747</v>
      </c>
      <c r="DN212" s="172"/>
      <c r="DO212" s="654"/>
      <c r="DP212" s="830"/>
      <c r="DQ212" s="390"/>
      <c r="DR212" s="390"/>
      <c r="DS212" s="172"/>
      <c r="DT212" s="646"/>
      <c r="DU212" s="406"/>
      <c r="DV212" s="390"/>
      <c r="DW212" s="390"/>
      <c r="DX212" s="172"/>
      <c r="DY212" s="646"/>
      <c r="DZ212" s="829"/>
      <c r="EA212" s="390"/>
      <c r="EB212" s="390"/>
      <c r="EC212" s="651"/>
      <c r="ED212" s="647"/>
      <c r="EE212" s="647"/>
      <c r="EF212" s="647"/>
      <c r="EG212" s="647"/>
      <c r="EH212" s="172"/>
      <c r="EI212" s="647"/>
      <c r="EJ212" s="647"/>
      <c r="EK212" s="68"/>
      <c r="EL212" s="91" t="str">
        <f t="shared" si="56"/>
        <v>No se reportó avance</v>
      </c>
      <c r="EM212" s="83" t="str">
        <f t="shared" si="57"/>
        <v>No se reportó avance</v>
      </c>
      <c r="EN212" s="646" t="s">
        <v>4682</v>
      </c>
      <c r="EO212" s="69" t="str">
        <f t="shared" si="44"/>
        <v>Gestión</v>
      </c>
      <c r="EP212" s="69" t="str">
        <f t="shared" si="45"/>
        <v>6</v>
      </c>
    </row>
    <row r="213" spans="1:146" ht="150" customHeight="1">
      <c r="A213" s="390" t="s">
        <v>1718</v>
      </c>
      <c r="B213" s="398" t="s">
        <v>1719</v>
      </c>
      <c r="C213" s="399" t="s">
        <v>1720</v>
      </c>
      <c r="D213" s="400" t="s">
        <v>1721</v>
      </c>
      <c r="E213" s="401" t="s">
        <v>2002</v>
      </c>
      <c r="F213" s="390" t="s">
        <v>182</v>
      </c>
      <c r="G213" s="390" t="s">
        <v>182</v>
      </c>
      <c r="H213" s="390" t="s">
        <v>2003</v>
      </c>
      <c r="I213" s="390" t="s">
        <v>728</v>
      </c>
      <c r="J213" s="390" t="s">
        <v>1723</v>
      </c>
      <c r="K213" s="390" t="s">
        <v>182</v>
      </c>
      <c r="L213" s="402">
        <v>9</v>
      </c>
      <c r="M213" s="390" t="s">
        <v>1982</v>
      </c>
      <c r="N213" s="390" t="s">
        <v>1983</v>
      </c>
      <c r="O213" s="390" t="s">
        <v>1984</v>
      </c>
      <c r="P213" s="390" t="s">
        <v>200</v>
      </c>
      <c r="Q213" s="390" t="s">
        <v>162</v>
      </c>
      <c r="R213" s="398">
        <v>1</v>
      </c>
      <c r="S213" s="390" t="s">
        <v>163</v>
      </c>
      <c r="T213" s="437">
        <v>44946</v>
      </c>
      <c r="U213" s="403">
        <v>46387</v>
      </c>
      <c r="V213" s="391"/>
      <c r="W213" s="391"/>
      <c r="X213" s="391"/>
      <c r="Y213" s="391"/>
      <c r="Z213" s="391"/>
      <c r="AA213" s="391"/>
      <c r="AB213" s="391"/>
      <c r="AC213" s="391"/>
      <c r="AD213" s="391"/>
      <c r="AE213" s="391"/>
      <c r="AF213" s="391"/>
      <c r="AG213" s="391"/>
      <c r="AH213" s="391"/>
      <c r="AI213" s="391"/>
      <c r="AJ213" s="391"/>
      <c r="AK213" s="396"/>
      <c r="AL213" s="396"/>
      <c r="AM213" s="396"/>
      <c r="AN213" s="396"/>
      <c r="AO213" s="396"/>
      <c r="AP213" s="396"/>
      <c r="AQ213" s="390"/>
      <c r="AR213" s="390"/>
      <c r="AS213" s="390"/>
      <c r="AT213" s="390"/>
      <c r="AU213" s="390"/>
      <c r="AV213" s="390"/>
      <c r="AW213" s="390"/>
      <c r="AX213" s="390"/>
      <c r="AY213" s="390"/>
      <c r="AZ213" s="646"/>
      <c r="BA213" s="390"/>
      <c r="BB213" s="646"/>
      <c r="BC213" s="390"/>
      <c r="BD213" s="646"/>
      <c r="BE213" s="390"/>
      <c r="BF213" s="390"/>
      <c r="BG213" s="390"/>
      <c r="BH213" s="390"/>
      <c r="BI213" s="390"/>
      <c r="BJ213" s="390"/>
      <c r="BK213" s="390"/>
      <c r="BL213" s="390"/>
      <c r="BM213" s="390"/>
      <c r="BN213" s="390"/>
      <c r="BO213" s="390"/>
      <c r="BP213" s="390"/>
      <c r="BQ213" s="647"/>
      <c r="BR213" s="647"/>
      <c r="BS213" s="390"/>
      <c r="BT213" s="390"/>
      <c r="BU213" s="390"/>
      <c r="BV213" s="390"/>
      <c r="BW213" s="390"/>
      <c r="BX213" s="390"/>
      <c r="BY213" s="390"/>
      <c r="BZ213" s="390"/>
      <c r="CA213" s="390"/>
      <c r="CB213" s="390"/>
      <c r="CC213" s="390"/>
      <c r="CD213" s="390"/>
      <c r="CE213" s="390"/>
      <c r="CF213" s="647"/>
      <c r="CG213" s="393"/>
      <c r="CH213" s="393"/>
      <c r="CI213" s="393"/>
      <c r="CJ213" s="83" t="str">
        <f t="shared" si="42"/>
        <v>No aplica</v>
      </c>
      <c r="CK213" s="83" t="str">
        <f t="shared" si="43"/>
        <v>No aplica</v>
      </c>
      <c r="CL213" s="83" t="str">
        <f t="shared" si="53"/>
        <v>No requiere reporte</v>
      </c>
      <c r="CM213" s="89" t="str">
        <f t="shared" si="54"/>
        <v>No requiere reporte</v>
      </c>
      <c r="CN213" s="89" t="str">
        <f t="shared" si="55"/>
        <v>No requiere reporte</v>
      </c>
      <c r="CO213" s="394" t="s">
        <v>2004</v>
      </c>
      <c r="CP213" s="394" t="s">
        <v>2005</v>
      </c>
      <c r="CQ213" s="394" t="s">
        <v>1956</v>
      </c>
      <c r="CR213" s="394" t="s">
        <v>2006</v>
      </c>
      <c r="CS213" s="394" t="s">
        <v>2007</v>
      </c>
      <c r="CT213" s="394" t="s">
        <v>200</v>
      </c>
      <c r="CU213" s="394" t="s">
        <v>233</v>
      </c>
      <c r="CV213" s="395" t="s">
        <v>182</v>
      </c>
      <c r="CW213" s="394" t="s">
        <v>234</v>
      </c>
      <c r="CX213" s="395">
        <v>46037</v>
      </c>
      <c r="CY213" s="395">
        <v>46387</v>
      </c>
      <c r="CZ213" s="396">
        <v>4</v>
      </c>
      <c r="DA213" s="396">
        <v>12</v>
      </c>
      <c r="DB213" s="396">
        <v>12</v>
      </c>
      <c r="DC213" s="396">
        <v>4</v>
      </c>
      <c r="DD213" s="391">
        <f t="shared" ref="DD213:DD218" si="58">SUM(CZ213:DC213)</f>
        <v>32</v>
      </c>
      <c r="DE213" s="394" t="s">
        <v>514</v>
      </c>
      <c r="DF213" s="394" t="s">
        <v>1743</v>
      </c>
      <c r="DG213" s="394" t="s">
        <v>1744</v>
      </c>
      <c r="DH213" s="397">
        <v>1197288393</v>
      </c>
      <c r="DI213" s="658" t="s">
        <v>1633</v>
      </c>
      <c r="DJ213" s="643" t="s">
        <v>628</v>
      </c>
      <c r="DK213" s="643" t="s">
        <v>1745</v>
      </c>
      <c r="DL213" s="394" t="s">
        <v>279</v>
      </c>
      <c r="DM213" s="394" t="s">
        <v>1747</v>
      </c>
      <c r="DN213" s="390"/>
      <c r="DO213" s="654"/>
      <c r="DP213" s="830"/>
      <c r="DQ213" s="390"/>
      <c r="DR213" s="390"/>
      <c r="DS213" s="390"/>
      <c r="DT213" s="646"/>
      <c r="DU213" s="406"/>
      <c r="DV213" s="390"/>
      <c r="DW213" s="390"/>
      <c r="DX213" s="390"/>
      <c r="DY213" s="646"/>
      <c r="DZ213" s="829"/>
      <c r="EA213" s="390"/>
      <c r="EB213" s="390"/>
      <c r="EC213" s="647"/>
      <c r="ED213" s="647"/>
      <c r="EE213" s="647"/>
      <c r="EF213" s="647"/>
      <c r="EG213" s="647"/>
      <c r="EH213" s="390"/>
      <c r="EI213" s="647"/>
      <c r="EJ213" s="647"/>
      <c r="EK213" s="68"/>
      <c r="EL213" s="91" t="str">
        <f t="shared" si="56"/>
        <v>No se reportó avance</v>
      </c>
      <c r="EM213" s="83" t="str">
        <f t="shared" si="57"/>
        <v>No se reportó avance</v>
      </c>
      <c r="EN213" s="646" t="s">
        <v>4682</v>
      </c>
      <c r="EO213" s="69" t="str">
        <f t="shared" si="44"/>
        <v>Gestión</v>
      </c>
      <c r="EP213" s="69" t="str">
        <f t="shared" si="45"/>
        <v>6</v>
      </c>
    </row>
    <row r="214" spans="1:146" ht="150" customHeight="1">
      <c r="A214" s="390" t="s">
        <v>1718</v>
      </c>
      <c r="B214" s="398" t="s">
        <v>1719</v>
      </c>
      <c r="C214" s="399" t="s">
        <v>1720</v>
      </c>
      <c r="D214" s="400" t="s">
        <v>1721</v>
      </c>
      <c r="E214" s="401" t="s">
        <v>2002</v>
      </c>
      <c r="F214" s="390" t="s">
        <v>182</v>
      </c>
      <c r="G214" s="390" t="s">
        <v>182</v>
      </c>
      <c r="H214" s="390" t="s">
        <v>2008</v>
      </c>
      <c r="I214" s="390" t="s">
        <v>728</v>
      </c>
      <c r="J214" s="390" t="s">
        <v>1723</v>
      </c>
      <c r="K214" s="390" t="s">
        <v>182</v>
      </c>
      <c r="L214" s="402">
        <v>9</v>
      </c>
      <c r="M214" s="390" t="s">
        <v>1982</v>
      </c>
      <c r="N214" s="390" t="s">
        <v>1983</v>
      </c>
      <c r="O214" s="390" t="s">
        <v>1984</v>
      </c>
      <c r="P214" s="390" t="s">
        <v>200</v>
      </c>
      <c r="Q214" s="390" t="s">
        <v>162</v>
      </c>
      <c r="R214" s="398">
        <v>1</v>
      </c>
      <c r="S214" s="390" t="s">
        <v>163</v>
      </c>
      <c r="T214" s="437">
        <v>44946</v>
      </c>
      <c r="U214" s="403">
        <v>46387</v>
      </c>
      <c r="V214" s="391"/>
      <c r="W214" s="391"/>
      <c r="X214" s="391"/>
      <c r="Y214" s="391"/>
      <c r="Z214" s="391"/>
      <c r="AA214" s="391"/>
      <c r="AB214" s="391"/>
      <c r="AC214" s="391"/>
      <c r="AD214" s="391"/>
      <c r="AE214" s="391"/>
      <c r="AF214" s="391"/>
      <c r="AG214" s="391"/>
      <c r="AH214" s="391"/>
      <c r="AI214" s="391"/>
      <c r="AJ214" s="391"/>
      <c r="AK214" s="396"/>
      <c r="AL214" s="396"/>
      <c r="AM214" s="396"/>
      <c r="AN214" s="396"/>
      <c r="AO214" s="396"/>
      <c r="AP214" s="396"/>
      <c r="AQ214" s="390"/>
      <c r="AR214" s="390"/>
      <c r="AS214" s="390"/>
      <c r="AT214" s="390"/>
      <c r="AU214" s="390"/>
      <c r="AV214" s="390"/>
      <c r="AW214" s="390"/>
      <c r="AX214" s="390"/>
      <c r="AY214" s="390"/>
      <c r="AZ214" s="646"/>
      <c r="BA214" s="390"/>
      <c r="BB214" s="646"/>
      <c r="BC214" s="390"/>
      <c r="BD214" s="646"/>
      <c r="BE214" s="390"/>
      <c r="BF214" s="390"/>
      <c r="BG214" s="390"/>
      <c r="BH214" s="390"/>
      <c r="BI214" s="390"/>
      <c r="BJ214" s="390"/>
      <c r="BK214" s="390"/>
      <c r="BL214" s="390"/>
      <c r="BM214" s="390"/>
      <c r="BN214" s="390"/>
      <c r="BO214" s="390"/>
      <c r="BP214" s="390"/>
      <c r="BQ214" s="647"/>
      <c r="BR214" s="647"/>
      <c r="BS214" s="390"/>
      <c r="BT214" s="390"/>
      <c r="BU214" s="390"/>
      <c r="BV214" s="390"/>
      <c r="BW214" s="390"/>
      <c r="BX214" s="390"/>
      <c r="BY214" s="390"/>
      <c r="BZ214" s="390"/>
      <c r="CA214" s="390"/>
      <c r="CB214" s="390"/>
      <c r="CC214" s="390"/>
      <c r="CD214" s="390"/>
      <c r="CE214" s="390"/>
      <c r="CF214" s="647"/>
      <c r="CG214" s="393"/>
      <c r="CH214" s="393"/>
      <c r="CI214" s="393"/>
      <c r="CJ214" s="83" t="str">
        <f t="shared" si="42"/>
        <v>No aplica</v>
      </c>
      <c r="CK214" s="83" t="str">
        <f t="shared" si="43"/>
        <v>No aplica</v>
      </c>
      <c r="CL214" s="83" t="str">
        <f t="shared" si="53"/>
        <v>No requiere reporte</v>
      </c>
      <c r="CM214" s="89" t="str">
        <f t="shared" si="54"/>
        <v>No requiere reporte</v>
      </c>
      <c r="CN214" s="89" t="str">
        <f t="shared" si="55"/>
        <v>No requiere reporte</v>
      </c>
      <c r="CO214" s="394" t="s">
        <v>2009</v>
      </c>
      <c r="CP214" s="394" t="s">
        <v>2010</v>
      </c>
      <c r="CQ214" s="394" t="s">
        <v>1907</v>
      </c>
      <c r="CR214" s="394" t="s">
        <v>2011</v>
      </c>
      <c r="CS214" s="394" t="s">
        <v>2012</v>
      </c>
      <c r="CT214" s="394" t="s">
        <v>200</v>
      </c>
      <c r="CU214" s="394" t="s">
        <v>233</v>
      </c>
      <c r="CV214" s="396">
        <v>72</v>
      </c>
      <c r="CW214" s="394" t="s">
        <v>234</v>
      </c>
      <c r="CX214" s="395">
        <v>46037</v>
      </c>
      <c r="CY214" s="395">
        <v>46387</v>
      </c>
      <c r="CZ214" s="396">
        <v>10</v>
      </c>
      <c r="DA214" s="396">
        <v>20</v>
      </c>
      <c r="DB214" s="396">
        <v>20</v>
      </c>
      <c r="DC214" s="396">
        <v>15</v>
      </c>
      <c r="DD214" s="391">
        <f t="shared" si="58"/>
        <v>65</v>
      </c>
      <c r="DE214" s="394" t="s">
        <v>514</v>
      </c>
      <c r="DF214" s="394" t="s">
        <v>1743</v>
      </c>
      <c r="DG214" s="394" t="s">
        <v>1744</v>
      </c>
      <c r="DH214" s="397">
        <v>806428453</v>
      </c>
      <c r="DI214" s="394" t="s">
        <v>182</v>
      </c>
      <c r="DJ214" s="643" t="s">
        <v>628</v>
      </c>
      <c r="DK214" s="643" t="s">
        <v>1745</v>
      </c>
      <c r="DL214" s="394" t="s">
        <v>279</v>
      </c>
      <c r="DM214" s="394" t="s">
        <v>2013</v>
      </c>
      <c r="DN214" s="390"/>
      <c r="DO214" s="654"/>
      <c r="DP214" s="390"/>
      <c r="DQ214" s="390"/>
      <c r="DR214" s="390"/>
      <c r="DS214" s="390"/>
      <c r="DT214" s="646"/>
      <c r="DU214" s="390"/>
      <c r="DV214" s="390"/>
      <c r="DW214" s="390"/>
      <c r="DX214" s="390"/>
      <c r="DY214" s="646"/>
      <c r="DZ214" s="832"/>
      <c r="EA214" s="390"/>
      <c r="EB214" s="390"/>
      <c r="EC214" s="647"/>
      <c r="ED214" s="647"/>
      <c r="EE214" s="647"/>
      <c r="EF214" s="647"/>
      <c r="EG214" s="647"/>
      <c r="EH214" s="390"/>
      <c r="EI214" s="647"/>
      <c r="EJ214" s="647"/>
      <c r="EK214" s="68"/>
      <c r="EL214" s="91" t="str">
        <f t="shared" si="56"/>
        <v>No se reportó avance</v>
      </c>
      <c r="EM214" s="83" t="str">
        <f t="shared" si="57"/>
        <v>No se reportó avance</v>
      </c>
      <c r="EN214" s="646"/>
      <c r="EO214" s="69" t="str">
        <f t="shared" si="44"/>
        <v>Gestión</v>
      </c>
      <c r="EP214" s="69" t="str">
        <f t="shared" si="45"/>
        <v>6</v>
      </c>
    </row>
    <row r="215" spans="1:146" ht="150" customHeight="1">
      <c r="A215" s="390" t="s">
        <v>1718</v>
      </c>
      <c r="B215" s="398" t="s">
        <v>1719</v>
      </c>
      <c r="C215" s="399" t="s">
        <v>1720</v>
      </c>
      <c r="D215" s="400" t="s">
        <v>1721</v>
      </c>
      <c r="E215" s="401" t="s">
        <v>2002</v>
      </c>
      <c r="F215" s="390" t="s">
        <v>182</v>
      </c>
      <c r="G215" s="390" t="s">
        <v>182</v>
      </c>
      <c r="H215" s="390" t="s">
        <v>2014</v>
      </c>
      <c r="I215" s="390" t="s">
        <v>728</v>
      </c>
      <c r="J215" s="390" t="s">
        <v>1723</v>
      </c>
      <c r="K215" s="390" t="s">
        <v>182</v>
      </c>
      <c r="L215" s="402">
        <v>9</v>
      </c>
      <c r="M215" s="390" t="s">
        <v>1982</v>
      </c>
      <c r="N215" s="390" t="s">
        <v>1983</v>
      </c>
      <c r="O215" s="390" t="s">
        <v>1984</v>
      </c>
      <c r="P215" s="390" t="s">
        <v>200</v>
      </c>
      <c r="Q215" s="390" t="s">
        <v>162</v>
      </c>
      <c r="R215" s="398">
        <v>1</v>
      </c>
      <c r="S215" s="390" t="s">
        <v>163</v>
      </c>
      <c r="T215" s="437">
        <v>44946</v>
      </c>
      <c r="U215" s="403">
        <v>46387</v>
      </c>
      <c r="V215" s="391"/>
      <c r="W215" s="391"/>
      <c r="X215" s="391"/>
      <c r="Y215" s="391"/>
      <c r="Z215" s="391"/>
      <c r="AA215" s="391"/>
      <c r="AB215" s="391"/>
      <c r="AC215" s="391"/>
      <c r="AD215" s="391"/>
      <c r="AE215" s="391"/>
      <c r="AF215" s="391"/>
      <c r="AG215" s="391"/>
      <c r="AH215" s="391"/>
      <c r="AI215" s="391"/>
      <c r="AJ215" s="391"/>
      <c r="AK215" s="396"/>
      <c r="AL215" s="396"/>
      <c r="AM215" s="396"/>
      <c r="AN215" s="396"/>
      <c r="AO215" s="396"/>
      <c r="AP215" s="396"/>
      <c r="AQ215" s="390"/>
      <c r="AR215" s="390"/>
      <c r="AS215" s="390"/>
      <c r="AT215" s="390"/>
      <c r="AU215" s="390"/>
      <c r="AV215" s="390"/>
      <c r="AW215" s="390"/>
      <c r="AX215" s="390"/>
      <c r="AY215" s="390"/>
      <c r="AZ215" s="646"/>
      <c r="BA215" s="390"/>
      <c r="BB215" s="646"/>
      <c r="BC215" s="390"/>
      <c r="BD215" s="646"/>
      <c r="BE215" s="390"/>
      <c r="BF215" s="390"/>
      <c r="BG215" s="390"/>
      <c r="BH215" s="390"/>
      <c r="BI215" s="390"/>
      <c r="BJ215" s="390"/>
      <c r="BK215" s="390"/>
      <c r="BL215" s="390"/>
      <c r="BM215" s="390"/>
      <c r="BN215" s="390"/>
      <c r="BO215" s="390"/>
      <c r="BP215" s="390"/>
      <c r="BQ215" s="647"/>
      <c r="BR215" s="647"/>
      <c r="BS215" s="390"/>
      <c r="BT215" s="390"/>
      <c r="BU215" s="390"/>
      <c r="BV215" s="390"/>
      <c r="BW215" s="390"/>
      <c r="BX215" s="390"/>
      <c r="BY215" s="390"/>
      <c r="BZ215" s="390"/>
      <c r="CA215" s="390"/>
      <c r="CB215" s="390"/>
      <c r="CC215" s="390"/>
      <c r="CD215" s="390"/>
      <c r="CE215" s="390"/>
      <c r="CF215" s="647"/>
      <c r="CG215" s="393"/>
      <c r="CH215" s="393"/>
      <c r="CI215" s="393"/>
      <c r="CJ215" s="83" t="str">
        <f t="shared" si="42"/>
        <v>No aplica</v>
      </c>
      <c r="CK215" s="83" t="str">
        <f t="shared" si="43"/>
        <v>No aplica</v>
      </c>
      <c r="CL215" s="83" t="str">
        <f t="shared" si="53"/>
        <v>No requiere reporte</v>
      </c>
      <c r="CM215" s="89" t="str">
        <f t="shared" si="54"/>
        <v>No requiere reporte</v>
      </c>
      <c r="CN215" s="89" t="str">
        <f t="shared" si="55"/>
        <v>No requiere reporte</v>
      </c>
      <c r="CO215" s="394" t="s">
        <v>2015</v>
      </c>
      <c r="CP215" s="394" t="s">
        <v>2016</v>
      </c>
      <c r="CQ215" s="394" t="s">
        <v>1956</v>
      </c>
      <c r="CR215" s="394" t="s">
        <v>2017</v>
      </c>
      <c r="CS215" s="394" t="s">
        <v>2018</v>
      </c>
      <c r="CT215" s="394" t="s">
        <v>200</v>
      </c>
      <c r="CU215" s="394" t="s">
        <v>233</v>
      </c>
      <c r="CV215" s="394">
        <v>6</v>
      </c>
      <c r="CW215" s="394" t="s">
        <v>234</v>
      </c>
      <c r="CX215" s="395">
        <v>46037</v>
      </c>
      <c r="CY215" s="395">
        <v>46387</v>
      </c>
      <c r="CZ215" s="396">
        <v>0</v>
      </c>
      <c r="DA215" s="396">
        <v>0</v>
      </c>
      <c r="DB215" s="396">
        <v>4</v>
      </c>
      <c r="DC215" s="396">
        <v>1</v>
      </c>
      <c r="DD215" s="391">
        <f t="shared" si="58"/>
        <v>5</v>
      </c>
      <c r="DE215" s="394" t="s">
        <v>514</v>
      </c>
      <c r="DF215" s="394" t="s">
        <v>1743</v>
      </c>
      <c r="DG215" s="394" t="s">
        <v>1744</v>
      </c>
      <c r="DH215" s="397">
        <v>1208585000</v>
      </c>
      <c r="DI215" s="394" t="s">
        <v>182</v>
      </c>
      <c r="DJ215" s="643" t="s">
        <v>628</v>
      </c>
      <c r="DK215" s="643" t="s">
        <v>1745</v>
      </c>
      <c r="DL215" s="394" t="s">
        <v>279</v>
      </c>
      <c r="DM215" s="394" t="s">
        <v>1747</v>
      </c>
      <c r="DN215" s="390"/>
      <c r="DO215" s="654"/>
      <c r="DP215" s="390"/>
      <c r="DQ215" s="390"/>
      <c r="DR215" s="390"/>
      <c r="DS215" s="390"/>
      <c r="DT215" s="646"/>
      <c r="DU215" s="390"/>
      <c r="DV215" s="390"/>
      <c r="DW215" s="390"/>
      <c r="DX215" s="390"/>
      <c r="DY215" s="646"/>
      <c r="DZ215" s="829"/>
      <c r="EA215" s="390"/>
      <c r="EB215" s="390"/>
      <c r="EC215" s="647"/>
      <c r="ED215" s="647"/>
      <c r="EE215" s="647"/>
      <c r="EF215" s="647"/>
      <c r="EG215" s="647"/>
      <c r="EH215" s="390"/>
      <c r="EI215" s="647"/>
      <c r="EJ215" s="647"/>
      <c r="EK215" s="68"/>
      <c r="EL215" s="91" t="str">
        <f t="shared" si="56"/>
        <v>No aplica, no hay meta</v>
      </c>
      <c r="EM215" s="83" t="str">
        <f t="shared" si="57"/>
        <v>No se reportó avance</v>
      </c>
      <c r="EN215" s="646" t="s">
        <v>4682</v>
      </c>
      <c r="EO215" s="69" t="str">
        <f t="shared" si="44"/>
        <v>Gestión</v>
      </c>
      <c r="EP215" s="69" t="str">
        <f t="shared" si="45"/>
        <v>6</v>
      </c>
    </row>
    <row r="216" spans="1:146" ht="150" customHeight="1">
      <c r="A216" s="390" t="s">
        <v>1718</v>
      </c>
      <c r="B216" s="398" t="s">
        <v>1719</v>
      </c>
      <c r="C216" s="399" t="s">
        <v>1720</v>
      </c>
      <c r="D216" s="400" t="s">
        <v>1721</v>
      </c>
      <c r="E216" s="401" t="s">
        <v>2002</v>
      </c>
      <c r="F216" s="390" t="s">
        <v>182</v>
      </c>
      <c r="G216" s="390" t="s">
        <v>2019</v>
      </c>
      <c r="H216" s="390" t="s">
        <v>2020</v>
      </c>
      <c r="I216" s="390" t="s">
        <v>728</v>
      </c>
      <c r="J216" s="390" t="s">
        <v>1723</v>
      </c>
      <c r="K216" s="390" t="s">
        <v>1757</v>
      </c>
      <c r="L216" s="402">
        <v>9</v>
      </c>
      <c r="M216" s="390" t="s">
        <v>1982</v>
      </c>
      <c r="N216" s="390" t="s">
        <v>1983</v>
      </c>
      <c r="O216" s="390" t="s">
        <v>1984</v>
      </c>
      <c r="P216" s="390" t="s">
        <v>200</v>
      </c>
      <c r="Q216" s="390" t="s">
        <v>162</v>
      </c>
      <c r="R216" s="398">
        <v>1</v>
      </c>
      <c r="S216" s="390" t="s">
        <v>163</v>
      </c>
      <c r="T216" s="437">
        <v>44946</v>
      </c>
      <c r="U216" s="403">
        <v>46387</v>
      </c>
      <c r="V216" s="391"/>
      <c r="W216" s="391"/>
      <c r="X216" s="391"/>
      <c r="Y216" s="391"/>
      <c r="Z216" s="391"/>
      <c r="AA216" s="391"/>
      <c r="AB216" s="391"/>
      <c r="AC216" s="391"/>
      <c r="AD216" s="391"/>
      <c r="AE216" s="391"/>
      <c r="AF216" s="391"/>
      <c r="AG216" s="391"/>
      <c r="AH216" s="391"/>
      <c r="AI216" s="391"/>
      <c r="AJ216" s="391"/>
      <c r="AK216" s="396"/>
      <c r="AL216" s="396"/>
      <c r="AM216" s="396"/>
      <c r="AN216" s="396"/>
      <c r="AO216" s="396"/>
      <c r="AP216" s="396"/>
      <c r="AQ216" s="390"/>
      <c r="AR216" s="390"/>
      <c r="AS216" s="390"/>
      <c r="AT216" s="390"/>
      <c r="AU216" s="390"/>
      <c r="AV216" s="390"/>
      <c r="AW216" s="390"/>
      <c r="AX216" s="390"/>
      <c r="AY216" s="390"/>
      <c r="AZ216" s="646"/>
      <c r="BA216" s="390"/>
      <c r="BB216" s="646"/>
      <c r="BC216" s="390"/>
      <c r="BD216" s="646"/>
      <c r="BE216" s="390"/>
      <c r="BF216" s="390"/>
      <c r="BG216" s="390"/>
      <c r="BH216" s="390"/>
      <c r="BI216" s="390"/>
      <c r="BJ216" s="390"/>
      <c r="BK216" s="390"/>
      <c r="BL216" s="390"/>
      <c r="BM216" s="390"/>
      <c r="BN216" s="390"/>
      <c r="BO216" s="390"/>
      <c r="BP216" s="390"/>
      <c r="BQ216" s="647"/>
      <c r="BR216" s="647"/>
      <c r="BS216" s="390"/>
      <c r="BT216" s="390"/>
      <c r="BU216" s="390"/>
      <c r="BV216" s="390"/>
      <c r="BW216" s="390"/>
      <c r="BX216" s="390"/>
      <c r="BY216" s="390"/>
      <c r="BZ216" s="390"/>
      <c r="CA216" s="390"/>
      <c r="CB216" s="390"/>
      <c r="CC216" s="390"/>
      <c r="CD216" s="390"/>
      <c r="CE216" s="390"/>
      <c r="CF216" s="647"/>
      <c r="CG216" s="393"/>
      <c r="CH216" s="393"/>
      <c r="CI216" s="393"/>
      <c r="CJ216" s="83" t="str">
        <f t="shared" si="42"/>
        <v>No aplica</v>
      </c>
      <c r="CK216" s="83" t="str">
        <f t="shared" si="43"/>
        <v>No aplica</v>
      </c>
      <c r="CL216" s="83" t="str">
        <f t="shared" si="53"/>
        <v>No requiere reporte</v>
      </c>
      <c r="CM216" s="89" t="str">
        <f t="shared" si="54"/>
        <v>No requiere reporte</v>
      </c>
      <c r="CN216" s="89" t="str">
        <f t="shared" si="55"/>
        <v>No requiere reporte</v>
      </c>
      <c r="CO216" s="394" t="s">
        <v>2021</v>
      </c>
      <c r="CP216" s="394" t="s">
        <v>2022</v>
      </c>
      <c r="CQ216" s="394" t="s">
        <v>2023</v>
      </c>
      <c r="CR216" s="394" t="s">
        <v>2024</v>
      </c>
      <c r="CS216" s="394" t="s">
        <v>2025</v>
      </c>
      <c r="CT216" s="394" t="s">
        <v>200</v>
      </c>
      <c r="CU216" s="394" t="s">
        <v>233</v>
      </c>
      <c r="CV216" s="396" t="s">
        <v>182</v>
      </c>
      <c r="CW216" s="394" t="s">
        <v>234</v>
      </c>
      <c r="CX216" s="395">
        <v>46037</v>
      </c>
      <c r="CY216" s="395">
        <v>46387</v>
      </c>
      <c r="CZ216" s="396">
        <v>0</v>
      </c>
      <c r="DA216" s="396">
        <v>1</v>
      </c>
      <c r="DB216" s="396">
        <v>1</v>
      </c>
      <c r="DC216" s="396">
        <v>1</v>
      </c>
      <c r="DD216" s="391">
        <f t="shared" si="58"/>
        <v>3</v>
      </c>
      <c r="DE216" s="394" t="s">
        <v>514</v>
      </c>
      <c r="DF216" s="394" t="s">
        <v>1743</v>
      </c>
      <c r="DG216" s="394" t="s">
        <v>1744</v>
      </c>
      <c r="DH216" s="397">
        <v>503008000</v>
      </c>
      <c r="DI216" s="394" t="s">
        <v>182</v>
      </c>
      <c r="DJ216" s="643" t="s">
        <v>628</v>
      </c>
      <c r="DK216" s="643" t="s">
        <v>1745</v>
      </c>
      <c r="DL216" s="394" t="s">
        <v>279</v>
      </c>
      <c r="DM216" s="394" t="s">
        <v>1747</v>
      </c>
      <c r="DN216" s="390"/>
      <c r="DO216" s="654"/>
      <c r="DP216" s="390"/>
      <c r="DQ216" s="390"/>
      <c r="DR216" s="390"/>
      <c r="DS216" s="390"/>
      <c r="DT216" s="646"/>
      <c r="DU216" s="390"/>
      <c r="DV216" s="390"/>
      <c r="DW216" s="390"/>
      <c r="DX216" s="390"/>
      <c r="DY216" s="646"/>
      <c r="DZ216" s="829"/>
      <c r="EA216" s="390"/>
      <c r="EB216" s="390"/>
      <c r="EC216" s="647"/>
      <c r="ED216" s="647"/>
      <c r="EE216" s="647"/>
      <c r="EF216" s="647"/>
      <c r="EG216" s="647"/>
      <c r="EH216" s="390"/>
      <c r="EI216" s="647"/>
      <c r="EJ216" s="647"/>
      <c r="EK216" s="68"/>
      <c r="EL216" s="91" t="str">
        <f t="shared" si="56"/>
        <v>No aplica, no hay meta</v>
      </c>
      <c r="EM216" s="83" t="str">
        <f t="shared" si="57"/>
        <v>No se reportó avance</v>
      </c>
      <c r="EN216" s="646"/>
      <c r="EO216" s="69" t="str">
        <f t="shared" si="44"/>
        <v>Gestión</v>
      </c>
      <c r="EP216" s="69" t="str">
        <f t="shared" si="45"/>
        <v>6</v>
      </c>
    </row>
    <row r="217" spans="1:146" ht="150" customHeight="1">
      <c r="A217" s="390" t="s">
        <v>1718</v>
      </c>
      <c r="B217" s="398" t="s">
        <v>1719</v>
      </c>
      <c r="C217" s="399" t="s">
        <v>1720</v>
      </c>
      <c r="D217" s="400" t="s">
        <v>1721</v>
      </c>
      <c r="E217" s="401" t="s">
        <v>2002</v>
      </c>
      <c r="F217" s="390" t="s">
        <v>182</v>
      </c>
      <c r="G217" s="390" t="s">
        <v>182</v>
      </c>
      <c r="H217" s="390" t="s">
        <v>2026</v>
      </c>
      <c r="I217" s="390" t="s">
        <v>728</v>
      </c>
      <c r="J217" s="390" t="s">
        <v>1723</v>
      </c>
      <c r="K217" s="390" t="s">
        <v>182</v>
      </c>
      <c r="L217" s="402">
        <v>9</v>
      </c>
      <c r="M217" s="390" t="s">
        <v>1982</v>
      </c>
      <c r="N217" s="390" t="s">
        <v>1983</v>
      </c>
      <c r="O217" s="390" t="s">
        <v>1984</v>
      </c>
      <c r="P217" s="390" t="s">
        <v>200</v>
      </c>
      <c r="Q217" s="390" t="s">
        <v>162</v>
      </c>
      <c r="R217" s="398">
        <v>1</v>
      </c>
      <c r="S217" s="390" t="s">
        <v>163</v>
      </c>
      <c r="T217" s="437">
        <v>44946</v>
      </c>
      <c r="U217" s="403">
        <v>46387</v>
      </c>
      <c r="V217" s="391"/>
      <c r="W217" s="391"/>
      <c r="X217" s="391"/>
      <c r="Y217" s="391"/>
      <c r="Z217" s="391"/>
      <c r="AA217" s="391"/>
      <c r="AB217" s="391"/>
      <c r="AC217" s="391"/>
      <c r="AD217" s="391"/>
      <c r="AE217" s="391"/>
      <c r="AF217" s="391"/>
      <c r="AG217" s="391"/>
      <c r="AH217" s="391"/>
      <c r="AI217" s="391"/>
      <c r="AJ217" s="391"/>
      <c r="AK217" s="396"/>
      <c r="AL217" s="396"/>
      <c r="AM217" s="396"/>
      <c r="AN217" s="396"/>
      <c r="AO217" s="396"/>
      <c r="AP217" s="396"/>
      <c r="AQ217" s="390"/>
      <c r="AR217" s="390"/>
      <c r="AS217" s="390"/>
      <c r="AT217" s="390"/>
      <c r="AU217" s="390"/>
      <c r="AV217" s="390"/>
      <c r="AW217" s="390"/>
      <c r="AX217" s="390"/>
      <c r="AY217" s="390"/>
      <c r="AZ217" s="646"/>
      <c r="BA217" s="390"/>
      <c r="BB217" s="646"/>
      <c r="BC217" s="390"/>
      <c r="BD217" s="646"/>
      <c r="BE217" s="390"/>
      <c r="BF217" s="390"/>
      <c r="BG217" s="390"/>
      <c r="BH217" s="390"/>
      <c r="BI217" s="390"/>
      <c r="BJ217" s="390"/>
      <c r="BK217" s="390"/>
      <c r="BL217" s="390"/>
      <c r="BM217" s="390"/>
      <c r="BN217" s="390"/>
      <c r="BO217" s="390"/>
      <c r="BP217" s="390"/>
      <c r="BQ217" s="647"/>
      <c r="BR217" s="647"/>
      <c r="BS217" s="390"/>
      <c r="BT217" s="390"/>
      <c r="BU217" s="390"/>
      <c r="BV217" s="390"/>
      <c r="BW217" s="390"/>
      <c r="BX217" s="390"/>
      <c r="BY217" s="390"/>
      <c r="BZ217" s="390"/>
      <c r="CA217" s="390"/>
      <c r="CB217" s="390"/>
      <c r="CC217" s="390"/>
      <c r="CD217" s="390"/>
      <c r="CE217" s="390"/>
      <c r="CF217" s="647"/>
      <c r="CG217" s="393"/>
      <c r="CH217" s="393"/>
      <c r="CI217" s="393"/>
      <c r="CJ217" s="83" t="str">
        <f t="shared" si="42"/>
        <v>No aplica</v>
      </c>
      <c r="CK217" s="83" t="str">
        <f t="shared" si="43"/>
        <v>No aplica</v>
      </c>
      <c r="CL217" s="83" t="str">
        <f t="shared" si="53"/>
        <v>No requiere reporte</v>
      </c>
      <c r="CM217" s="89" t="str">
        <f t="shared" si="54"/>
        <v>No requiere reporte</v>
      </c>
      <c r="CN217" s="89" t="str">
        <f t="shared" si="55"/>
        <v>No requiere reporte</v>
      </c>
      <c r="CO217" s="394" t="s">
        <v>2027</v>
      </c>
      <c r="CP217" s="394" t="s">
        <v>2028</v>
      </c>
      <c r="CQ217" s="658" t="s">
        <v>2029</v>
      </c>
      <c r="CR217" s="394" t="s">
        <v>2030</v>
      </c>
      <c r="CS217" s="394" t="s">
        <v>2031</v>
      </c>
      <c r="CT217" s="394" t="s">
        <v>200</v>
      </c>
      <c r="CU217" s="394" t="s">
        <v>233</v>
      </c>
      <c r="CV217" s="394">
        <v>2</v>
      </c>
      <c r="CW217" s="394" t="s">
        <v>234</v>
      </c>
      <c r="CX217" s="395">
        <v>46037</v>
      </c>
      <c r="CY217" s="395">
        <v>46387</v>
      </c>
      <c r="CZ217" s="396">
        <v>2</v>
      </c>
      <c r="DA217" s="396">
        <v>1</v>
      </c>
      <c r="DB217" s="396">
        <v>2</v>
      </c>
      <c r="DC217" s="396">
        <v>1</v>
      </c>
      <c r="DD217" s="391">
        <f t="shared" si="58"/>
        <v>6</v>
      </c>
      <c r="DE217" s="394" t="s">
        <v>514</v>
      </c>
      <c r="DF217" s="394" t="s">
        <v>1743</v>
      </c>
      <c r="DG217" s="394" t="s">
        <v>1744</v>
      </c>
      <c r="DH217" s="397">
        <v>383585000</v>
      </c>
      <c r="DI217" s="394" t="s">
        <v>182</v>
      </c>
      <c r="DJ217" s="643" t="s">
        <v>628</v>
      </c>
      <c r="DK217" s="643" t="s">
        <v>1745</v>
      </c>
      <c r="DL217" s="394" t="s">
        <v>279</v>
      </c>
      <c r="DM217" s="394" t="s">
        <v>1747</v>
      </c>
      <c r="DN217" s="172"/>
      <c r="DO217" s="654"/>
      <c r="DP217" s="390"/>
      <c r="DQ217" s="390"/>
      <c r="DR217" s="390"/>
      <c r="DS217" s="390"/>
      <c r="DT217" s="646"/>
      <c r="DU217" s="390"/>
      <c r="DV217" s="390"/>
      <c r="DW217" s="390"/>
      <c r="DX217" s="172"/>
      <c r="DY217" s="646"/>
      <c r="DZ217" s="829"/>
      <c r="EA217" s="390"/>
      <c r="EB217" s="390"/>
      <c r="EC217" s="651"/>
      <c r="ED217" s="647"/>
      <c r="EE217" s="647"/>
      <c r="EF217" s="647"/>
      <c r="EG217" s="647"/>
      <c r="EH217" s="398"/>
      <c r="EI217" s="647"/>
      <c r="EJ217" s="647"/>
      <c r="EK217" s="68"/>
      <c r="EL217" s="91" t="str">
        <f t="shared" si="56"/>
        <v>No se reportó avance</v>
      </c>
      <c r="EM217" s="83" t="str">
        <f t="shared" si="57"/>
        <v>No se reportó avance</v>
      </c>
      <c r="EN217" s="646" t="s">
        <v>4682</v>
      </c>
      <c r="EO217" s="69" t="str">
        <f t="shared" si="44"/>
        <v>Gestión</v>
      </c>
      <c r="EP217" s="69" t="str">
        <f t="shared" si="45"/>
        <v>6</v>
      </c>
    </row>
    <row r="218" spans="1:146" ht="150" customHeight="1">
      <c r="A218" s="390" t="s">
        <v>1718</v>
      </c>
      <c r="B218" s="398" t="s">
        <v>1719</v>
      </c>
      <c r="C218" s="399" t="s">
        <v>1720</v>
      </c>
      <c r="D218" s="400" t="s">
        <v>1721</v>
      </c>
      <c r="E218" s="401" t="s">
        <v>2002</v>
      </c>
      <c r="F218" s="390" t="s">
        <v>182</v>
      </c>
      <c r="G218" s="390" t="s">
        <v>182</v>
      </c>
      <c r="H218" s="390" t="s">
        <v>2026</v>
      </c>
      <c r="I218" s="390" t="s">
        <v>728</v>
      </c>
      <c r="J218" s="390" t="s">
        <v>1723</v>
      </c>
      <c r="K218" s="390" t="s">
        <v>182</v>
      </c>
      <c r="L218" s="402">
        <v>9</v>
      </c>
      <c r="M218" s="390" t="s">
        <v>1982</v>
      </c>
      <c r="N218" s="390" t="s">
        <v>1983</v>
      </c>
      <c r="O218" s="390" t="s">
        <v>1984</v>
      </c>
      <c r="P218" s="390" t="s">
        <v>200</v>
      </c>
      <c r="Q218" s="390" t="s">
        <v>162</v>
      </c>
      <c r="R218" s="398">
        <v>1</v>
      </c>
      <c r="S218" s="390" t="s">
        <v>163</v>
      </c>
      <c r="T218" s="437">
        <v>44946</v>
      </c>
      <c r="U218" s="403">
        <v>46387</v>
      </c>
      <c r="V218" s="391"/>
      <c r="W218" s="391"/>
      <c r="X218" s="391"/>
      <c r="Y218" s="391"/>
      <c r="Z218" s="391"/>
      <c r="AA218" s="391"/>
      <c r="AB218" s="391"/>
      <c r="AC218" s="391"/>
      <c r="AD218" s="391"/>
      <c r="AE218" s="391"/>
      <c r="AF218" s="391"/>
      <c r="AG218" s="391"/>
      <c r="AH218" s="391"/>
      <c r="AI218" s="391"/>
      <c r="AJ218" s="391"/>
      <c r="AK218" s="396"/>
      <c r="AL218" s="396"/>
      <c r="AM218" s="396"/>
      <c r="AN218" s="396"/>
      <c r="AO218" s="396"/>
      <c r="AP218" s="396"/>
      <c r="AQ218" s="390"/>
      <c r="AR218" s="390"/>
      <c r="AS218" s="390"/>
      <c r="AT218" s="390"/>
      <c r="AU218" s="390"/>
      <c r="AV218" s="390"/>
      <c r="AW218" s="390"/>
      <c r="AX218" s="390"/>
      <c r="AY218" s="390"/>
      <c r="AZ218" s="646"/>
      <c r="BA218" s="390"/>
      <c r="BB218" s="646"/>
      <c r="BC218" s="390"/>
      <c r="BD218" s="646"/>
      <c r="BE218" s="390"/>
      <c r="BF218" s="390"/>
      <c r="BG218" s="390"/>
      <c r="BH218" s="390"/>
      <c r="BI218" s="390"/>
      <c r="BJ218" s="390"/>
      <c r="BK218" s="390"/>
      <c r="BL218" s="390"/>
      <c r="BM218" s="390"/>
      <c r="BN218" s="390"/>
      <c r="BO218" s="390"/>
      <c r="BP218" s="390"/>
      <c r="BQ218" s="647"/>
      <c r="BR218" s="647"/>
      <c r="BS218" s="390"/>
      <c r="BT218" s="390"/>
      <c r="BU218" s="390"/>
      <c r="BV218" s="390"/>
      <c r="BW218" s="390"/>
      <c r="BX218" s="390"/>
      <c r="BY218" s="390"/>
      <c r="BZ218" s="390"/>
      <c r="CA218" s="390"/>
      <c r="CB218" s="390"/>
      <c r="CC218" s="390"/>
      <c r="CD218" s="390"/>
      <c r="CE218" s="390"/>
      <c r="CF218" s="647"/>
      <c r="CG218" s="393"/>
      <c r="CH218" s="393"/>
      <c r="CI218" s="393"/>
      <c r="CJ218" s="83" t="str">
        <f t="shared" si="42"/>
        <v>No aplica</v>
      </c>
      <c r="CK218" s="83" t="str">
        <f t="shared" si="43"/>
        <v>No aplica</v>
      </c>
      <c r="CL218" s="83" t="str">
        <f t="shared" si="53"/>
        <v>No requiere reporte</v>
      </c>
      <c r="CM218" s="89" t="str">
        <f t="shared" si="54"/>
        <v>No requiere reporte</v>
      </c>
      <c r="CN218" s="89" t="str">
        <f t="shared" si="55"/>
        <v>No requiere reporte</v>
      </c>
      <c r="CO218" s="394" t="s">
        <v>2032</v>
      </c>
      <c r="CP218" s="394" t="s">
        <v>2033</v>
      </c>
      <c r="CQ218" s="394" t="s">
        <v>2034</v>
      </c>
      <c r="CR218" s="394" t="s">
        <v>2035</v>
      </c>
      <c r="CS218" s="394" t="s">
        <v>2036</v>
      </c>
      <c r="CT218" s="394" t="s">
        <v>200</v>
      </c>
      <c r="CU218" s="394" t="s">
        <v>233</v>
      </c>
      <c r="CV218" s="394">
        <v>3</v>
      </c>
      <c r="CW218" s="394" t="s">
        <v>234</v>
      </c>
      <c r="CX218" s="395">
        <v>46037</v>
      </c>
      <c r="CY218" s="395">
        <v>46387</v>
      </c>
      <c r="CZ218" s="396">
        <v>0</v>
      </c>
      <c r="DA218" s="396">
        <v>1</v>
      </c>
      <c r="DB218" s="396">
        <v>0</v>
      </c>
      <c r="DC218" s="396">
        <v>0</v>
      </c>
      <c r="DD218" s="391">
        <f t="shared" si="58"/>
        <v>1</v>
      </c>
      <c r="DE218" s="394" t="s">
        <v>514</v>
      </c>
      <c r="DF218" s="394" t="s">
        <v>2037</v>
      </c>
      <c r="DG218" s="394" t="s">
        <v>2038</v>
      </c>
      <c r="DH218" s="397">
        <v>1150000000</v>
      </c>
      <c r="DI218" s="394" t="s">
        <v>182</v>
      </c>
      <c r="DJ218" s="643" t="s">
        <v>628</v>
      </c>
      <c r="DK218" s="643" t="s">
        <v>1745</v>
      </c>
      <c r="DL218" s="394" t="s">
        <v>279</v>
      </c>
      <c r="DM218" s="394" t="s">
        <v>1747</v>
      </c>
      <c r="DN218" s="172"/>
      <c r="DO218" s="654"/>
      <c r="DP218" s="830"/>
      <c r="DQ218" s="390"/>
      <c r="DR218" s="390"/>
      <c r="DS218" s="172"/>
      <c r="DT218" s="646"/>
      <c r="DU218" s="406"/>
      <c r="DV218" s="390"/>
      <c r="DW218" s="390"/>
      <c r="DX218" s="172"/>
      <c r="DY218" s="646"/>
      <c r="DZ218" s="829"/>
      <c r="EA218" s="390"/>
      <c r="EB218" s="390"/>
      <c r="EC218" s="651"/>
      <c r="ED218" s="647"/>
      <c r="EE218" s="647"/>
      <c r="EF218" s="647"/>
      <c r="EG218" s="647"/>
      <c r="EH218" s="398"/>
      <c r="EI218" s="647"/>
      <c r="EJ218" s="647"/>
      <c r="EK218" s="68"/>
      <c r="EL218" s="91" t="str">
        <f t="shared" si="56"/>
        <v>No aplica, no hay meta</v>
      </c>
      <c r="EM218" s="83" t="str">
        <f t="shared" si="57"/>
        <v>No se reportó avance</v>
      </c>
      <c r="EN218" s="646"/>
      <c r="EO218" s="69" t="str">
        <f t="shared" si="44"/>
        <v>Gestión</v>
      </c>
      <c r="EP218" s="69" t="str">
        <f t="shared" si="45"/>
        <v>6</v>
      </c>
    </row>
    <row r="219" spans="1:146" ht="150" customHeight="1">
      <c r="A219" s="390" t="s">
        <v>1718</v>
      </c>
      <c r="B219" s="398" t="s">
        <v>1719</v>
      </c>
      <c r="C219" s="399" t="s">
        <v>1720</v>
      </c>
      <c r="D219" s="400" t="s">
        <v>1721</v>
      </c>
      <c r="E219" s="401" t="s">
        <v>2002</v>
      </c>
      <c r="F219" s="390" t="s">
        <v>182</v>
      </c>
      <c r="G219" s="390" t="s">
        <v>182</v>
      </c>
      <c r="H219" s="390" t="s">
        <v>2026</v>
      </c>
      <c r="I219" s="390" t="s">
        <v>728</v>
      </c>
      <c r="J219" s="390" t="s">
        <v>1723</v>
      </c>
      <c r="K219" s="390" t="s">
        <v>182</v>
      </c>
      <c r="L219" s="402">
        <v>9</v>
      </c>
      <c r="M219" s="390" t="s">
        <v>1982</v>
      </c>
      <c r="N219" s="390" t="s">
        <v>1983</v>
      </c>
      <c r="O219" s="390" t="s">
        <v>1984</v>
      </c>
      <c r="P219" s="390" t="s">
        <v>200</v>
      </c>
      <c r="Q219" s="390" t="s">
        <v>162</v>
      </c>
      <c r="R219" s="398">
        <v>1</v>
      </c>
      <c r="S219" s="390" t="s">
        <v>163</v>
      </c>
      <c r="T219" s="437">
        <v>44946</v>
      </c>
      <c r="U219" s="403">
        <v>46387</v>
      </c>
      <c r="V219" s="391"/>
      <c r="W219" s="391"/>
      <c r="X219" s="391"/>
      <c r="Y219" s="391"/>
      <c r="Z219" s="391"/>
      <c r="AA219" s="391"/>
      <c r="AB219" s="391"/>
      <c r="AC219" s="391"/>
      <c r="AD219" s="391"/>
      <c r="AE219" s="391"/>
      <c r="AF219" s="391"/>
      <c r="AG219" s="391"/>
      <c r="AH219" s="391"/>
      <c r="AI219" s="391"/>
      <c r="AJ219" s="391"/>
      <c r="AK219" s="396"/>
      <c r="AL219" s="396"/>
      <c r="AM219" s="396"/>
      <c r="AN219" s="396"/>
      <c r="AO219" s="396"/>
      <c r="AP219" s="396"/>
      <c r="AQ219" s="390"/>
      <c r="AR219" s="390"/>
      <c r="AS219" s="390"/>
      <c r="AT219" s="390"/>
      <c r="AU219" s="390"/>
      <c r="AV219" s="390"/>
      <c r="AW219" s="390"/>
      <c r="AX219" s="390"/>
      <c r="AY219" s="390"/>
      <c r="AZ219" s="646"/>
      <c r="BA219" s="390"/>
      <c r="BB219" s="646"/>
      <c r="BC219" s="390"/>
      <c r="BD219" s="646"/>
      <c r="BE219" s="390"/>
      <c r="BF219" s="390"/>
      <c r="BG219" s="390"/>
      <c r="BH219" s="390"/>
      <c r="BI219" s="390"/>
      <c r="BJ219" s="390"/>
      <c r="BK219" s="390"/>
      <c r="BL219" s="390"/>
      <c r="BM219" s="390"/>
      <c r="BN219" s="390"/>
      <c r="BO219" s="390"/>
      <c r="BP219" s="390"/>
      <c r="BQ219" s="647"/>
      <c r="BR219" s="647"/>
      <c r="BS219" s="390"/>
      <c r="BT219" s="390"/>
      <c r="BU219" s="390"/>
      <c r="BV219" s="390"/>
      <c r="BW219" s="390"/>
      <c r="BX219" s="390"/>
      <c r="BY219" s="390"/>
      <c r="BZ219" s="390"/>
      <c r="CA219" s="390"/>
      <c r="CB219" s="390"/>
      <c r="CC219" s="390"/>
      <c r="CD219" s="390"/>
      <c r="CE219" s="390"/>
      <c r="CF219" s="647"/>
      <c r="CG219" s="393"/>
      <c r="CH219" s="393"/>
      <c r="CI219" s="393"/>
      <c r="CJ219" s="83" t="str">
        <f t="shared" si="42"/>
        <v>No aplica</v>
      </c>
      <c r="CK219" s="83" t="str">
        <f t="shared" si="43"/>
        <v>No aplica</v>
      </c>
      <c r="CL219" s="83" t="str">
        <f t="shared" si="53"/>
        <v>No requiere reporte</v>
      </c>
      <c r="CM219" s="89" t="str">
        <f t="shared" si="54"/>
        <v>No requiere reporte</v>
      </c>
      <c r="CN219" s="89" t="str">
        <f t="shared" si="55"/>
        <v>No requiere reporte</v>
      </c>
      <c r="CO219" s="394" t="s">
        <v>2039</v>
      </c>
      <c r="CP219" s="394" t="s">
        <v>2040</v>
      </c>
      <c r="CQ219" s="394" t="s">
        <v>2041</v>
      </c>
      <c r="CR219" s="394" t="s">
        <v>2042</v>
      </c>
      <c r="CS219" s="394" t="s">
        <v>2043</v>
      </c>
      <c r="CT219" s="394" t="s">
        <v>200</v>
      </c>
      <c r="CU219" s="394" t="s">
        <v>162</v>
      </c>
      <c r="CV219" s="414">
        <v>1</v>
      </c>
      <c r="CW219" s="394" t="s">
        <v>163</v>
      </c>
      <c r="CX219" s="395">
        <v>46037</v>
      </c>
      <c r="CY219" s="395">
        <v>46387</v>
      </c>
      <c r="CZ219" s="414">
        <v>1</v>
      </c>
      <c r="DA219" s="414">
        <v>1</v>
      </c>
      <c r="DB219" s="414">
        <v>1</v>
      </c>
      <c r="DC219" s="414">
        <v>1</v>
      </c>
      <c r="DD219" s="398">
        <v>1</v>
      </c>
      <c r="DE219" s="394" t="s">
        <v>514</v>
      </c>
      <c r="DF219" s="394" t="s">
        <v>1743</v>
      </c>
      <c r="DG219" s="394" t="s">
        <v>1744</v>
      </c>
      <c r="DH219" s="397">
        <v>500890000</v>
      </c>
      <c r="DI219" s="394" t="s">
        <v>182</v>
      </c>
      <c r="DJ219" s="643" t="s">
        <v>628</v>
      </c>
      <c r="DK219" s="643" t="s">
        <v>1745</v>
      </c>
      <c r="DL219" s="394" t="s">
        <v>279</v>
      </c>
      <c r="DM219" s="394" t="s">
        <v>2044</v>
      </c>
      <c r="DN219" s="390"/>
      <c r="DO219" s="654"/>
      <c r="DP219" s="390"/>
      <c r="DQ219" s="646"/>
      <c r="DR219" s="646"/>
      <c r="DS219" s="390"/>
      <c r="DT219" s="646"/>
      <c r="DU219" s="406"/>
      <c r="DV219" s="390"/>
      <c r="DW219" s="390"/>
      <c r="DX219" s="390"/>
      <c r="DY219" s="646"/>
      <c r="DZ219" s="829"/>
      <c r="EA219" s="390"/>
      <c r="EB219" s="390"/>
      <c r="EC219" s="647"/>
      <c r="ED219" s="647"/>
      <c r="EE219" s="647"/>
      <c r="EF219" s="647"/>
      <c r="EG219" s="647"/>
      <c r="EH219" s="390"/>
      <c r="EI219" s="647"/>
      <c r="EJ219" s="647"/>
      <c r="EK219" s="68"/>
      <c r="EL219" s="91" t="str">
        <f t="shared" si="56"/>
        <v>No se reportó avance</v>
      </c>
      <c r="EM219" s="83" t="str">
        <f t="shared" si="57"/>
        <v>No se reportó avance</v>
      </c>
      <c r="EN219" s="646" t="s">
        <v>4682</v>
      </c>
      <c r="EO219" s="69" t="str">
        <f t="shared" si="44"/>
        <v>Gestión</v>
      </c>
      <c r="EP219" s="69" t="str">
        <f t="shared" si="45"/>
        <v>6</v>
      </c>
    </row>
    <row r="220" spans="1:146" ht="150" customHeight="1">
      <c r="A220" s="390" t="s">
        <v>1718</v>
      </c>
      <c r="B220" s="398" t="s">
        <v>1719</v>
      </c>
      <c r="C220" s="399" t="s">
        <v>1720</v>
      </c>
      <c r="D220" s="400" t="s">
        <v>1721</v>
      </c>
      <c r="E220" s="401" t="s">
        <v>2002</v>
      </c>
      <c r="F220" s="390" t="s">
        <v>182</v>
      </c>
      <c r="G220" s="390" t="s">
        <v>182</v>
      </c>
      <c r="H220" s="390" t="s">
        <v>2026</v>
      </c>
      <c r="I220" s="390" t="s">
        <v>728</v>
      </c>
      <c r="J220" s="390" t="s">
        <v>1723</v>
      </c>
      <c r="K220" s="390" t="s">
        <v>182</v>
      </c>
      <c r="L220" s="402">
        <v>9</v>
      </c>
      <c r="M220" s="390" t="s">
        <v>1982</v>
      </c>
      <c r="N220" s="390" t="s">
        <v>1983</v>
      </c>
      <c r="O220" s="390" t="s">
        <v>1984</v>
      </c>
      <c r="P220" s="390" t="s">
        <v>200</v>
      </c>
      <c r="Q220" s="390" t="s">
        <v>162</v>
      </c>
      <c r="R220" s="398">
        <v>1</v>
      </c>
      <c r="S220" s="390" t="s">
        <v>163</v>
      </c>
      <c r="T220" s="437">
        <v>44946</v>
      </c>
      <c r="U220" s="403">
        <v>46387</v>
      </c>
      <c r="V220" s="391"/>
      <c r="W220" s="391"/>
      <c r="X220" s="391"/>
      <c r="Y220" s="391"/>
      <c r="Z220" s="391"/>
      <c r="AA220" s="391"/>
      <c r="AB220" s="391"/>
      <c r="AC220" s="391"/>
      <c r="AD220" s="391"/>
      <c r="AE220" s="391"/>
      <c r="AF220" s="391"/>
      <c r="AG220" s="391"/>
      <c r="AH220" s="391"/>
      <c r="AI220" s="391"/>
      <c r="AJ220" s="391"/>
      <c r="AK220" s="396"/>
      <c r="AL220" s="396"/>
      <c r="AM220" s="396"/>
      <c r="AN220" s="396"/>
      <c r="AO220" s="396"/>
      <c r="AP220" s="396"/>
      <c r="AQ220" s="390"/>
      <c r="AR220" s="390"/>
      <c r="AS220" s="390"/>
      <c r="AT220" s="390"/>
      <c r="AU220" s="390"/>
      <c r="AV220" s="390"/>
      <c r="AW220" s="390"/>
      <c r="AX220" s="390"/>
      <c r="AY220" s="390"/>
      <c r="AZ220" s="646"/>
      <c r="BA220" s="390"/>
      <c r="BB220" s="646"/>
      <c r="BC220" s="390"/>
      <c r="BD220" s="646"/>
      <c r="BE220" s="390"/>
      <c r="BF220" s="390"/>
      <c r="BG220" s="390"/>
      <c r="BH220" s="390"/>
      <c r="BI220" s="390"/>
      <c r="BJ220" s="390"/>
      <c r="BK220" s="390"/>
      <c r="BL220" s="390"/>
      <c r="BM220" s="390"/>
      <c r="BN220" s="390"/>
      <c r="BO220" s="390"/>
      <c r="BP220" s="390"/>
      <c r="BQ220" s="647"/>
      <c r="BR220" s="647"/>
      <c r="BS220" s="390"/>
      <c r="BT220" s="390"/>
      <c r="BU220" s="390"/>
      <c r="BV220" s="390"/>
      <c r="BW220" s="390"/>
      <c r="BX220" s="390"/>
      <c r="BY220" s="390"/>
      <c r="BZ220" s="390"/>
      <c r="CA220" s="390"/>
      <c r="CB220" s="390"/>
      <c r="CC220" s="390"/>
      <c r="CD220" s="390"/>
      <c r="CE220" s="390"/>
      <c r="CF220" s="647"/>
      <c r="CG220" s="393"/>
      <c r="CH220" s="393"/>
      <c r="CI220" s="393"/>
      <c r="CJ220" s="83" t="str">
        <f t="shared" si="42"/>
        <v>No aplica</v>
      </c>
      <c r="CK220" s="83" t="str">
        <f t="shared" si="43"/>
        <v>No aplica</v>
      </c>
      <c r="CL220" s="83" t="str">
        <f t="shared" si="53"/>
        <v>No requiere reporte</v>
      </c>
      <c r="CM220" s="89" t="str">
        <f t="shared" si="54"/>
        <v>No requiere reporte</v>
      </c>
      <c r="CN220" s="89" t="str">
        <f t="shared" si="55"/>
        <v>No requiere reporte</v>
      </c>
      <c r="CO220" s="394" t="s">
        <v>2045</v>
      </c>
      <c r="CP220" s="394" t="s">
        <v>2046</v>
      </c>
      <c r="CQ220" s="658" t="s">
        <v>484</v>
      </c>
      <c r="CR220" s="394" t="s">
        <v>2047</v>
      </c>
      <c r="CS220" s="394" t="s">
        <v>2048</v>
      </c>
      <c r="CT220" s="394" t="s">
        <v>200</v>
      </c>
      <c r="CU220" s="394" t="s">
        <v>233</v>
      </c>
      <c r="CV220" s="833" t="s">
        <v>182</v>
      </c>
      <c r="CW220" s="833" t="s">
        <v>234</v>
      </c>
      <c r="CX220" s="834">
        <v>46037</v>
      </c>
      <c r="CY220" s="834">
        <v>46387</v>
      </c>
      <c r="CZ220" s="396">
        <v>0</v>
      </c>
      <c r="DA220" s="396">
        <v>0</v>
      </c>
      <c r="DB220" s="396">
        <v>1</v>
      </c>
      <c r="DC220" s="396">
        <v>1</v>
      </c>
      <c r="DD220" s="391">
        <f>SUM(CZ220:DC220)</f>
        <v>2</v>
      </c>
      <c r="DE220" s="394" t="s">
        <v>514</v>
      </c>
      <c r="DF220" s="394" t="s">
        <v>1743</v>
      </c>
      <c r="DG220" s="394" t="s">
        <v>1744</v>
      </c>
      <c r="DH220" s="397">
        <v>760000000</v>
      </c>
      <c r="DI220" s="394" t="s">
        <v>182</v>
      </c>
      <c r="DJ220" s="643" t="s">
        <v>628</v>
      </c>
      <c r="DK220" s="643" t="s">
        <v>1745</v>
      </c>
      <c r="DL220" s="394" t="s">
        <v>279</v>
      </c>
      <c r="DM220" s="394" t="s">
        <v>1747</v>
      </c>
      <c r="DN220" s="390"/>
      <c r="DO220" s="654"/>
      <c r="DP220" s="390"/>
      <c r="DQ220" s="646"/>
      <c r="DR220" s="646"/>
      <c r="DS220" s="390"/>
      <c r="DT220" s="646"/>
      <c r="DU220" s="406"/>
      <c r="DV220" s="390"/>
      <c r="DW220" s="390"/>
      <c r="DX220" s="390"/>
      <c r="DY220" s="646"/>
      <c r="DZ220" s="829"/>
      <c r="EA220" s="390"/>
      <c r="EB220" s="390"/>
      <c r="EC220" s="647"/>
      <c r="ED220" s="647"/>
      <c r="EE220" s="647"/>
      <c r="EF220" s="647"/>
      <c r="EG220" s="647"/>
      <c r="EH220" s="390"/>
      <c r="EI220" s="647"/>
      <c r="EJ220" s="647"/>
      <c r="EK220" s="68"/>
      <c r="EL220" s="91" t="str">
        <f t="shared" si="56"/>
        <v>No aplica, no hay meta</v>
      </c>
      <c r="EM220" s="83" t="str">
        <f t="shared" si="57"/>
        <v>No se reportó avance</v>
      </c>
      <c r="EN220" s="646" t="s">
        <v>4682</v>
      </c>
      <c r="EO220" s="69" t="str">
        <f t="shared" si="44"/>
        <v>Gestión</v>
      </c>
      <c r="EP220" s="69" t="str">
        <f t="shared" si="45"/>
        <v>6</v>
      </c>
    </row>
    <row r="221" spans="1:146" ht="150" customHeight="1">
      <c r="A221" s="390" t="s">
        <v>1718</v>
      </c>
      <c r="B221" s="398" t="s">
        <v>1719</v>
      </c>
      <c r="C221" s="399" t="s">
        <v>1720</v>
      </c>
      <c r="D221" s="400" t="s">
        <v>1721</v>
      </c>
      <c r="E221" s="401" t="s">
        <v>2002</v>
      </c>
      <c r="F221" s="390" t="s">
        <v>182</v>
      </c>
      <c r="G221" s="390" t="s">
        <v>182</v>
      </c>
      <c r="H221" s="390" t="s">
        <v>2026</v>
      </c>
      <c r="I221" s="390" t="s">
        <v>728</v>
      </c>
      <c r="J221" s="390" t="s">
        <v>1723</v>
      </c>
      <c r="K221" s="390" t="s">
        <v>182</v>
      </c>
      <c r="L221" s="402">
        <v>9</v>
      </c>
      <c r="M221" s="390" t="s">
        <v>1982</v>
      </c>
      <c r="N221" s="390" t="s">
        <v>1983</v>
      </c>
      <c r="O221" s="390" t="s">
        <v>1984</v>
      </c>
      <c r="P221" s="390" t="s">
        <v>200</v>
      </c>
      <c r="Q221" s="390" t="s">
        <v>162</v>
      </c>
      <c r="R221" s="398">
        <v>1</v>
      </c>
      <c r="S221" s="390" t="s">
        <v>163</v>
      </c>
      <c r="T221" s="437">
        <v>44946</v>
      </c>
      <c r="U221" s="403">
        <v>46387</v>
      </c>
      <c r="V221" s="391"/>
      <c r="W221" s="391"/>
      <c r="X221" s="391"/>
      <c r="Y221" s="391"/>
      <c r="Z221" s="391"/>
      <c r="AA221" s="391"/>
      <c r="AB221" s="391"/>
      <c r="AC221" s="391"/>
      <c r="AD221" s="391"/>
      <c r="AE221" s="391"/>
      <c r="AF221" s="391"/>
      <c r="AG221" s="391"/>
      <c r="AH221" s="391"/>
      <c r="AI221" s="391"/>
      <c r="AJ221" s="391"/>
      <c r="AK221" s="396"/>
      <c r="AL221" s="396"/>
      <c r="AM221" s="396"/>
      <c r="AN221" s="396"/>
      <c r="AO221" s="396"/>
      <c r="AP221" s="396"/>
      <c r="AQ221" s="390"/>
      <c r="AR221" s="390"/>
      <c r="AS221" s="390"/>
      <c r="AT221" s="390"/>
      <c r="AU221" s="390"/>
      <c r="AV221" s="390"/>
      <c r="AW221" s="390"/>
      <c r="AX221" s="390"/>
      <c r="AY221" s="390"/>
      <c r="AZ221" s="646"/>
      <c r="BA221" s="390"/>
      <c r="BB221" s="646"/>
      <c r="BC221" s="390"/>
      <c r="BD221" s="646"/>
      <c r="BE221" s="390"/>
      <c r="BF221" s="390"/>
      <c r="BG221" s="390"/>
      <c r="BH221" s="390"/>
      <c r="BI221" s="390"/>
      <c r="BJ221" s="390"/>
      <c r="BK221" s="390"/>
      <c r="BL221" s="390"/>
      <c r="BM221" s="390"/>
      <c r="BN221" s="390"/>
      <c r="BO221" s="390"/>
      <c r="BP221" s="390"/>
      <c r="BQ221" s="647"/>
      <c r="BR221" s="647"/>
      <c r="BS221" s="390"/>
      <c r="BT221" s="390"/>
      <c r="BU221" s="390"/>
      <c r="BV221" s="390"/>
      <c r="BW221" s="390"/>
      <c r="BX221" s="390"/>
      <c r="BY221" s="390"/>
      <c r="BZ221" s="390"/>
      <c r="CA221" s="390"/>
      <c r="CB221" s="390"/>
      <c r="CC221" s="390"/>
      <c r="CD221" s="390"/>
      <c r="CE221" s="390"/>
      <c r="CF221" s="647"/>
      <c r="CG221" s="393"/>
      <c r="CH221" s="393"/>
      <c r="CI221" s="393"/>
      <c r="CJ221" s="83" t="str">
        <f t="shared" si="42"/>
        <v>No aplica</v>
      </c>
      <c r="CK221" s="83" t="str">
        <f t="shared" si="43"/>
        <v>No aplica</v>
      </c>
      <c r="CL221" s="83" t="str">
        <f t="shared" si="53"/>
        <v>No requiere reporte</v>
      </c>
      <c r="CM221" s="89" t="str">
        <f t="shared" si="54"/>
        <v>No requiere reporte</v>
      </c>
      <c r="CN221" s="89" t="str">
        <f t="shared" si="55"/>
        <v>No requiere reporte</v>
      </c>
      <c r="CO221" s="394" t="s">
        <v>2049</v>
      </c>
      <c r="CP221" s="394" t="s">
        <v>2050</v>
      </c>
      <c r="CQ221" s="658" t="s">
        <v>1881</v>
      </c>
      <c r="CR221" s="394" t="s">
        <v>2051</v>
      </c>
      <c r="CS221" s="394" t="s">
        <v>2052</v>
      </c>
      <c r="CT221" s="394" t="s">
        <v>161</v>
      </c>
      <c r="CU221" s="394" t="s">
        <v>233</v>
      </c>
      <c r="CV221" s="394">
        <v>42</v>
      </c>
      <c r="CW221" s="394" t="s">
        <v>234</v>
      </c>
      <c r="CX221" s="395">
        <v>46037</v>
      </c>
      <c r="CY221" s="395">
        <v>46387</v>
      </c>
      <c r="CZ221" s="396">
        <v>0</v>
      </c>
      <c r="DA221" s="396">
        <v>0</v>
      </c>
      <c r="DB221" s="396">
        <v>0</v>
      </c>
      <c r="DC221" s="396">
        <v>20</v>
      </c>
      <c r="DD221" s="391">
        <f>SUM(CZ221:DC221)</f>
        <v>20</v>
      </c>
      <c r="DE221" s="394" t="s">
        <v>514</v>
      </c>
      <c r="DF221" s="394" t="s">
        <v>1743</v>
      </c>
      <c r="DG221" s="394" t="s">
        <v>1744</v>
      </c>
      <c r="DH221" s="397">
        <v>3000000000</v>
      </c>
      <c r="DI221" s="394" t="s">
        <v>182</v>
      </c>
      <c r="DJ221" s="643" t="s">
        <v>628</v>
      </c>
      <c r="DK221" s="643" t="s">
        <v>1745</v>
      </c>
      <c r="DL221" s="394" t="s">
        <v>279</v>
      </c>
      <c r="DM221" s="394" t="s">
        <v>2053</v>
      </c>
      <c r="DN221" s="390"/>
      <c r="DO221" s="654"/>
      <c r="DP221" s="390"/>
      <c r="DQ221" s="646"/>
      <c r="DR221" s="646"/>
      <c r="DS221" s="390"/>
      <c r="DT221" s="646"/>
      <c r="DU221" s="406"/>
      <c r="DV221" s="390"/>
      <c r="DW221" s="390"/>
      <c r="DX221" s="390"/>
      <c r="DY221" s="646"/>
      <c r="DZ221" s="829"/>
      <c r="EA221" s="390"/>
      <c r="EB221" s="390"/>
      <c r="EC221" s="647"/>
      <c r="ED221" s="647"/>
      <c r="EE221" s="647"/>
      <c r="EF221" s="647"/>
      <c r="EG221" s="647"/>
      <c r="EH221" s="390"/>
      <c r="EI221" s="647"/>
      <c r="EJ221" s="647"/>
      <c r="EK221" s="68"/>
      <c r="EL221" s="91" t="str">
        <f t="shared" si="56"/>
        <v>No aplica, no hay meta</v>
      </c>
      <c r="EM221" s="83" t="str">
        <f t="shared" si="57"/>
        <v>No se reportó avance</v>
      </c>
      <c r="EN221" s="646"/>
      <c r="EO221" s="69" t="str">
        <f t="shared" si="44"/>
        <v>Gestión</v>
      </c>
      <c r="EP221" s="69" t="str">
        <f t="shared" si="45"/>
        <v>6</v>
      </c>
    </row>
    <row r="222" spans="1:146" ht="150" customHeight="1">
      <c r="A222" s="377" t="s">
        <v>1718</v>
      </c>
      <c r="B222" s="378" t="s">
        <v>1719</v>
      </c>
      <c r="C222" s="379" t="s">
        <v>2054</v>
      </c>
      <c r="D222" s="380" t="s">
        <v>1721</v>
      </c>
      <c r="E222" s="381" t="s">
        <v>2055</v>
      </c>
      <c r="F222" s="377" t="s">
        <v>182</v>
      </c>
      <c r="G222" s="377" t="s">
        <v>2056</v>
      </c>
      <c r="H222" s="377" t="s">
        <v>2026</v>
      </c>
      <c r="I222" s="377" t="s">
        <v>728</v>
      </c>
      <c r="J222" s="377" t="s">
        <v>1723</v>
      </c>
      <c r="K222" s="377" t="s">
        <v>1757</v>
      </c>
      <c r="L222" s="382">
        <v>10</v>
      </c>
      <c r="M222" s="382" t="s">
        <v>2057</v>
      </c>
      <c r="N222" s="382" t="s">
        <v>2058</v>
      </c>
      <c r="O222" s="382" t="s">
        <v>2059</v>
      </c>
      <c r="P222" s="382" t="s">
        <v>200</v>
      </c>
      <c r="Q222" s="382" t="s">
        <v>233</v>
      </c>
      <c r="R222" s="382" t="s">
        <v>182</v>
      </c>
      <c r="S222" s="382" t="s">
        <v>234</v>
      </c>
      <c r="T222" s="436">
        <v>44946</v>
      </c>
      <c r="U222" s="384">
        <v>46387</v>
      </c>
      <c r="V222" s="628">
        <v>0</v>
      </c>
      <c r="W222" s="629">
        <v>15</v>
      </c>
      <c r="X222" s="629">
        <v>16</v>
      </c>
      <c r="Y222" s="629">
        <v>11</v>
      </c>
      <c r="Z222" s="388">
        <f>+V222+W222+X222+Y222</f>
        <v>42</v>
      </c>
      <c r="AA222" s="386">
        <v>5</v>
      </c>
      <c r="AB222" s="386">
        <v>16</v>
      </c>
      <c r="AC222" s="386">
        <v>11</v>
      </c>
      <c r="AD222" s="386">
        <v>13</v>
      </c>
      <c r="AE222" s="388">
        <f>+AA222+AB222+AC222+AD222</f>
        <v>45</v>
      </c>
      <c r="AF222" s="386">
        <v>0</v>
      </c>
      <c r="AG222" s="386">
        <v>12</v>
      </c>
      <c r="AH222" s="386">
        <v>21</v>
      </c>
      <c r="AI222" s="386">
        <v>22</v>
      </c>
      <c r="AJ222" s="386">
        <f>+AG222+AH222+AI222+AF222</f>
        <v>55</v>
      </c>
      <c r="AK222" s="388">
        <f>SUM(CZ222:CZ224)</f>
        <v>10</v>
      </c>
      <c r="AL222" s="388">
        <f t="shared" ref="AL222:AN222" si="59">SUM(DA222:DA224)</f>
        <v>22</v>
      </c>
      <c r="AM222" s="388">
        <f t="shared" si="59"/>
        <v>15</v>
      </c>
      <c r="AN222" s="388">
        <f t="shared" si="59"/>
        <v>12</v>
      </c>
      <c r="AO222" s="388">
        <f>SUM(AK222:AN222)</f>
        <v>59</v>
      </c>
      <c r="AP222" s="388">
        <f>+AO222+AJ222+AE222+Z222</f>
        <v>201</v>
      </c>
      <c r="AQ222" s="390">
        <v>75</v>
      </c>
      <c r="AR222" s="389" t="s">
        <v>2060</v>
      </c>
      <c r="AS222" s="390">
        <v>101</v>
      </c>
      <c r="AT222" s="389" t="s">
        <v>2061</v>
      </c>
      <c r="AU222" s="390">
        <v>7</v>
      </c>
      <c r="AV222" s="389" t="s">
        <v>2062</v>
      </c>
      <c r="AW222" s="390">
        <v>10</v>
      </c>
      <c r="AX222" s="644" t="s">
        <v>2063</v>
      </c>
      <c r="AY222" s="390">
        <f>+AW222+AU222+AS222+AQ222</f>
        <v>193</v>
      </c>
      <c r="AZ222" s="644" t="s">
        <v>2064</v>
      </c>
      <c r="BA222" s="390">
        <v>1</v>
      </c>
      <c r="BB222" s="646" t="s">
        <v>2065</v>
      </c>
      <c r="BC222" s="390">
        <v>22</v>
      </c>
      <c r="BD222" s="646" t="s">
        <v>2066</v>
      </c>
      <c r="BE222" s="174">
        <v>22</v>
      </c>
      <c r="BF222" s="390" t="s">
        <v>2067</v>
      </c>
      <c r="BG222" s="391">
        <v>8</v>
      </c>
      <c r="BH222" s="390" t="s">
        <v>2068</v>
      </c>
      <c r="BI222" s="391">
        <v>53</v>
      </c>
      <c r="BJ222" s="390" t="s">
        <v>2069</v>
      </c>
      <c r="BK222" s="390">
        <f>+DN222</f>
        <v>0</v>
      </c>
      <c r="BL222" s="390" t="s">
        <v>2070</v>
      </c>
      <c r="BM222" s="390">
        <v>35</v>
      </c>
      <c r="BN222" s="390" t="s">
        <v>2071</v>
      </c>
      <c r="BO222" s="390">
        <v>26</v>
      </c>
      <c r="BP222" s="390" t="s">
        <v>2072</v>
      </c>
      <c r="BQ222" s="647"/>
      <c r="BR222" s="647"/>
      <c r="BS222" s="390">
        <f>+BO222+BM222+BK222</f>
        <v>61</v>
      </c>
      <c r="BT222" s="390"/>
      <c r="BU222" s="390"/>
      <c r="BV222" s="390"/>
      <c r="BW222" s="390"/>
      <c r="BX222" s="390"/>
      <c r="BY222" s="390"/>
      <c r="BZ222" s="390"/>
      <c r="CA222" s="390"/>
      <c r="CB222" s="390"/>
      <c r="CC222" s="390"/>
      <c r="CD222" s="390"/>
      <c r="CE222" s="391">
        <v>316</v>
      </c>
      <c r="CF222" s="647"/>
      <c r="CG222" s="392">
        <f>SUM(DH222:DH224)</f>
        <v>2064313554</v>
      </c>
      <c r="CH222" s="393"/>
      <c r="CI222" s="393"/>
      <c r="CJ222" s="83">
        <f t="shared" si="42"/>
        <v>0</v>
      </c>
      <c r="CK222" s="83">
        <f t="shared" si="43"/>
        <v>0</v>
      </c>
      <c r="CL222" s="83" t="str">
        <f t="shared" si="53"/>
        <v>No se reportó avance</v>
      </c>
      <c r="CM222" s="89" t="str">
        <f t="shared" si="54"/>
        <v>No se reportó avance</v>
      </c>
      <c r="CN222" s="89">
        <f t="shared" si="55"/>
        <v>1.0000100000000001</v>
      </c>
      <c r="CO222" s="394" t="s">
        <v>2073</v>
      </c>
      <c r="CP222" s="394" t="s">
        <v>2074</v>
      </c>
      <c r="CQ222" s="394" t="s">
        <v>2075</v>
      </c>
      <c r="CR222" s="394" t="s">
        <v>415</v>
      </c>
      <c r="CS222" s="394" t="s">
        <v>2076</v>
      </c>
      <c r="CT222" s="394" t="s">
        <v>200</v>
      </c>
      <c r="CU222" s="394" t="s">
        <v>233</v>
      </c>
      <c r="CV222" s="394">
        <v>100</v>
      </c>
      <c r="CW222" s="394" t="s">
        <v>234</v>
      </c>
      <c r="CX222" s="395">
        <v>46037</v>
      </c>
      <c r="CY222" s="395">
        <v>46387</v>
      </c>
      <c r="CZ222" s="396">
        <v>10</v>
      </c>
      <c r="DA222" s="396">
        <v>20</v>
      </c>
      <c r="DB222" s="396">
        <v>15</v>
      </c>
      <c r="DC222" s="396">
        <v>10</v>
      </c>
      <c r="DD222" s="391">
        <f>SUM(CZ222:DC222)</f>
        <v>55</v>
      </c>
      <c r="DE222" s="394" t="s">
        <v>514</v>
      </c>
      <c r="DF222" s="394" t="s">
        <v>1743</v>
      </c>
      <c r="DG222" s="394" t="s">
        <v>1744</v>
      </c>
      <c r="DH222" s="397">
        <v>614313554</v>
      </c>
      <c r="DI222" s="394" t="s">
        <v>182</v>
      </c>
      <c r="DJ222" s="643" t="s">
        <v>628</v>
      </c>
      <c r="DK222" s="643" t="s">
        <v>1745</v>
      </c>
      <c r="DL222" s="394" t="s">
        <v>279</v>
      </c>
      <c r="DM222" s="394" t="s">
        <v>2077</v>
      </c>
      <c r="DN222" s="390"/>
      <c r="DO222" s="654"/>
      <c r="DP222" s="830"/>
      <c r="DQ222" s="390"/>
      <c r="DR222" s="390"/>
      <c r="DS222" s="390"/>
      <c r="DT222" s="646"/>
      <c r="DU222" s="406"/>
      <c r="DV222" s="390"/>
      <c r="DW222" s="390"/>
      <c r="DX222" s="390"/>
      <c r="DY222" s="646"/>
      <c r="DZ222" s="829"/>
      <c r="EA222" s="390"/>
      <c r="EB222" s="390"/>
      <c r="EC222" s="647"/>
      <c r="ED222" s="647"/>
      <c r="EE222" s="647"/>
      <c r="EF222" s="647"/>
      <c r="EG222" s="647"/>
      <c r="EH222" s="390"/>
      <c r="EI222" s="647"/>
      <c r="EJ222" s="647"/>
      <c r="EK222" s="68"/>
      <c r="EL222" s="91" t="str">
        <f t="shared" si="56"/>
        <v>No se reportó avance</v>
      </c>
      <c r="EM222" s="83" t="str">
        <f t="shared" si="57"/>
        <v>No se reportó avance</v>
      </c>
      <c r="EN222" s="646" t="s">
        <v>4682</v>
      </c>
      <c r="EO222" s="69" t="str">
        <f t="shared" si="44"/>
        <v>Gestión</v>
      </c>
      <c r="EP222" s="69" t="str">
        <f t="shared" si="45"/>
        <v>6</v>
      </c>
    </row>
    <row r="223" spans="1:146" ht="150" customHeight="1">
      <c r="A223" s="390" t="s">
        <v>1718</v>
      </c>
      <c r="B223" s="398" t="s">
        <v>1719</v>
      </c>
      <c r="C223" s="399" t="s">
        <v>2054</v>
      </c>
      <c r="D223" s="400" t="s">
        <v>1721</v>
      </c>
      <c r="E223" s="401" t="s">
        <v>2055</v>
      </c>
      <c r="F223" s="390" t="s">
        <v>182</v>
      </c>
      <c r="G223" s="390" t="s">
        <v>182</v>
      </c>
      <c r="H223" s="390" t="s">
        <v>2026</v>
      </c>
      <c r="I223" s="390" t="s">
        <v>728</v>
      </c>
      <c r="J223" s="390" t="s">
        <v>1723</v>
      </c>
      <c r="K223" s="390" t="s">
        <v>182</v>
      </c>
      <c r="L223" s="402">
        <v>10</v>
      </c>
      <c r="M223" s="390" t="s">
        <v>2057</v>
      </c>
      <c r="N223" s="390" t="s">
        <v>2058</v>
      </c>
      <c r="O223" s="390" t="s">
        <v>2059</v>
      </c>
      <c r="P223" s="390" t="s">
        <v>200</v>
      </c>
      <c r="Q223" s="390" t="s">
        <v>233</v>
      </c>
      <c r="R223" s="390" t="s">
        <v>182</v>
      </c>
      <c r="S223" s="390" t="s">
        <v>234</v>
      </c>
      <c r="T223" s="437">
        <v>44946</v>
      </c>
      <c r="U223" s="403">
        <v>46387</v>
      </c>
      <c r="V223" s="68"/>
      <c r="W223" s="68"/>
      <c r="X223" s="68"/>
      <c r="Y223" s="68"/>
      <c r="Z223" s="446"/>
      <c r="AA223" s="446"/>
      <c r="AB223" s="446"/>
      <c r="AC223" s="446"/>
      <c r="AD223" s="446"/>
      <c r="AE223" s="446"/>
      <c r="AF223" s="446"/>
      <c r="AG223" s="446"/>
      <c r="AH223" s="446"/>
      <c r="AI223" s="446"/>
      <c r="AJ223" s="446"/>
      <c r="AK223" s="447"/>
      <c r="AL223" s="447"/>
      <c r="AM223" s="447"/>
      <c r="AN223" s="447"/>
      <c r="AO223" s="447"/>
      <c r="AP223" s="447"/>
      <c r="AQ223" s="68"/>
      <c r="AR223" s="68"/>
      <c r="AS223" s="68"/>
      <c r="AT223" s="68"/>
      <c r="AU223" s="68"/>
      <c r="AV223" s="68"/>
      <c r="AW223" s="68"/>
      <c r="AX223" s="68"/>
      <c r="AY223" s="68"/>
      <c r="AZ223" s="68"/>
      <c r="BA223" s="68"/>
      <c r="BB223" s="68"/>
      <c r="BC223" s="68"/>
      <c r="BD223" s="68"/>
      <c r="BE223" s="68"/>
      <c r="BF223" s="68"/>
      <c r="BG223" s="68"/>
      <c r="BH223" s="68"/>
      <c r="BI223" s="68"/>
      <c r="BJ223" s="68"/>
      <c r="BK223" s="446"/>
      <c r="BL223" s="390"/>
      <c r="BM223" s="446"/>
      <c r="BN223" s="390"/>
      <c r="BO223" s="446"/>
      <c r="BP223" s="390"/>
      <c r="BQ223" s="68"/>
      <c r="BR223" s="68"/>
      <c r="BS223" s="446"/>
      <c r="BT223" s="446"/>
      <c r="BU223" s="446"/>
      <c r="BV223" s="446"/>
      <c r="BW223" s="446"/>
      <c r="BX223" s="446"/>
      <c r="BY223" s="446"/>
      <c r="BZ223" s="446"/>
      <c r="CA223" s="446"/>
      <c r="CB223" s="446"/>
      <c r="CC223" s="446"/>
      <c r="CD223" s="446"/>
      <c r="CE223" s="446"/>
      <c r="CF223" s="68"/>
      <c r="CG223" s="448"/>
      <c r="CH223" s="448"/>
      <c r="CI223" s="448"/>
      <c r="CJ223" s="83" t="str">
        <f t="shared" si="42"/>
        <v>No aplica</v>
      </c>
      <c r="CK223" s="83" t="str">
        <f t="shared" si="43"/>
        <v>No aplica</v>
      </c>
      <c r="CL223" s="83" t="str">
        <f t="shared" si="53"/>
        <v>No requiere reporte</v>
      </c>
      <c r="CM223" s="89" t="str">
        <f t="shared" si="54"/>
        <v>No requiere reporte</v>
      </c>
      <c r="CN223" s="89" t="str">
        <f t="shared" si="55"/>
        <v>No requiere reporte</v>
      </c>
      <c r="CO223" s="394" t="s">
        <v>2078</v>
      </c>
      <c r="CP223" s="394" t="s">
        <v>2079</v>
      </c>
      <c r="CQ223" s="394" t="s">
        <v>1907</v>
      </c>
      <c r="CR223" s="394" t="s">
        <v>2080</v>
      </c>
      <c r="CS223" s="394" t="s">
        <v>2081</v>
      </c>
      <c r="CT223" s="394" t="s">
        <v>200</v>
      </c>
      <c r="CU223" s="394" t="s">
        <v>162</v>
      </c>
      <c r="CV223" s="414">
        <v>1</v>
      </c>
      <c r="CW223" s="394" t="s">
        <v>163</v>
      </c>
      <c r="CX223" s="395">
        <v>46037</v>
      </c>
      <c r="CY223" s="395">
        <v>46387</v>
      </c>
      <c r="CZ223" s="438">
        <v>0</v>
      </c>
      <c r="DA223" s="413">
        <v>1</v>
      </c>
      <c r="DB223" s="438">
        <v>0</v>
      </c>
      <c r="DC223" s="413">
        <v>1</v>
      </c>
      <c r="DD223" s="438">
        <v>1</v>
      </c>
      <c r="DE223" s="394" t="s">
        <v>514</v>
      </c>
      <c r="DF223" s="394" t="s">
        <v>1743</v>
      </c>
      <c r="DG223" s="394" t="s">
        <v>1744</v>
      </c>
      <c r="DH223" s="397">
        <v>1300000000</v>
      </c>
      <c r="DI223" s="394" t="s">
        <v>182</v>
      </c>
      <c r="DJ223" s="643" t="s">
        <v>628</v>
      </c>
      <c r="DK223" s="643" t="s">
        <v>1745</v>
      </c>
      <c r="DL223" s="394" t="s">
        <v>279</v>
      </c>
      <c r="DM223" s="394" t="s">
        <v>2077</v>
      </c>
      <c r="DN223" s="449"/>
      <c r="DO223" s="654"/>
      <c r="DP223" s="446"/>
      <c r="DQ223" s="390"/>
      <c r="DR223" s="390"/>
      <c r="DS223" s="446"/>
      <c r="DT223" s="646"/>
      <c r="DU223" s="390"/>
      <c r="DV223" s="390"/>
      <c r="DW223" s="390"/>
      <c r="DX223" s="449"/>
      <c r="DY223" s="646"/>
      <c r="DZ223" s="829"/>
      <c r="EA223" s="390"/>
      <c r="EB223" s="390"/>
      <c r="EC223" s="656"/>
      <c r="ED223" s="68"/>
      <c r="EE223" s="68"/>
      <c r="EF223" s="68"/>
      <c r="EG223" s="68"/>
      <c r="EH223" s="398"/>
      <c r="EI223" s="68"/>
      <c r="EJ223" s="68"/>
      <c r="EK223" s="68"/>
      <c r="EL223" s="91" t="str">
        <f t="shared" si="56"/>
        <v>No aplica, no hay meta</v>
      </c>
      <c r="EM223" s="83" t="str">
        <f t="shared" si="57"/>
        <v>No se reportó avance</v>
      </c>
      <c r="EN223" s="646"/>
      <c r="EO223" s="69" t="str">
        <f t="shared" si="44"/>
        <v>Gestión</v>
      </c>
      <c r="EP223" s="69" t="str">
        <f t="shared" si="45"/>
        <v>6</v>
      </c>
    </row>
    <row r="224" spans="1:146" ht="150" customHeight="1">
      <c r="A224" s="390" t="s">
        <v>1718</v>
      </c>
      <c r="B224" s="398" t="s">
        <v>1719</v>
      </c>
      <c r="C224" s="399" t="s">
        <v>2054</v>
      </c>
      <c r="D224" s="400" t="s">
        <v>1721</v>
      </c>
      <c r="E224" s="401" t="s">
        <v>2055</v>
      </c>
      <c r="F224" s="390" t="s">
        <v>182</v>
      </c>
      <c r="G224" s="390" t="s">
        <v>182</v>
      </c>
      <c r="H224" s="390" t="s">
        <v>2082</v>
      </c>
      <c r="I224" s="390" t="s">
        <v>728</v>
      </c>
      <c r="J224" s="390" t="s">
        <v>1723</v>
      </c>
      <c r="K224" s="390" t="s">
        <v>182</v>
      </c>
      <c r="L224" s="402">
        <v>10</v>
      </c>
      <c r="M224" s="390" t="s">
        <v>2057</v>
      </c>
      <c r="N224" s="390" t="s">
        <v>2058</v>
      </c>
      <c r="O224" s="390" t="s">
        <v>2059</v>
      </c>
      <c r="P224" s="390" t="s">
        <v>200</v>
      </c>
      <c r="Q224" s="390" t="s">
        <v>233</v>
      </c>
      <c r="R224" s="390" t="s">
        <v>182</v>
      </c>
      <c r="S224" s="390" t="s">
        <v>234</v>
      </c>
      <c r="T224" s="437">
        <v>44946</v>
      </c>
      <c r="U224" s="403">
        <v>46387</v>
      </c>
      <c r="V224" s="68"/>
      <c r="W224" s="68"/>
      <c r="X224" s="68"/>
      <c r="Y224" s="68"/>
      <c r="Z224" s="446"/>
      <c r="AA224" s="446"/>
      <c r="AB224" s="446"/>
      <c r="AC224" s="446"/>
      <c r="AD224" s="446"/>
      <c r="AE224" s="446"/>
      <c r="AF224" s="446"/>
      <c r="AG224" s="446"/>
      <c r="AH224" s="446"/>
      <c r="AI224" s="446"/>
      <c r="AJ224" s="446"/>
      <c r="AK224" s="447"/>
      <c r="AL224" s="447"/>
      <c r="AM224" s="447"/>
      <c r="AN224" s="447"/>
      <c r="AO224" s="447"/>
      <c r="AP224" s="447"/>
      <c r="AQ224" s="68"/>
      <c r="AR224" s="68"/>
      <c r="AS224" s="68"/>
      <c r="AT224" s="68"/>
      <c r="AU224" s="68"/>
      <c r="AV224" s="68"/>
      <c r="AW224" s="68"/>
      <c r="AX224" s="68"/>
      <c r="AY224" s="68"/>
      <c r="AZ224" s="68"/>
      <c r="BA224" s="68"/>
      <c r="BB224" s="68"/>
      <c r="BC224" s="68"/>
      <c r="BD224" s="68"/>
      <c r="BE224" s="68"/>
      <c r="BF224" s="68"/>
      <c r="BG224" s="68"/>
      <c r="BH224" s="68"/>
      <c r="BI224" s="68"/>
      <c r="BJ224" s="68"/>
      <c r="BK224" s="446"/>
      <c r="BL224" s="390"/>
      <c r="BM224" s="446"/>
      <c r="BN224" s="390"/>
      <c r="BO224" s="446"/>
      <c r="BP224" s="390"/>
      <c r="BQ224" s="68"/>
      <c r="BR224" s="68"/>
      <c r="BS224" s="446"/>
      <c r="BT224" s="446"/>
      <c r="BU224" s="446"/>
      <c r="BV224" s="446"/>
      <c r="BW224" s="446"/>
      <c r="BX224" s="446"/>
      <c r="BY224" s="446"/>
      <c r="BZ224" s="446"/>
      <c r="CA224" s="446"/>
      <c r="CB224" s="446"/>
      <c r="CC224" s="446"/>
      <c r="CD224" s="446"/>
      <c r="CE224" s="446"/>
      <c r="CF224" s="68"/>
      <c r="CG224" s="448"/>
      <c r="CH224" s="448"/>
      <c r="CI224" s="448"/>
      <c r="CJ224" s="83" t="str">
        <f t="shared" si="42"/>
        <v>No aplica</v>
      </c>
      <c r="CK224" s="83" t="str">
        <f t="shared" si="43"/>
        <v>No aplica</v>
      </c>
      <c r="CL224" s="83" t="str">
        <f t="shared" si="53"/>
        <v>No requiere reporte</v>
      </c>
      <c r="CM224" s="89" t="str">
        <f t="shared" si="54"/>
        <v>No requiere reporte</v>
      </c>
      <c r="CN224" s="89" t="str">
        <f t="shared" si="55"/>
        <v>No requiere reporte</v>
      </c>
      <c r="CO224" s="394" t="s">
        <v>2083</v>
      </c>
      <c r="CP224" s="394" t="s">
        <v>2084</v>
      </c>
      <c r="CQ224" s="394" t="s">
        <v>2085</v>
      </c>
      <c r="CR224" s="394" t="s">
        <v>2086</v>
      </c>
      <c r="CS224" s="394" t="s">
        <v>2087</v>
      </c>
      <c r="CT224" s="394" t="s">
        <v>200</v>
      </c>
      <c r="CU224" s="394" t="s">
        <v>233</v>
      </c>
      <c r="CV224" s="394">
        <v>1</v>
      </c>
      <c r="CW224" s="394" t="s">
        <v>234</v>
      </c>
      <c r="CX224" s="395">
        <v>46037</v>
      </c>
      <c r="CY224" s="395">
        <v>46387</v>
      </c>
      <c r="CZ224" s="833">
        <v>0</v>
      </c>
      <c r="DA224" s="833">
        <v>1</v>
      </c>
      <c r="DB224" s="833">
        <v>0</v>
      </c>
      <c r="DC224" s="833">
        <v>1</v>
      </c>
      <c r="DD224" s="391">
        <f t="shared" ref="DD224:DD231" si="60">SUM(CZ224:DC224)</f>
        <v>2</v>
      </c>
      <c r="DE224" s="394" t="s">
        <v>514</v>
      </c>
      <c r="DF224" s="394" t="s">
        <v>1743</v>
      </c>
      <c r="DG224" s="394" t="s">
        <v>1744</v>
      </c>
      <c r="DH224" s="397">
        <v>150000000</v>
      </c>
      <c r="DI224" s="394" t="s">
        <v>182</v>
      </c>
      <c r="DJ224" s="643" t="s">
        <v>628</v>
      </c>
      <c r="DK224" s="643" t="s">
        <v>1745</v>
      </c>
      <c r="DL224" s="394" t="s">
        <v>279</v>
      </c>
      <c r="DM224" s="394" t="s">
        <v>2077</v>
      </c>
      <c r="DN224" s="446"/>
      <c r="DO224" s="654"/>
      <c r="DP224" s="446"/>
      <c r="DQ224" s="390"/>
      <c r="DR224" s="390"/>
      <c r="DS224" s="446"/>
      <c r="DT224" s="646"/>
      <c r="DU224" s="406"/>
      <c r="DV224" s="390"/>
      <c r="DW224" s="390"/>
      <c r="DX224" s="446"/>
      <c r="DY224" s="646"/>
      <c r="DZ224" s="390"/>
      <c r="EA224" s="390"/>
      <c r="EB224" s="390"/>
      <c r="EC224" s="68"/>
      <c r="ED224" s="68"/>
      <c r="EE224" s="68"/>
      <c r="EF224" s="68"/>
      <c r="EG224" s="68"/>
      <c r="EH224" s="390"/>
      <c r="EI224" s="68"/>
      <c r="EJ224" s="68"/>
      <c r="EK224" s="68"/>
      <c r="EL224" s="91" t="str">
        <f t="shared" si="56"/>
        <v>No aplica, no hay meta</v>
      </c>
      <c r="EM224" s="83" t="str">
        <f t="shared" si="57"/>
        <v>No se reportó avance</v>
      </c>
      <c r="EN224" s="646"/>
      <c r="EO224" s="69" t="str">
        <f t="shared" si="44"/>
        <v>Gestión</v>
      </c>
      <c r="EP224" s="69" t="str">
        <f t="shared" si="45"/>
        <v>6</v>
      </c>
    </row>
    <row r="225" spans="1:146" ht="150" customHeight="1">
      <c r="A225" s="377" t="s">
        <v>1718</v>
      </c>
      <c r="B225" s="378" t="s">
        <v>1719</v>
      </c>
      <c r="C225" s="379" t="s">
        <v>2088</v>
      </c>
      <c r="D225" s="380" t="s">
        <v>1721</v>
      </c>
      <c r="E225" s="381" t="s">
        <v>2089</v>
      </c>
      <c r="F225" s="377" t="s">
        <v>182</v>
      </c>
      <c r="G225" s="377" t="s">
        <v>2090</v>
      </c>
      <c r="H225" s="377" t="s">
        <v>2091</v>
      </c>
      <c r="I225" s="377" t="s">
        <v>728</v>
      </c>
      <c r="J225" s="377" t="s">
        <v>1723</v>
      </c>
      <c r="K225" s="377" t="s">
        <v>1757</v>
      </c>
      <c r="L225" s="382">
        <v>11</v>
      </c>
      <c r="M225" s="382" t="s">
        <v>2092</v>
      </c>
      <c r="N225" s="382" t="s">
        <v>2093</v>
      </c>
      <c r="O225" s="382" t="s">
        <v>1984</v>
      </c>
      <c r="P225" s="382" t="s">
        <v>200</v>
      </c>
      <c r="Q225" s="382" t="s">
        <v>162</v>
      </c>
      <c r="R225" s="383">
        <v>1</v>
      </c>
      <c r="S225" s="382" t="s">
        <v>163</v>
      </c>
      <c r="T225" s="436">
        <v>44946</v>
      </c>
      <c r="U225" s="384">
        <v>46387</v>
      </c>
      <c r="V225" s="407">
        <v>1</v>
      </c>
      <c r="W225" s="407">
        <v>1</v>
      </c>
      <c r="X225" s="407">
        <v>1</v>
      </c>
      <c r="Y225" s="407">
        <v>1</v>
      </c>
      <c r="Z225" s="407">
        <v>1</v>
      </c>
      <c r="AA225" s="407">
        <v>1</v>
      </c>
      <c r="AB225" s="407">
        <v>1</v>
      </c>
      <c r="AC225" s="407">
        <v>1</v>
      </c>
      <c r="AD225" s="407">
        <v>1</v>
      </c>
      <c r="AE225" s="407">
        <v>1</v>
      </c>
      <c r="AF225" s="407">
        <v>1</v>
      </c>
      <c r="AG225" s="407">
        <v>1</v>
      </c>
      <c r="AH225" s="407">
        <v>1</v>
      </c>
      <c r="AI225" s="407">
        <v>1</v>
      </c>
      <c r="AJ225" s="407">
        <v>1</v>
      </c>
      <c r="AK225" s="407">
        <v>1</v>
      </c>
      <c r="AL225" s="407">
        <v>1</v>
      </c>
      <c r="AM225" s="407">
        <v>1</v>
      </c>
      <c r="AN225" s="407">
        <v>1</v>
      </c>
      <c r="AO225" s="408">
        <v>1</v>
      </c>
      <c r="AP225" s="408">
        <v>1</v>
      </c>
      <c r="AQ225" s="172">
        <f>(12+12+2)/26*100%</f>
        <v>1</v>
      </c>
      <c r="AR225" s="389" t="s">
        <v>2094</v>
      </c>
      <c r="AS225" s="398">
        <f>SUM(4+20+10)/34*100%</f>
        <v>1</v>
      </c>
      <c r="AT225" s="389" t="s">
        <v>2095</v>
      </c>
      <c r="AU225" s="398">
        <f>SUM(16+10+21)/47*100%</f>
        <v>1</v>
      </c>
      <c r="AV225" s="389" t="s">
        <v>2096</v>
      </c>
      <c r="AW225" s="68"/>
      <c r="AX225" s="644" t="s">
        <v>2097</v>
      </c>
      <c r="AY225" s="172">
        <v>1</v>
      </c>
      <c r="AZ225" s="644" t="s">
        <v>2098</v>
      </c>
      <c r="BA225" s="172">
        <f>SUM(0+0+8)/8*100%</f>
        <v>1</v>
      </c>
      <c r="BB225" s="646" t="s">
        <v>2099</v>
      </c>
      <c r="BC225" s="172">
        <f>SUM(6+13+9)/28*100%</f>
        <v>1</v>
      </c>
      <c r="BD225" s="646" t="s">
        <v>2100</v>
      </c>
      <c r="BE225" s="172">
        <f>SUM(17+5+5)/27*100%</f>
        <v>1</v>
      </c>
      <c r="BF225" s="390" t="s">
        <v>2101</v>
      </c>
      <c r="BG225" s="172">
        <f>SUM(6+51+14)/71*100%</f>
        <v>1</v>
      </c>
      <c r="BH225" s="172" t="s">
        <v>2102</v>
      </c>
      <c r="BI225" s="172">
        <v>1</v>
      </c>
      <c r="BJ225" s="172" t="s">
        <v>2103</v>
      </c>
      <c r="BK225" s="449">
        <f>SUM(1)/2*100%</f>
        <v>0.5</v>
      </c>
      <c r="BL225" s="390" t="s">
        <v>2104</v>
      </c>
      <c r="BM225" s="655">
        <f>SUM(14/20+9/15+1)/3*100%</f>
        <v>0.76666666666666661</v>
      </c>
      <c r="BN225" s="390" t="s">
        <v>2105</v>
      </c>
      <c r="BO225" s="655">
        <f>SUM(17/30+8/20+1+1)/4*100%</f>
        <v>0.7416666666666667</v>
      </c>
      <c r="BP225" s="390" t="s">
        <v>2106</v>
      </c>
      <c r="BQ225" s="656"/>
      <c r="BR225" s="68"/>
      <c r="BS225" s="449">
        <v>0.5</v>
      </c>
      <c r="BT225" s="449"/>
      <c r="BU225" s="449"/>
      <c r="BV225" s="449"/>
      <c r="BW225" s="449"/>
      <c r="BX225" s="449"/>
      <c r="BY225" s="449"/>
      <c r="BZ225" s="449"/>
      <c r="CA225" s="449"/>
      <c r="CB225" s="449"/>
      <c r="CC225" s="449"/>
      <c r="CD225" s="449"/>
      <c r="CE225" s="172">
        <v>0.83</v>
      </c>
      <c r="CF225" s="68"/>
      <c r="CG225" s="450">
        <f>SUM(DH225:DH231)</f>
        <v>1642799934</v>
      </c>
      <c r="CH225" s="448"/>
      <c r="CI225" s="448"/>
      <c r="CJ225" s="83">
        <f t="shared" si="42"/>
        <v>0</v>
      </c>
      <c r="CK225" s="83">
        <f t="shared" si="43"/>
        <v>0</v>
      </c>
      <c r="CL225" s="83" t="str">
        <f t="shared" si="53"/>
        <v>No se reportó avance</v>
      </c>
      <c r="CM225" s="89" t="str">
        <f t="shared" si="54"/>
        <v>No se reportó avance</v>
      </c>
      <c r="CN225" s="89">
        <f t="shared" si="55"/>
        <v>0.83</v>
      </c>
      <c r="CO225" s="394" t="s">
        <v>2107</v>
      </c>
      <c r="CP225" s="394" t="s">
        <v>2108</v>
      </c>
      <c r="CQ225" s="394" t="s">
        <v>1775</v>
      </c>
      <c r="CR225" s="394" t="s">
        <v>2109</v>
      </c>
      <c r="CS225" s="394" t="s">
        <v>2110</v>
      </c>
      <c r="CT225" s="394" t="s">
        <v>200</v>
      </c>
      <c r="CU225" s="394" t="s">
        <v>233</v>
      </c>
      <c r="CV225" s="394">
        <v>78</v>
      </c>
      <c r="CW225" s="394" t="s">
        <v>234</v>
      </c>
      <c r="CX225" s="395">
        <v>46037</v>
      </c>
      <c r="CY225" s="395">
        <v>46387</v>
      </c>
      <c r="CZ225" s="391">
        <v>0</v>
      </c>
      <c r="DA225" s="391">
        <v>20</v>
      </c>
      <c r="DB225" s="391">
        <v>30</v>
      </c>
      <c r="DC225" s="391">
        <v>25</v>
      </c>
      <c r="DD225" s="391">
        <f t="shared" si="60"/>
        <v>75</v>
      </c>
      <c r="DE225" s="394" t="s">
        <v>514</v>
      </c>
      <c r="DF225" s="394" t="s">
        <v>1743</v>
      </c>
      <c r="DG225" s="394" t="s">
        <v>1744</v>
      </c>
      <c r="DH225" s="397">
        <v>607242651</v>
      </c>
      <c r="DI225" s="394" t="s">
        <v>182</v>
      </c>
      <c r="DJ225" s="643" t="s">
        <v>628</v>
      </c>
      <c r="DK225" s="643" t="s">
        <v>1745</v>
      </c>
      <c r="DL225" s="394" t="s">
        <v>279</v>
      </c>
      <c r="DM225" s="394" t="s">
        <v>2111</v>
      </c>
      <c r="DN225" s="446"/>
      <c r="DO225" s="654"/>
      <c r="DP225" s="830"/>
      <c r="DQ225" s="390"/>
      <c r="DR225" s="390"/>
      <c r="DS225" s="446"/>
      <c r="DT225" s="646"/>
      <c r="DU225" s="406"/>
      <c r="DV225" s="390"/>
      <c r="DW225" s="390"/>
      <c r="DX225" s="446"/>
      <c r="DY225" s="646"/>
      <c r="DZ225" s="829"/>
      <c r="EA225" s="390"/>
      <c r="EB225" s="390"/>
      <c r="EC225" s="68"/>
      <c r="ED225" s="68"/>
      <c r="EE225" s="68"/>
      <c r="EF225" s="68"/>
      <c r="EG225" s="68"/>
      <c r="EH225" s="390"/>
      <c r="EI225" s="68"/>
      <c r="EJ225" s="68"/>
      <c r="EK225" s="68"/>
      <c r="EL225" s="91" t="str">
        <f t="shared" si="56"/>
        <v>No aplica, no hay meta</v>
      </c>
      <c r="EM225" s="83" t="str">
        <f t="shared" si="57"/>
        <v>No se reportó avance</v>
      </c>
      <c r="EN225" s="646" t="s">
        <v>4682</v>
      </c>
      <c r="EO225" s="69" t="str">
        <f t="shared" si="44"/>
        <v>Gestión</v>
      </c>
      <c r="EP225" s="69" t="str">
        <f t="shared" si="45"/>
        <v>6</v>
      </c>
    </row>
    <row r="226" spans="1:146" ht="81.75" customHeight="1">
      <c r="A226" s="377" t="s">
        <v>1718</v>
      </c>
      <c r="B226" s="377" t="s">
        <v>1719</v>
      </c>
      <c r="C226" s="377" t="s">
        <v>2088</v>
      </c>
      <c r="D226" s="377" t="s">
        <v>1721</v>
      </c>
      <c r="E226" s="377" t="s">
        <v>2089</v>
      </c>
      <c r="F226" s="377" t="s">
        <v>182</v>
      </c>
      <c r="G226" s="377" t="s">
        <v>2112</v>
      </c>
      <c r="H226" s="377" t="s">
        <v>2026</v>
      </c>
      <c r="I226" s="377" t="s">
        <v>728</v>
      </c>
      <c r="J226" s="377" t="s">
        <v>1723</v>
      </c>
      <c r="K226" s="377" t="s">
        <v>1757</v>
      </c>
      <c r="L226" s="382"/>
      <c r="M226" s="382"/>
      <c r="N226" s="382"/>
      <c r="O226" s="382"/>
      <c r="P226" s="382"/>
      <c r="Q226" s="382"/>
      <c r="R226" s="383"/>
      <c r="S226" s="382"/>
      <c r="T226" s="436"/>
      <c r="U226" s="384"/>
      <c r="V226" s="407"/>
      <c r="W226" s="407"/>
      <c r="X226" s="407"/>
      <c r="Y226" s="407"/>
      <c r="Z226" s="407"/>
      <c r="AA226" s="407"/>
      <c r="AB226" s="407"/>
      <c r="AC226" s="407"/>
      <c r="AD226" s="407"/>
      <c r="AE226" s="407"/>
      <c r="AF226" s="407"/>
      <c r="AG226" s="407"/>
      <c r="AH226" s="407"/>
      <c r="AI226" s="407"/>
      <c r="AJ226" s="407"/>
      <c r="AK226" s="407"/>
      <c r="AL226" s="407"/>
      <c r="AM226" s="407"/>
      <c r="AN226" s="407"/>
      <c r="AO226" s="408"/>
      <c r="AP226" s="408"/>
      <c r="AQ226" s="172"/>
      <c r="AR226" s="389"/>
      <c r="AS226" s="398"/>
      <c r="AT226" s="389"/>
      <c r="AU226" s="398"/>
      <c r="AV226" s="389"/>
      <c r="AW226" s="68"/>
      <c r="AX226" s="644"/>
      <c r="AY226" s="172"/>
      <c r="AZ226" s="644"/>
      <c r="BA226" s="172"/>
      <c r="BB226" s="646"/>
      <c r="BC226" s="172"/>
      <c r="BD226" s="646"/>
      <c r="BE226" s="172"/>
      <c r="BF226" s="390"/>
      <c r="BG226" s="172"/>
      <c r="BH226" s="172"/>
      <c r="BI226" s="172"/>
      <c r="BJ226" s="172"/>
      <c r="BK226" s="449"/>
      <c r="BL226" s="390"/>
      <c r="BM226" s="655"/>
      <c r="BN226" s="390"/>
      <c r="BO226" s="655"/>
      <c r="BP226" s="390"/>
      <c r="BQ226" s="656"/>
      <c r="BR226" s="68"/>
      <c r="BS226" s="449"/>
      <c r="BT226" s="449"/>
      <c r="BU226" s="449"/>
      <c r="BV226" s="449"/>
      <c r="BW226" s="449"/>
      <c r="BX226" s="449"/>
      <c r="BY226" s="449"/>
      <c r="BZ226" s="449"/>
      <c r="CA226" s="449"/>
      <c r="CB226" s="449"/>
      <c r="CC226" s="449"/>
      <c r="CD226" s="449"/>
      <c r="CE226" s="172"/>
      <c r="CF226" s="68"/>
      <c r="CG226" s="450"/>
      <c r="CH226" s="448"/>
      <c r="CI226" s="448"/>
      <c r="CJ226" s="83"/>
      <c r="CK226" s="83"/>
      <c r="CL226" s="83" t="str">
        <f t="shared" si="53"/>
        <v>No aplica, no hay meta</v>
      </c>
      <c r="CM226" s="89" t="str">
        <f t="shared" si="54"/>
        <v>No aplica, no hay meta</v>
      </c>
      <c r="CN226" s="89" t="str">
        <f t="shared" si="55"/>
        <v>No aplica, no hay meta</v>
      </c>
      <c r="CO226" s="394" t="s">
        <v>2113</v>
      </c>
      <c r="CP226" s="394" t="s">
        <v>2114</v>
      </c>
      <c r="CQ226" s="394" t="s">
        <v>1775</v>
      </c>
      <c r="CR226" s="394" t="s">
        <v>2109</v>
      </c>
      <c r="CS226" s="394" t="s">
        <v>2110</v>
      </c>
      <c r="CT226" s="394" t="s">
        <v>200</v>
      </c>
      <c r="CU226" s="394" t="s">
        <v>233</v>
      </c>
      <c r="CV226" s="394">
        <v>26</v>
      </c>
      <c r="CW226" s="394" t="s">
        <v>234</v>
      </c>
      <c r="CX226" s="395">
        <v>46037</v>
      </c>
      <c r="CY226" s="395">
        <v>46387</v>
      </c>
      <c r="CZ226" s="391">
        <v>10</v>
      </c>
      <c r="DA226" s="391">
        <v>15</v>
      </c>
      <c r="DB226" s="391">
        <v>20</v>
      </c>
      <c r="DC226" s="391">
        <v>15</v>
      </c>
      <c r="DD226" s="391">
        <f t="shared" si="60"/>
        <v>60</v>
      </c>
      <c r="DE226" s="394" t="s">
        <v>514</v>
      </c>
      <c r="DF226" s="394" t="s">
        <v>1743</v>
      </c>
      <c r="DG226" s="394" t="s">
        <v>1744</v>
      </c>
      <c r="DH226" s="397">
        <v>396767651</v>
      </c>
      <c r="DI226" s="394" t="s">
        <v>182</v>
      </c>
      <c r="DJ226" s="643" t="s">
        <v>628</v>
      </c>
      <c r="DK226" s="643" t="s">
        <v>1745</v>
      </c>
      <c r="DL226" s="394" t="s">
        <v>279</v>
      </c>
      <c r="DM226" s="394" t="s">
        <v>2111</v>
      </c>
      <c r="DN226" s="446"/>
      <c r="DO226" s="654"/>
      <c r="DP226" s="830"/>
      <c r="DQ226" s="390"/>
      <c r="DR226" s="390"/>
      <c r="DS226" s="446"/>
      <c r="DT226" s="646"/>
      <c r="DU226" s="406"/>
      <c r="DV226" s="390"/>
      <c r="DW226" s="390"/>
      <c r="DX226" s="446"/>
      <c r="DY226" s="646"/>
      <c r="DZ226" s="829"/>
      <c r="EA226" s="390"/>
      <c r="EB226" s="390"/>
      <c r="EC226" s="68"/>
      <c r="ED226" s="68"/>
      <c r="EE226" s="68"/>
      <c r="EF226" s="68"/>
      <c r="EG226" s="68"/>
      <c r="EH226" s="390"/>
      <c r="EI226" s="68"/>
      <c r="EJ226" s="68"/>
      <c r="EK226" s="68"/>
      <c r="EL226" s="91" t="str">
        <f t="shared" si="56"/>
        <v>No se reportó avance</v>
      </c>
      <c r="EM226" s="83" t="str">
        <f t="shared" si="57"/>
        <v>No se reportó avance</v>
      </c>
      <c r="EN226" s="646" t="s">
        <v>4682</v>
      </c>
      <c r="EO226" s="69"/>
      <c r="EP226" s="69"/>
    </row>
    <row r="227" spans="1:146" ht="150" customHeight="1">
      <c r="A227" s="390" t="s">
        <v>1718</v>
      </c>
      <c r="B227" s="398" t="s">
        <v>1719</v>
      </c>
      <c r="C227" s="399" t="s">
        <v>2088</v>
      </c>
      <c r="D227" s="400" t="s">
        <v>1721</v>
      </c>
      <c r="E227" s="401" t="s">
        <v>2089</v>
      </c>
      <c r="F227" s="390" t="s">
        <v>182</v>
      </c>
      <c r="G227" s="390" t="s">
        <v>182</v>
      </c>
      <c r="H227" s="390" t="s">
        <v>2115</v>
      </c>
      <c r="I227" s="390" t="s">
        <v>728</v>
      </c>
      <c r="J227" s="390" t="s">
        <v>1723</v>
      </c>
      <c r="K227" s="390" t="s">
        <v>182</v>
      </c>
      <c r="L227" s="402">
        <v>11</v>
      </c>
      <c r="M227" s="390" t="s">
        <v>2092</v>
      </c>
      <c r="N227" s="390" t="s">
        <v>2093</v>
      </c>
      <c r="O227" s="390" t="s">
        <v>1984</v>
      </c>
      <c r="P227" s="390" t="s">
        <v>200</v>
      </c>
      <c r="Q227" s="390" t="s">
        <v>162</v>
      </c>
      <c r="R227" s="172">
        <v>1</v>
      </c>
      <c r="S227" s="390" t="s">
        <v>163</v>
      </c>
      <c r="T227" s="437">
        <v>44946</v>
      </c>
      <c r="U227" s="403">
        <v>46387</v>
      </c>
      <c r="V227" s="68"/>
      <c r="W227" s="68"/>
      <c r="X227" s="68"/>
      <c r="Y227" s="68"/>
      <c r="Z227" s="446"/>
      <c r="AA227" s="446"/>
      <c r="AB227" s="446"/>
      <c r="AC227" s="446"/>
      <c r="AD227" s="446"/>
      <c r="AE227" s="446"/>
      <c r="AF227" s="446"/>
      <c r="AG227" s="446"/>
      <c r="AH227" s="446"/>
      <c r="AI227" s="446"/>
      <c r="AJ227" s="446"/>
      <c r="AK227" s="447"/>
      <c r="AL227" s="447"/>
      <c r="AM227" s="447"/>
      <c r="AN227" s="447"/>
      <c r="AO227" s="447"/>
      <c r="AP227" s="447"/>
      <c r="AQ227" s="68"/>
      <c r="AR227" s="68"/>
      <c r="AS227" s="68"/>
      <c r="AT227" s="68"/>
      <c r="AU227" s="68"/>
      <c r="AV227" s="68"/>
      <c r="AW227" s="68"/>
      <c r="AX227" s="68"/>
      <c r="AY227" s="68"/>
      <c r="AZ227" s="68"/>
      <c r="BA227" s="68"/>
      <c r="BB227" s="68"/>
      <c r="BC227" s="68"/>
      <c r="BD227" s="68"/>
      <c r="BE227" s="68"/>
      <c r="BF227" s="68"/>
      <c r="BG227" s="68"/>
      <c r="BH227" s="68"/>
      <c r="BI227" s="68"/>
      <c r="BJ227" s="68"/>
      <c r="BK227" s="446"/>
      <c r="BL227" s="390"/>
      <c r="BM227" s="446"/>
      <c r="BN227" s="390"/>
      <c r="BO227" s="446"/>
      <c r="BP227" s="390"/>
      <c r="BQ227" s="68"/>
      <c r="BR227" s="68"/>
      <c r="BS227" s="446"/>
      <c r="BT227" s="446"/>
      <c r="BU227" s="446"/>
      <c r="BV227" s="446"/>
      <c r="BW227" s="446"/>
      <c r="BX227" s="446"/>
      <c r="BY227" s="446"/>
      <c r="BZ227" s="446"/>
      <c r="CA227" s="446"/>
      <c r="CB227" s="446"/>
      <c r="CC227" s="446"/>
      <c r="CD227" s="446"/>
      <c r="CE227" s="446"/>
      <c r="CF227" s="68"/>
      <c r="CG227" s="448"/>
      <c r="CH227" s="448"/>
      <c r="CI227" s="448"/>
      <c r="CJ227" s="83" t="str">
        <f t="shared" si="42"/>
        <v>No aplica</v>
      </c>
      <c r="CK227" s="83" t="str">
        <f t="shared" si="43"/>
        <v>No aplica</v>
      </c>
      <c r="CL227" s="83" t="str">
        <f t="shared" si="53"/>
        <v>No aplica, no hay meta</v>
      </c>
      <c r="CM227" s="89" t="str">
        <f t="shared" si="54"/>
        <v>No aplica, no hay meta</v>
      </c>
      <c r="CN227" s="89" t="str">
        <f t="shared" si="55"/>
        <v>No aplica, no hay meta</v>
      </c>
      <c r="CO227" s="394" t="s">
        <v>2116</v>
      </c>
      <c r="CP227" s="394" t="s">
        <v>2117</v>
      </c>
      <c r="CQ227" s="394" t="s">
        <v>2075</v>
      </c>
      <c r="CR227" s="394" t="s">
        <v>2118</v>
      </c>
      <c r="CS227" s="394" t="s">
        <v>2119</v>
      </c>
      <c r="CT227" s="394" t="s">
        <v>200</v>
      </c>
      <c r="CU227" s="394" t="s">
        <v>233</v>
      </c>
      <c r="CV227" s="394">
        <v>2</v>
      </c>
      <c r="CW227" s="394" t="s">
        <v>234</v>
      </c>
      <c r="CX227" s="395">
        <v>46037</v>
      </c>
      <c r="CY227" s="395">
        <v>46387</v>
      </c>
      <c r="CZ227" s="391">
        <v>0</v>
      </c>
      <c r="DA227" s="391">
        <v>0</v>
      </c>
      <c r="DB227" s="391">
        <v>1</v>
      </c>
      <c r="DC227" s="391">
        <v>0</v>
      </c>
      <c r="DD227" s="391">
        <f t="shared" si="60"/>
        <v>1</v>
      </c>
      <c r="DE227" s="394" t="s">
        <v>514</v>
      </c>
      <c r="DF227" s="394" t="s">
        <v>1743</v>
      </c>
      <c r="DG227" s="394" t="s">
        <v>1744</v>
      </c>
      <c r="DH227" s="397">
        <v>47250000</v>
      </c>
      <c r="DI227" s="394" t="s">
        <v>182</v>
      </c>
      <c r="DJ227" s="643" t="s">
        <v>628</v>
      </c>
      <c r="DK227" s="643" t="s">
        <v>1745</v>
      </c>
      <c r="DL227" s="394" t="s">
        <v>279</v>
      </c>
      <c r="DM227" s="394" t="s">
        <v>2111</v>
      </c>
      <c r="DN227" s="446"/>
      <c r="DO227" s="654"/>
      <c r="DP227" s="446"/>
      <c r="DQ227" s="390"/>
      <c r="DR227" s="390"/>
      <c r="DS227" s="446"/>
      <c r="DT227" s="646"/>
      <c r="DU227" s="390"/>
      <c r="DV227" s="390"/>
      <c r="DW227" s="390"/>
      <c r="DX227" s="446"/>
      <c r="DY227" s="646"/>
      <c r="DZ227" s="829"/>
      <c r="EA227" s="390"/>
      <c r="EB227" s="390"/>
      <c r="EC227" s="68"/>
      <c r="ED227" s="68"/>
      <c r="EE227" s="68"/>
      <c r="EF227" s="68"/>
      <c r="EG227" s="68"/>
      <c r="EH227" s="390"/>
      <c r="EI227" s="68"/>
      <c r="EJ227" s="68"/>
      <c r="EK227" s="68"/>
      <c r="EL227" s="91" t="str">
        <f t="shared" si="56"/>
        <v>No aplica, no hay meta</v>
      </c>
      <c r="EM227" s="83" t="str">
        <f t="shared" si="57"/>
        <v>No se reportó avance</v>
      </c>
      <c r="EN227" s="646"/>
      <c r="EO227" s="69" t="str">
        <f t="shared" si="44"/>
        <v>Gestión</v>
      </c>
      <c r="EP227" s="69" t="str">
        <f t="shared" si="45"/>
        <v>6</v>
      </c>
    </row>
    <row r="228" spans="1:146" ht="150" customHeight="1">
      <c r="A228" s="390" t="s">
        <v>1718</v>
      </c>
      <c r="B228" s="398" t="s">
        <v>1719</v>
      </c>
      <c r="C228" s="399" t="s">
        <v>2088</v>
      </c>
      <c r="D228" s="400" t="s">
        <v>1721</v>
      </c>
      <c r="E228" s="401" t="s">
        <v>2089</v>
      </c>
      <c r="F228" s="390" t="s">
        <v>182</v>
      </c>
      <c r="G228" s="390" t="s">
        <v>182</v>
      </c>
      <c r="H228" s="390" t="s">
        <v>2120</v>
      </c>
      <c r="I228" s="390" t="s">
        <v>728</v>
      </c>
      <c r="J228" s="390" t="s">
        <v>1723</v>
      </c>
      <c r="K228" s="390" t="s">
        <v>182</v>
      </c>
      <c r="L228" s="402">
        <v>11</v>
      </c>
      <c r="M228" s="390" t="s">
        <v>2092</v>
      </c>
      <c r="N228" s="390" t="s">
        <v>2093</v>
      </c>
      <c r="O228" s="390" t="s">
        <v>1984</v>
      </c>
      <c r="P228" s="390" t="s">
        <v>200</v>
      </c>
      <c r="Q228" s="390" t="s">
        <v>162</v>
      </c>
      <c r="R228" s="172">
        <v>1</v>
      </c>
      <c r="S228" s="390" t="s">
        <v>163</v>
      </c>
      <c r="T228" s="437">
        <v>44946</v>
      </c>
      <c r="U228" s="403">
        <v>46387</v>
      </c>
      <c r="V228" s="68"/>
      <c r="W228" s="68"/>
      <c r="X228" s="68"/>
      <c r="Y228" s="68"/>
      <c r="Z228" s="446"/>
      <c r="AA228" s="446"/>
      <c r="AB228" s="446"/>
      <c r="AC228" s="446"/>
      <c r="AD228" s="446"/>
      <c r="AE228" s="446"/>
      <c r="AF228" s="446"/>
      <c r="AG228" s="446"/>
      <c r="AH228" s="446"/>
      <c r="AI228" s="446"/>
      <c r="AJ228" s="446"/>
      <c r="AK228" s="447"/>
      <c r="AL228" s="447"/>
      <c r="AM228" s="447"/>
      <c r="AN228" s="447"/>
      <c r="AO228" s="447"/>
      <c r="AP228" s="447"/>
      <c r="AQ228" s="68"/>
      <c r="AR228" s="68"/>
      <c r="AS228" s="68"/>
      <c r="AT228" s="68"/>
      <c r="AU228" s="68"/>
      <c r="AV228" s="68"/>
      <c r="AW228" s="68"/>
      <c r="AX228" s="68"/>
      <c r="AY228" s="68"/>
      <c r="AZ228" s="68"/>
      <c r="BA228" s="68"/>
      <c r="BB228" s="68"/>
      <c r="BC228" s="68"/>
      <c r="BD228" s="68"/>
      <c r="BE228" s="68"/>
      <c r="BF228" s="68"/>
      <c r="BG228" s="68"/>
      <c r="BH228" s="68"/>
      <c r="BI228" s="68"/>
      <c r="BJ228" s="68"/>
      <c r="BK228" s="446"/>
      <c r="BL228" s="390"/>
      <c r="BM228" s="446"/>
      <c r="BN228" s="390"/>
      <c r="BO228" s="446"/>
      <c r="BP228" s="390"/>
      <c r="BQ228" s="68"/>
      <c r="BR228" s="68"/>
      <c r="BS228" s="446"/>
      <c r="BT228" s="446"/>
      <c r="BU228" s="446"/>
      <c r="BV228" s="446"/>
      <c r="BW228" s="446"/>
      <c r="BX228" s="446"/>
      <c r="BY228" s="446"/>
      <c r="BZ228" s="446"/>
      <c r="CA228" s="446"/>
      <c r="CB228" s="446"/>
      <c r="CC228" s="446"/>
      <c r="CD228" s="446"/>
      <c r="CE228" s="446"/>
      <c r="CF228" s="68"/>
      <c r="CG228" s="448"/>
      <c r="CH228" s="448"/>
      <c r="CI228" s="448"/>
      <c r="CJ228" s="83" t="str">
        <f t="shared" si="42"/>
        <v>No aplica</v>
      </c>
      <c r="CK228" s="83" t="str">
        <f t="shared" si="43"/>
        <v>No aplica</v>
      </c>
      <c r="CL228" s="83" t="str">
        <f t="shared" si="53"/>
        <v>No requiere reporte</v>
      </c>
      <c r="CM228" s="89" t="str">
        <f t="shared" si="54"/>
        <v>No requiere reporte</v>
      </c>
      <c r="CN228" s="89" t="str">
        <f t="shared" si="55"/>
        <v>No requiere reporte</v>
      </c>
      <c r="CO228" s="394" t="s">
        <v>2121</v>
      </c>
      <c r="CP228" s="394" t="s">
        <v>2122</v>
      </c>
      <c r="CQ228" s="658" t="s">
        <v>2123</v>
      </c>
      <c r="CR228" s="658" t="s">
        <v>2124</v>
      </c>
      <c r="CS228" s="658" t="s">
        <v>2125</v>
      </c>
      <c r="CT228" s="394" t="s">
        <v>200</v>
      </c>
      <c r="CU228" s="394" t="s">
        <v>233</v>
      </c>
      <c r="CV228" s="414">
        <v>0.05</v>
      </c>
      <c r="CW228" s="394" t="s">
        <v>163</v>
      </c>
      <c r="CX228" s="395">
        <v>46037</v>
      </c>
      <c r="CY228" s="395">
        <v>46387</v>
      </c>
      <c r="CZ228" s="438">
        <v>0</v>
      </c>
      <c r="DA228" s="438">
        <v>0</v>
      </c>
      <c r="DB228" s="438">
        <v>0</v>
      </c>
      <c r="DC228" s="438">
        <v>0.05</v>
      </c>
      <c r="DD228" s="438">
        <f t="shared" si="60"/>
        <v>0.05</v>
      </c>
      <c r="DE228" s="394" t="s">
        <v>514</v>
      </c>
      <c r="DF228" s="394" t="s">
        <v>1743</v>
      </c>
      <c r="DG228" s="394" t="s">
        <v>1744</v>
      </c>
      <c r="DH228" s="397">
        <v>6000000</v>
      </c>
      <c r="DI228" s="394" t="s">
        <v>182</v>
      </c>
      <c r="DJ228" s="643" t="s">
        <v>628</v>
      </c>
      <c r="DK228" s="643" t="s">
        <v>1745</v>
      </c>
      <c r="DL228" s="394" t="s">
        <v>279</v>
      </c>
      <c r="DM228" s="394" t="s">
        <v>2111</v>
      </c>
      <c r="DN228" s="446"/>
      <c r="DO228" s="654"/>
      <c r="DP228" s="446"/>
      <c r="DQ228" s="390"/>
      <c r="DR228" s="390"/>
      <c r="DS228" s="446"/>
      <c r="DT228" s="646"/>
      <c r="DU228" s="390"/>
      <c r="DV228" s="390"/>
      <c r="DW228" s="390"/>
      <c r="DX228" s="446"/>
      <c r="DY228" s="646"/>
      <c r="DZ228" s="829"/>
      <c r="EA228" s="390"/>
      <c r="EB228" s="390"/>
      <c r="EC228" s="68"/>
      <c r="ED228" s="68"/>
      <c r="EE228" s="68"/>
      <c r="EF228" s="68"/>
      <c r="EG228" s="68"/>
      <c r="EH228" s="390"/>
      <c r="EI228" s="68"/>
      <c r="EJ228" s="68"/>
      <c r="EK228" s="68"/>
      <c r="EL228" s="91" t="str">
        <f t="shared" si="56"/>
        <v>No aplica, no hay meta</v>
      </c>
      <c r="EM228" s="83" t="str">
        <f t="shared" si="57"/>
        <v>No se reportó avance</v>
      </c>
      <c r="EN228" s="646"/>
      <c r="EO228" s="69" t="str">
        <f t="shared" si="44"/>
        <v>Gestión</v>
      </c>
      <c r="EP228" s="69" t="str">
        <f t="shared" si="45"/>
        <v>6</v>
      </c>
    </row>
    <row r="229" spans="1:146" ht="150" customHeight="1">
      <c r="A229" s="390" t="s">
        <v>1718</v>
      </c>
      <c r="B229" s="398" t="s">
        <v>1719</v>
      </c>
      <c r="C229" s="399" t="s">
        <v>2088</v>
      </c>
      <c r="D229" s="400" t="s">
        <v>1721</v>
      </c>
      <c r="E229" s="401" t="s">
        <v>2089</v>
      </c>
      <c r="F229" s="390" t="s">
        <v>182</v>
      </c>
      <c r="G229" s="390" t="s">
        <v>182</v>
      </c>
      <c r="H229" s="390" t="s">
        <v>2126</v>
      </c>
      <c r="I229" s="390" t="s">
        <v>728</v>
      </c>
      <c r="J229" s="390" t="s">
        <v>1723</v>
      </c>
      <c r="K229" s="390" t="s">
        <v>182</v>
      </c>
      <c r="L229" s="402">
        <v>11</v>
      </c>
      <c r="M229" s="390" t="s">
        <v>2092</v>
      </c>
      <c r="N229" s="390" t="s">
        <v>2093</v>
      </c>
      <c r="O229" s="390" t="s">
        <v>1984</v>
      </c>
      <c r="P229" s="390" t="s">
        <v>200</v>
      </c>
      <c r="Q229" s="390" t="s">
        <v>162</v>
      </c>
      <c r="R229" s="172">
        <v>1</v>
      </c>
      <c r="S229" s="390" t="s">
        <v>163</v>
      </c>
      <c r="T229" s="437">
        <v>44946</v>
      </c>
      <c r="U229" s="403">
        <v>46387</v>
      </c>
      <c r="V229" s="68"/>
      <c r="W229" s="68"/>
      <c r="X229" s="68"/>
      <c r="Y229" s="68"/>
      <c r="Z229" s="446"/>
      <c r="AA229" s="446"/>
      <c r="AB229" s="446"/>
      <c r="AC229" s="446"/>
      <c r="AD229" s="446"/>
      <c r="AE229" s="446"/>
      <c r="AF229" s="446"/>
      <c r="AG229" s="446"/>
      <c r="AH229" s="446"/>
      <c r="AI229" s="446"/>
      <c r="AJ229" s="446"/>
      <c r="AK229" s="447"/>
      <c r="AL229" s="447"/>
      <c r="AM229" s="447"/>
      <c r="AN229" s="447"/>
      <c r="AO229" s="447"/>
      <c r="AP229" s="447"/>
      <c r="AQ229" s="68"/>
      <c r="AR229" s="68"/>
      <c r="AS229" s="68"/>
      <c r="AT229" s="68"/>
      <c r="AU229" s="68"/>
      <c r="AV229" s="68"/>
      <c r="AW229" s="68"/>
      <c r="AX229" s="68"/>
      <c r="AY229" s="68"/>
      <c r="AZ229" s="68"/>
      <c r="BA229" s="68"/>
      <c r="BB229" s="68"/>
      <c r="BC229" s="68"/>
      <c r="BD229" s="68"/>
      <c r="BE229" s="68"/>
      <c r="BF229" s="68"/>
      <c r="BG229" s="68"/>
      <c r="BH229" s="68"/>
      <c r="BI229" s="68"/>
      <c r="BJ229" s="68"/>
      <c r="BK229" s="446"/>
      <c r="BL229" s="390"/>
      <c r="BM229" s="446"/>
      <c r="BN229" s="390"/>
      <c r="BO229" s="446"/>
      <c r="BP229" s="390"/>
      <c r="BQ229" s="68"/>
      <c r="BR229" s="68"/>
      <c r="BS229" s="446"/>
      <c r="BT229" s="446"/>
      <c r="BU229" s="446"/>
      <c r="BV229" s="446"/>
      <c r="BW229" s="446"/>
      <c r="BX229" s="446"/>
      <c r="BY229" s="446"/>
      <c r="BZ229" s="446"/>
      <c r="CA229" s="446"/>
      <c r="CB229" s="446"/>
      <c r="CC229" s="446"/>
      <c r="CD229" s="446"/>
      <c r="CE229" s="446"/>
      <c r="CF229" s="68"/>
      <c r="CG229" s="448"/>
      <c r="CH229" s="448"/>
      <c r="CI229" s="448"/>
      <c r="CJ229" s="83" t="str">
        <f t="shared" si="42"/>
        <v>No aplica</v>
      </c>
      <c r="CK229" s="83" t="str">
        <f t="shared" si="43"/>
        <v>No aplica</v>
      </c>
      <c r="CL229" s="83" t="str">
        <f t="shared" si="53"/>
        <v>No requiere reporte</v>
      </c>
      <c r="CM229" s="89" t="str">
        <f t="shared" si="54"/>
        <v>No requiere reporte</v>
      </c>
      <c r="CN229" s="89" t="str">
        <f t="shared" si="55"/>
        <v>No requiere reporte</v>
      </c>
      <c r="CO229" s="394" t="s">
        <v>2127</v>
      </c>
      <c r="CP229" s="394" t="s">
        <v>2128</v>
      </c>
      <c r="CQ229" s="394" t="s">
        <v>2075</v>
      </c>
      <c r="CR229" s="658" t="s">
        <v>2129</v>
      </c>
      <c r="CS229" s="394" t="s">
        <v>2130</v>
      </c>
      <c r="CT229" s="394" t="s">
        <v>200</v>
      </c>
      <c r="CU229" s="394" t="s">
        <v>233</v>
      </c>
      <c r="CV229" s="394">
        <v>15</v>
      </c>
      <c r="CW229" s="394" t="s">
        <v>234</v>
      </c>
      <c r="CX229" s="395">
        <v>46037</v>
      </c>
      <c r="CY229" s="395">
        <v>46387</v>
      </c>
      <c r="CZ229" s="391">
        <v>1</v>
      </c>
      <c r="DA229" s="391">
        <v>1</v>
      </c>
      <c r="DB229" s="391">
        <v>1</v>
      </c>
      <c r="DC229" s="391">
        <v>1</v>
      </c>
      <c r="DD229" s="391">
        <f t="shared" si="60"/>
        <v>4</v>
      </c>
      <c r="DE229" s="394" t="s">
        <v>514</v>
      </c>
      <c r="DF229" s="394" t="s">
        <v>1743</v>
      </c>
      <c r="DG229" s="394" t="s">
        <v>1744</v>
      </c>
      <c r="DH229" s="397">
        <v>19000000</v>
      </c>
      <c r="DI229" s="643" t="s">
        <v>1633</v>
      </c>
      <c r="DJ229" s="643" t="s">
        <v>628</v>
      </c>
      <c r="DK229" s="643" t="s">
        <v>1745</v>
      </c>
      <c r="DL229" s="394" t="s">
        <v>279</v>
      </c>
      <c r="DM229" s="394" t="s">
        <v>2111</v>
      </c>
      <c r="DN229" s="446"/>
      <c r="DO229" s="654"/>
      <c r="DP229" s="446"/>
      <c r="DQ229" s="390"/>
      <c r="DR229" s="390"/>
      <c r="DS229" s="446"/>
      <c r="DT229" s="646"/>
      <c r="DU229" s="390"/>
      <c r="DV229" s="390"/>
      <c r="DW229" s="390"/>
      <c r="DX229" s="446"/>
      <c r="DY229" s="646"/>
      <c r="DZ229" s="829"/>
      <c r="EA229" s="390"/>
      <c r="EB229" s="390"/>
      <c r="EC229" s="68"/>
      <c r="ED229" s="68"/>
      <c r="EE229" s="68"/>
      <c r="EF229" s="68"/>
      <c r="EG229" s="68"/>
      <c r="EH229" s="390"/>
      <c r="EI229" s="68"/>
      <c r="EJ229" s="68"/>
      <c r="EK229" s="68"/>
      <c r="EL229" s="91" t="str">
        <f t="shared" si="56"/>
        <v>No se reportó avance</v>
      </c>
      <c r="EM229" s="83" t="str">
        <f t="shared" si="57"/>
        <v>No se reportó avance</v>
      </c>
      <c r="EN229" s="646"/>
      <c r="EO229" s="69" t="str">
        <f t="shared" si="44"/>
        <v>Gestión</v>
      </c>
      <c r="EP229" s="69" t="str">
        <f t="shared" si="45"/>
        <v>6</v>
      </c>
    </row>
    <row r="230" spans="1:146" ht="150" customHeight="1">
      <c r="A230" s="390" t="s">
        <v>1718</v>
      </c>
      <c r="B230" s="398" t="s">
        <v>1719</v>
      </c>
      <c r="C230" s="399" t="s">
        <v>2088</v>
      </c>
      <c r="D230" s="400" t="s">
        <v>1721</v>
      </c>
      <c r="E230" s="401" t="s">
        <v>2089</v>
      </c>
      <c r="F230" s="390" t="s">
        <v>182</v>
      </c>
      <c r="G230" s="390" t="s">
        <v>182</v>
      </c>
      <c r="H230" s="390" t="s">
        <v>2131</v>
      </c>
      <c r="I230" s="390" t="s">
        <v>728</v>
      </c>
      <c r="J230" s="390" t="s">
        <v>1723</v>
      </c>
      <c r="K230" s="390" t="s">
        <v>182</v>
      </c>
      <c r="L230" s="402">
        <v>11</v>
      </c>
      <c r="M230" s="390" t="s">
        <v>2092</v>
      </c>
      <c r="N230" s="390" t="s">
        <v>2093</v>
      </c>
      <c r="O230" s="390" t="s">
        <v>1984</v>
      </c>
      <c r="P230" s="390" t="s">
        <v>200</v>
      </c>
      <c r="Q230" s="390" t="s">
        <v>162</v>
      </c>
      <c r="R230" s="172">
        <v>1</v>
      </c>
      <c r="S230" s="390" t="s">
        <v>163</v>
      </c>
      <c r="T230" s="437">
        <v>44946</v>
      </c>
      <c r="U230" s="403">
        <v>46387</v>
      </c>
      <c r="V230" s="68"/>
      <c r="W230" s="68"/>
      <c r="X230" s="68"/>
      <c r="Y230" s="68"/>
      <c r="Z230" s="446"/>
      <c r="AA230" s="446"/>
      <c r="AB230" s="446"/>
      <c r="AC230" s="446"/>
      <c r="AD230" s="446"/>
      <c r="AE230" s="446"/>
      <c r="AF230" s="446"/>
      <c r="AG230" s="446"/>
      <c r="AH230" s="446"/>
      <c r="AI230" s="446"/>
      <c r="AJ230" s="446"/>
      <c r="AK230" s="447"/>
      <c r="AL230" s="447"/>
      <c r="AM230" s="447"/>
      <c r="AN230" s="447"/>
      <c r="AO230" s="447"/>
      <c r="AP230" s="447"/>
      <c r="AQ230" s="68"/>
      <c r="AR230" s="68"/>
      <c r="AS230" s="68"/>
      <c r="AT230" s="68"/>
      <c r="AU230" s="68"/>
      <c r="AV230" s="68"/>
      <c r="AW230" s="68"/>
      <c r="AX230" s="68"/>
      <c r="AY230" s="68"/>
      <c r="AZ230" s="68"/>
      <c r="BA230" s="68"/>
      <c r="BB230" s="68"/>
      <c r="BC230" s="68"/>
      <c r="BD230" s="68"/>
      <c r="BE230" s="68"/>
      <c r="BF230" s="68"/>
      <c r="BG230" s="68"/>
      <c r="BH230" s="68"/>
      <c r="BI230" s="68"/>
      <c r="BJ230" s="68"/>
      <c r="BK230" s="446"/>
      <c r="BL230" s="390"/>
      <c r="BM230" s="446"/>
      <c r="BN230" s="390"/>
      <c r="BO230" s="446"/>
      <c r="BP230" s="390"/>
      <c r="BQ230" s="68"/>
      <c r="BR230" s="68"/>
      <c r="BS230" s="446"/>
      <c r="BT230" s="446"/>
      <c r="BU230" s="446"/>
      <c r="BV230" s="446"/>
      <c r="BW230" s="446"/>
      <c r="BX230" s="446"/>
      <c r="BY230" s="446"/>
      <c r="BZ230" s="446"/>
      <c r="CA230" s="446"/>
      <c r="CB230" s="446"/>
      <c r="CC230" s="446"/>
      <c r="CD230" s="446"/>
      <c r="CE230" s="446"/>
      <c r="CF230" s="68"/>
      <c r="CG230" s="448"/>
      <c r="CH230" s="448"/>
      <c r="CI230" s="448"/>
      <c r="CJ230" s="83" t="str">
        <f t="shared" si="42"/>
        <v>No aplica</v>
      </c>
      <c r="CK230" s="83" t="str">
        <f t="shared" si="43"/>
        <v>No aplica</v>
      </c>
      <c r="CL230" s="83" t="str">
        <f t="shared" si="53"/>
        <v>No requiere reporte</v>
      </c>
      <c r="CM230" s="89" t="str">
        <f t="shared" si="54"/>
        <v>No requiere reporte</v>
      </c>
      <c r="CN230" s="89" t="str">
        <f t="shared" si="55"/>
        <v>No requiere reporte</v>
      </c>
      <c r="CO230" s="394" t="s">
        <v>2132</v>
      </c>
      <c r="CP230" s="394" t="s">
        <v>2133</v>
      </c>
      <c r="CQ230" s="835" t="s">
        <v>2075</v>
      </c>
      <c r="CR230" s="836" t="s">
        <v>2129</v>
      </c>
      <c r="CS230" s="837" t="s">
        <v>2130</v>
      </c>
      <c r="CT230" s="837" t="s">
        <v>200</v>
      </c>
      <c r="CU230" s="833" t="s">
        <v>233</v>
      </c>
      <c r="CV230" s="833" t="s">
        <v>182</v>
      </c>
      <c r="CW230" s="833" t="s">
        <v>234</v>
      </c>
      <c r="CX230" s="834">
        <v>46037</v>
      </c>
      <c r="CY230" s="834">
        <v>46387</v>
      </c>
      <c r="CZ230" s="833">
        <v>1</v>
      </c>
      <c r="DA230" s="833">
        <v>1</v>
      </c>
      <c r="DB230" s="833">
        <v>2</v>
      </c>
      <c r="DC230" s="833">
        <v>2</v>
      </c>
      <c r="DD230" s="391">
        <f t="shared" si="60"/>
        <v>6</v>
      </c>
      <c r="DE230" s="394" t="s">
        <v>514</v>
      </c>
      <c r="DF230" s="394" t="s">
        <v>1743</v>
      </c>
      <c r="DG230" s="394" t="s">
        <v>1744</v>
      </c>
      <c r="DH230" s="397">
        <v>239134632</v>
      </c>
      <c r="DI230" s="394" t="s">
        <v>182</v>
      </c>
      <c r="DJ230" s="643" t="s">
        <v>628</v>
      </c>
      <c r="DK230" s="643" t="s">
        <v>1745</v>
      </c>
      <c r="DL230" s="394" t="s">
        <v>279</v>
      </c>
      <c r="DM230" s="394" t="s">
        <v>2134</v>
      </c>
      <c r="DN230" s="449"/>
      <c r="DO230" s="654"/>
      <c r="DP230" s="446"/>
      <c r="DQ230" s="390"/>
      <c r="DR230" s="390"/>
      <c r="DS230" s="446"/>
      <c r="DT230" s="646"/>
      <c r="DU230" s="390"/>
      <c r="DV230" s="390"/>
      <c r="DW230" s="390"/>
      <c r="DX230" s="446"/>
      <c r="DY230" s="646"/>
      <c r="DZ230" s="390"/>
      <c r="EA230" s="390"/>
      <c r="EB230" s="390"/>
      <c r="EC230" s="656"/>
      <c r="ED230" s="68"/>
      <c r="EE230" s="68"/>
      <c r="EF230" s="68"/>
      <c r="EG230" s="68"/>
      <c r="EH230" s="390"/>
      <c r="EI230" s="68"/>
      <c r="EJ230" s="68"/>
      <c r="EK230" s="68"/>
      <c r="EL230" s="91" t="str">
        <f t="shared" si="56"/>
        <v>No se reportó avance</v>
      </c>
      <c r="EM230" s="83" t="str">
        <f t="shared" si="57"/>
        <v>No se reportó avance</v>
      </c>
      <c r="EN230" s="646" t="s">
        <v>4682</v>
      </c>
      <c r="EO230" s="69" t="str">
        <f t="shared" si="44"/>
        <v>Gestión</v>
      </c>
      <c r="EP230" s="69" t="str">
        <f t="shared" si="45"/>
        <v>6</v>
      </c>
    </row>
    <row r="231" spans="1:146" ht="150" customHeight="1">
      <c r="A231" s="390" t="s">
        <v>1718</v>
      </c>
      <c r="B231" s="398" t="s">
        <v>1719</v>
      </c>
      <c r="C231" s="399" t="s">
        <v>2088</v>
      </c>
      <c r="D231" s="400" t="s">
        <v>1721</v>
      </c>
      <c r="E231" s="401" t="s">
        <v>2089</v>
      </c>
      <c r="F231" s="390" t="s">
        <v>182</v>
      </c>
      <c r="G231" s="390" t="s">
        <v>182</v>
      </c>
      <c r="H231" s="390" t="s">
        <v>2135</v>
      </c>
      <c r="I231" s="390" t="s">
        <v>728</v>
      </c>
      <c r="J231" s="390" t="s">
        <v>1723</v>
      </c>
      <c r="K231" s="390" t="s">
        <v>182</v>
      </c>
      <c r="L231" s="402">
        <v>11</v>
      </c>
      <c r="M231" s="390" t="s">
        <v>2092</v>
      </c>
      <c r="N231" s="390" t="s">
        <v>2093</v>
      </c>
      <c r="O231" s="390" t="s">
        <v>1984</v>
      </c>
      <c r="P231" s="390" t="s">
        <v>200</v>
      </c>
      <c r="Q231" s="390" t="s">
        <v>162</v>
      </c>
      <c r="R231" s="172">
        <v>1</v>
      </c>
      <c r="S231" s="390" t="s">
        <v>163</v>
      </c>
      <c r="T231" s="437">
        <v>44946</v>
      </c>
      <c r="U231" s="403">
        <v>46387</v>
      </c>
      <c r="V231" s="68"/>
      <c r="W231" s="68"/>
      <c r="X231" s="68"/>
      <c r="Y231" s="68"/>
      <c r="Z231" s="446"/>
      <c r="AA231" s="446"/>
      <c r="AB231" s="446"/>
      <c r="AC231" s="446"/>
      <c r="AD231" s="446"/>
      <c r="AE231" s="446"/>
      <c r="AF231" s="446"/>
      <c r="AG231" s="446"/>
      <c r="AH231" s="446"/>
      <c r="AI231" s="446"/>
      <c r="AJ231" s="446"/>
      <c r="AK231" s="447"/>
      <c r="AL231" s="447"/>
      <c r="AM231" s="447"/>
      <c r="AN231" s="447"/>
      <c r="AO231" s="447"/>
      <c r="AP231" s="447"/>
      <c r="AQ231" s="68"/>
      <c r="AR231" s="68"/>
      <c r="AS231" s="68"/>
      <c r="AT231" s="68"/>
      <c r="AU231" s="68"/>
      <c r="AV231" s="68"/>
      <c r="AW231" s="68"/>
      <c r="AX231" s="68"/>
      <c r="AY231" s="68"/>
      <c r="AZ231" s="68"/>
      <c r="BA231" s="68"/>
      <c r="BB231" s="68"/>
      <c r="BC231" s="68"/>
      <c r="BD231" s="68"/>
      <c r="BE231" s="68"/>
      <c r="BF231" s="68"/>
      <c r="BG231" s="68"/>
      <c r="BH231" s="68"/>
      <c r="BI231" s="68"/>
      <c r="BJ231" s="68"/>
      <c r="BK231" s="446"/>
      <c r="BL231" s="390"/>
      <c r="BM231" s="446"/>
      <c r="BN231" s="390"/>
      <c r="BO231" s="446"/>
      <c r="BP231" s="390"/>
      <c r="BQ231" s="68"/>
      <c r="BR231" s="68"/>
      <c r="BS231" s="446"/>
      <c r="BT231" s="446"/>
      <c r="BU231" s="446"/>
      <c r="BV231" s="446"/>
      <c r="BW231" s="446"/>
      <c r="BX231" s="446"/>
      <c r="BY231" s="446"/>
      <c r="BZ231" s="446"/>
      <c r="CA231" s="446"/>
      <c r="CB231" s="446"/>
      <c r="CC231" s="446"/>
      <c r="CD231" s="446"/>
      <c r="CE231" s="446"/>
      <c r="CF231" s="68"/>
      <c r="CG231" s="448"/>
      <c r="CH231" s="448"/>
      <c r="CI231" s="448"/>
      <c r="CJ231" s="83" t="str">
        <f t="shared" si="42"/>
        <v>No aplica</v>
      </c>
      <c r="CK231" s="83" t="str">
        <f t="shared" si="43"/>
        <v>No aplica</v>
      </c>
      <c r="CL231" s="83" t="str">
        <f t="shared" si="53"/>
        <v>No requiere reporte</v>
      </c>
      <c r="CM231" s="89" t="str">
        <f t="shared" si="54"/>
        <v>No requiere reporte</v>
      </c>
      <c r="CN231" s="89" t="str">
        <f t="shared" si="55"/>
        <v>No requiere reporte</v>
      </c>
      <c r="CO231" s="394" t="s">
        <v>2136</v>
      </c>
      <c r="CP231" s="394" t="s">
        <v>2137</v>
      </c>
      <c r="CQ231" s="394" t="s">
        <v>474</v>
      </c>
      <c r="CR231" s="394" t="s">
        <v>2138</v>
      </c>
      <c r="CS231" s="658" t="s">
        <v>2139</v>
      </c>
      <c r="CT231" s="838" t="s">
        <v>200</v>
      </c>
      <c r="CU231" s="839" t="s">
        <v>233</v>
      </c>
      <c r="CV231" s="833" t="s">
        <v>182</v>
      </c>
      <c r="CW231" s="833" t="s">
        <v>234</v>
      </c>
      <c r="CX231" s="834">
        <v>46037</v>
      </c>
      <c r="CY231" s="834">
        <v>46387</v>
      </c>
      <c r="CZ231" s="415">
        <v>1</v>
      </c>
      <c r="DA231" s="415">
        <v>2</v>
      </c>
      <c r="DB231" s="415">
        <v>2</v>
      </c>
      <c r="DC231" s="415">
        <v>2</v>
      </c>
      <c r="DD231" s="391">
        <f t="shared" si="60"/>
        <v>7</v>
      </c>
      <c r="DE231" s="394" t="s">
        <v>514</v>
      </c>
      <c r="DF231" s="394" t="s">
        <v>1743</v>
      </c>
      <c r="DG231" s="394" t="s">
        <v>1744</v>
      </c>
      <c r="DH231" s="397">
        <v>327405000</v>
      </c>
      <c r="DI231" s="394" t="s">
        <v>182</v>
      </c>
      <c r="DJ231" s="643" t="s">
        <v>628</v>
      </c>
      <c r="DK231" s="643" t="s">
        <v>1745</v>
      </c>
      <c r="DL231" s="394" t="s">
        <v>279</v>
      </c>
      <c r="DM231" s="394" t="s">
        <v>2134</v>
      </c>
      <c r="DN231" s="446"/>
      <c r="DO231" s="654"/>
      <c r="DP231" s="390"/>
      <c r="DQ231" s="646"/>
      <c r="DR231" s="646"/>
      <c r="DS231" s="446"/>
      <c r="DT231" s="646"/>
      <c r="DU231" s="406"/>
      <c r="DV231" s="390"/>
      <c r="DW231" s="390"/>
      <c r="DX231" s="446"/>
      <c r="DY231" s="646"/>
      <c r="DZ231" s="829"/>
      <c r="EA231" s="390"/>
      <c r="EB231" s="390"/>
      <c r="EC231" s="68"/>
      <c r="ED231" s="68"/>
      <c r="EE231" s="68"/>
      <c r="EF231" s="68"/>
      <c r="EG231" s="68"/>
      <c r="EH231" s="390"/>
      <c r="EI231" s="68"/>
      <c r="EJ231" s="68"/>
      <c r="EK231" s="68"/>
      <c r="EL231" s="91" t="str">
        <f t="shared" si="56"/>
        <v>No se reportó avance</v>
      </c>
      <c r="EM231" s="83" t="str">
        <f t="shared" si="57"/>
        <v>No se reportó avance</v>
      </c>
      <c r="EN231" s="646" t="s">
        <v>4682</v>
      </c>
      <c r="EO231" s="69" t="str">
        <f t="shared" si="44"/>
        <v>Gestión</v>
      </c>
      <c r="EP231" s="69" t="str">
        <f t="shared" si="45"/>
        <v>6</v>
      </c>
    </row>
    <row r="232" spans="1:146" ht="150" customHeight="1">
      <c r="A232" s="377" t="s">
        <v>1718</v>
      </c>
      <c r="B232" s="378" t="s">
        <v>1719</v>
      </c>
      <c r="C232" s="379" t="s">
        <v>1720</v>
      </c>
      <c r="D232" s="380" t="s">
        <v>1721</v>
      </c>
      <c r="E232" s="381" t="s">
        <v>2140</v>
      </c>
      <c r="F232" s="377" t="s">
        <v>182</v>
      </c>
      <c r="G232" s="377" t="s">
        <v>2141</v>
      </c>
      <c r="H232" s="377" t="s">
        <v>2142</v>
      </c>
      <c r="I232" s="377" t="s">
        <v>728</v>
      </c>
      <c r="J232" s="377" t="s">
        <v>1723</v>
      </c>
      <c r="K232" s="377" t="s">
        <v>1757</v>
      </c>
      <c r="L232" s="382">
        <v>12</v>
      </c>
      <c r="M232" s="382" t="s">
        <v>2143</v>
      </c>
      <c r="N232" s="382" t="s">
        <v>2144</v>
      </c>
      <c r="O232" s="382" t="s">
        <v>2145</v>
      </c>
      <c r="P232" s="382" t="s">
        <v>200</v>
      </c>
      <c r="Q232" s="382" t="s">
        <v>162</v>
      </c>
      <c r="R232" s="451">
        <v>1</v>
      </c>
      <c r="S232" s="382" t="s">
        <v>163</v>
      </c>
      <c r="T232" s="436">
        <v>44946</v>
      </c>
      <c r="U232" s="384">
        <v>46387</v>
      </c>
      <c r="V232" s="407">
        <v>1</v>
      </c>
      <c r="W232" s="407">
        <v>1</v>
      </c>
      <c r="X232" s="407">
        <v>1</v>
      </c>
      <c r="Y232" s="407">
        <v>1</v>
      </c>
      <c r="Z232" s="407">
        <v>1</v>
      </c>
      <c r="AA232" s="407">
        <v>1</v>
      </c>
      <c r="AB232" s="407">
        <v>1</v>
      </c>
      <c r="AC232" s="407">
        <v>1</v>
      </c>
      <c r="AD232" s="407">
        <v>1</v>
      </c>
      <c r="AE232" s="407">
        <v>1</v>
      </c>
      <c r="AF232" s="407">
        <v>1</v>
      </c>
      <c r="AG232" s="407">
        <v>1</v>
      </c>
      <c r="AH232" s="407">
        <v>1</v>
      </c>
      <c r="AI232" s="407">
        <v>1</v>
      </c>
      <c r="AJ232" s="407">
        <v>1</v>
      </c>
      <c r="AK232" s="407">
        <v>1</v>
      </c>
      <c r="AL232" s="407">
        <v>1</v>
      </c>
      <c r="AM232" s="407">
        <v>1</v>
      </c>
      <c r="AN232" s="407">
        <v>1</v>
      </c>
      <c r="AO232" s="408">
        <v>1</v>
      </c>
      <c r="AP232" s="408">
        <v>1</v>
      </c>
      <c r="AQ232" s="172">
        <f>(7+4)/11*100%</f>
        <v>1</v>
      </c>
      <c r="AR232" s="389" t="s">
        <v>2146</v>
      </c>
      <c r="AS232" s="172">
        <f>SUM(0+20+15)/35*100%</f>
        <v>1</v>
      </c>
      <c r="AT232" s="389" t="s">
        <v>2147</v>
      </c>
      <c r="AU232" s="172">
        <f>SUM(8+8+3)/19*100%</f>
        <v>1</v>
      </c>
      <c r="AV232" s="389" t="s">
        <v>2148</v>
      </c>
      <c r="AW232" s="399">
        <f>SUM(2+3+2)/7*100%</f>
        <v>1</v>
      </c>
      <c r="AX232" s="644" t="s">
        <v>2149</v>
      </c>
      <c r="AY232" s="399">
        <f>72/72</f>
        <v>1</v>
      </c>
      <c r="AZ232" s="644" t="s">
        <v>2150</v>
      </c>
      <c r="BA232" s="172">
        <f>SUM(0+2+1)/3*100%</f>
        <v>1</v>
      </c>
      <c r="BB232" s="646" t="s">
        <v>2151</v>
      </c>
      <c r="BC232" s="172">
        <f>SUM(7+15+8)/30*100%</f>
        <v>1</v>
      </c>
      <c r="BD232" s="646" t="s">
        <v>2152</v>
      </c>
      <c r="BE232" s="172">
        <f>SUM(12+9+9)/30*100%</f>
        <v>1</v>
      </c>
      <c r="BF232" s="390" t="s">
        <v>2153</v>
      </c>
      <c r="BG232" s="172">
        <f>SUM(28+19+8)/55*100%</f>
        <v>1</v>
      </c>
      <c r="BH232" s="172" t="s">
        <v>2154</v>
      </c>
      <c r="BI232" s="172">
        <v>1</v>
      </c>
      <c r="BJ232" s="172" t="s">
        <v>2155</v>
      </c>
      <c r="BK232" s="449">
        <f>SUM(1)/2*100%</f>
        <v>0.5</v>
      </c>
      <c r="BL232" s="390" t="s">
        <v>2156</v>
      </c>
      <c r="BM232" s="655">
        <f>SUM(2)/4*100%</f>
        <v>0.5</v>
      </c>
      <c r="BN232" s="390" t="s">
        <v>2157</v>
      </c>
      <c r="BO232" s="655">
        <f>SUM(1/1+18/20+3/3+1/1)/4*100%</f>
        <v>0.97499999999999998</v>
      </c>
      <c r="BP232" s="390" t="s">
        <v>2158</v>
      </c>
      <c r="BQ232" s="656"/>
      <c r="BR232" s="68"/>
      <c r="BS232" s="655">
        <v>0.49</v>
      </c>
      <c r="BT232" s="446"/>
      <c r="BU232" s="657"/>
      <c r="BV232" s="446"/>
      <c r="BW232" s="657"/>
      <c r="BX232" s="446"/>
      <c r="BY232" s="657"/>
      <c r="BZ232" s="446"/>
      <c r="CA232" s="657"/>
      <c r="CB232" s="446"/>
      <c r="CC232" s="657"/>
      <c r="CD232" s="446"/>
      <c r="CE232" s="172">
        <v>0.83</v>
      </c>
      <c r="CF232" s="68"/>
      <c r="CG232" s="450">
        <f>SUM(DH232:DH235)</f>
        <v>951755000</v>
      </c>
      <c r="CH232" s="448"/>
      <c r="CI232" s="448"/>
      <c r="CJ232" s="83">
        <f t="shared" si="42"/>
        <v>0</v>
      </c>
      <c r="CK232" s="83">
        <f t="shared" si="43"/>
        <v>0</v>
      </c>
      <c r="CL232" s="83" t="str">
        <f t="shared" si="53"/>
        <v>No se reportó avance</v>
      </c>
      <c r="CM232" s="89" t="str">
        <f t="shared" si="54"/>
        <v>No se reportó avance</v>
      </c>
      <c r="CN232" s="89">
        <f t="shared" si="55"/>
        <v>0.83</v>
      </c>
      <c r="CO232" s="394" t="s">
        <v>2159</v>
      </c>
      <c r="CP232" s="394" t="s">
        <v>2160</v>
      </c>
      <c r="CQ232" s="394" t="s">
        <v>2161</v>
      </c>
      <c r="CR232" s="394" t="s">
        <v>2162</v>
      </c>
      <c r="CS232" s="658" t="s">
        <v>2163</v>
      </c>
      <c r="CT232" s="394" t="s">
        <v>200</v>
      </c>
      <c r="CU232" s="394" t="s">
        <v>162</v>
      </c>
      <c r="CV232" s="414">
        <v>1</v>
      </c>
      <c r="CW232" s="394" t="s">
        <v>163</v>
      </c>
      <c r="CX232" s="395">
        <v>46037</v>
      </c>
      <c r="CY232" s="395">
        <v>46387</v>
      </c>
      <c r="CZ232" s="413">
        <v>1</v>
      </c>
      <c r="DA232" s="413">
        <v>1</v>
      </c>
      <c r="DB232" s="413">
        <v>1</v>
      </c>
      <c r="DC232" s="413">
        <v>1</v>
      </c>
      <c r="DD232" s="413">
        <v>1</v>
      </c>
      <c r="DE232" s="394" t="s">
        <v>514</v>
      </c>
      <c r="DF232" s="394" t="s">
        <v>1743</v>
      </c>
      <c r="DG232" s="394" t="s">
        <v>1744</v>
      </c>
      <c r="DH232" s="397">
        <v>334260000</v>
      </c>
      <c r="DI232" s="394" t="s">
        <v>182</v>
      </c>
      <c r="DJ232" s="643" t="s">
        <v>628</v>
      </c>
      <c r="DK232" s="643" t="s">
        <v>1745</v>
      </c>
      <c r="DL232" s="394" t="s">
        <v>279</v>
      </c>
      <c r="DM232" s="394" t="s">
        <v>2164</v>
      </c>
      <c r="DN232" s="449"/>
      <c r="DO232" s="654"/>
      <c r="DP232" s="830"/>
      <c r="DQ232" s="390"/>
      <c r="DR232" s="390"/>
      <c r="DS232" s="449"/>
      <c r="DT232" s="646"/>
      <c r="DU232" s="406"/>
      <c r="DV232" s="390"/>
      <c r="DW232" s="390"/>
      <c r="DX232" s="449"/>
      <c r="DY232" s="646"/>
      <c r="DZ232" s="829"/>
      <c r="EA232" s="390"/>
      <c r="EB232" s="390"/>
      <c r="EC232" s="656"/>
      <c r="ED232" s="68"/>
      <c r="EE232" s="68"/>
      <c r="EF232" s="68"/>
      <c r="EG232" s="68"/>
      <c r="EH232" s="398"/>
      <c r="EI232" s="68"/>
      <c r="EJ232" s="68"/>
      <c r="EK232" s="68"/>
      <c r="EL232" s="91" t="str">
        <f t="shared" si="56"/>
        <v>No se reportó avance</v>
      </c>
      <c r="EM232" s="83" t="str">
        <f t="shared" si="57"/>
        <v>No se reportó avance</v>
      </c>
      <c r="EN232" s="646" t="s">
        <v>4682</v>
      </c>
      <c r="EO232" s="69" t="str">
        <f t="shared" si="44"/>
        <v>Gestión</v>
      </c>
      <c r="EP232" s="69" t="str">
        <f t="shared" si="45"/>
        <v>6</v>
      </c>
    </row>
    <row r="233" spans="1:146" ht="150" customHeight="1">
      <c r="A233" s="390" t="s">
        <v>1718</v>
      </c>
      <c r="B233" s="398" t="s">
        <v>1719</v>
      </c>
      <c r="C233" s="399" t="s">
        <v>1720</v>
      </c>
      <c r="D233" s="400" t="s">
        <v>1721</v>
      </c>
      <c r="E233" s="401" t="s">
        <v>2140</v>
      </c>
      <c r="F233" s="390" t="s">
        <v>182</v>
      </c>
      <c r="G233" s="390" t="s">
        <v>1980</v>
      </c>
      <c r="H233" s="390" t="s">
        <v>2142</v>
      </c>
      <c r="I233" s="390" t="s">
        <v>728</v>
      </c>
      <c r="J233" s="390" t="s">
        <v>1723</v>
      </c>
      <c r="K233" s="390" t="s">
        <v>1757</v>
      </c>
      <c r="L233" s="402">
        <v>12</v>
      </c>
      <c r="M233" s="390" t="s">
        <v>2143</v>
      </c>
      <c r="N233" s="390" t="s">
        <v>2144</v>
      </c>
      <c r="O233" s="390" t="s">
        <v>2145</v>
      </c>
      <c r="P233" s="390" t="s">
        <v>200</v>
      </c>
      <c r="Q233" s="390" t="s">
        <v>162</v>
      </c>
      <c r="R233" s="172">
        <v>1</v>
      </c>
      <c r="S233" s="390" t="s">
        <v>163</v>
      </c>
      <c r="T233" s="437">
        <v>44946</v>
      </c>
      <c r="U233" s="403">
        <v>46387</v>
      </c>
      <c r="V233" s="68"/>
      <c r="W233" s="68"/>
      <c r="X233" s="68"/>
      <c r="Y233" s="68"/>
      <c r="Z233" s="446"/>
      <c r="AA233" s="446"/>
      <c r="AB233" s="446"/>
      <c r="AC233" s="446"/>
      <c r="AD233" s="446"/>
      <c r="AE233" s="446"/>
      <c r="AF233" s="446"/>
      <c r="AG233" s="446"/>
      <c r="AH233" s="446"/>
      <c r="AI233" s="446"/>
      <c r="AJ233" s="446"/>
      <c r="AK233" s="447"/>
      <c r="AL233" s="447"/>
      <c r="AM233" s="447"/>
      <c r="AN233" s="447"/>
      <c r="AO233" s="447"/>
      <c r="AP233" s="447"/>
      <c r="AQ233" s="68"/>
      <c r="AR233" s="68"/>
      <c r="AS233" s="68"/>
      <c r="AT233" s="68"/>
      <c r="AU233" s="68"/>
      <c r="AV233" s="68"/>
      <c r="AW233" s="68"/>
      <c r="AX233" s="68"/>
      <c r="AY233" s="68"/>
      <c r="AZ233" s="68"/>
      <c r="BA233" s="68"/>
      <c r="BB233" s="68"/>
      <c r="BC233" s="68"/>
      <c r="BD233" s="68"/>
      <c r="BE233" s="68"/>
      <c r="BF233" s="68"/>
      <c r="BG233" s="68"/>
      <c r="BH233" s="68"/>
      <c r="BI233" s="68"/>
      <c r="BJ233" s="68"/>
      <c r="BK233" s="446"/>
      <c r="BL233" s="390"/>
      <c r="BM233" s="446"/>
      <c r="BN233" s="390"/>
      <c r="BO233" s="446"/>
      <c r="BP233" s="390"/>
      <c r="BQ233" s="68"/>
      <c r="BR233" s="68"/>
      <c r="BS233" s="446"/>
      <c r="BT233" s="446"/>
      <c r="BU233" s="446"/>
      <c r="BV233" s="446"/>
      <c r="BW233" s="446"/>
      <c r="BX233" s="446"/>
      <c r="BY233" s="446"/>
      <c r="BZ233" s="446"/>
      <c r="CA233" s="446"/>
      <c r="CB233" s="446"/>
      <c r="CC233" s="446"/>
      <c r="CD233" s="446"/>
      <c r="CE233" s="446"/>
      <c r="CF233" s="68"/>
      <c r="CG233" s="448"/>
      <c r="CH233" s="448"/>
      <c r="CI233" s="448"/>
      <c r="CJ233" s="83" t="str">
        <f t="shared" si="42"/>
        <v>No aplica</v>
      </c>
      <c r="CK233" s="83" t="str">
        <f t="shared" si="43"/>
        <v>No aplica</v>
      </c>
      <c r="CL233" s="83" t="str">
        <f t="shared" si="53"/>
        <v>No requiere reporte</v>
      </c>
      <c r="CM233" s="89" t="str">
        <f t="shared" si="54"/>
        <v>No requiere reporte</v>
      </c>
      <c r="CN233" s="89" t="str">
        <f t="shared" si="55"/>
        <v>No requiere reporte</v>
      </c>
      <c r="CO233" s="394" t="s">
        <v>2165</v>
      </c>
      <c r="CP233" s="394" t="s">
        <v>2166</v>
      </c>
      <c r="CQ233" s="394" t="s">
        <v>2075</v>
      </c>
      <c r="CR233" s="658" t="s">
        <v>2129</v>
      </c>
      <c r="CS233" s="658" t="s">
        <v>2167</v>
      </c>
      <c r="CT233" s="394" t="s">
        <v>200</v>
      </c>
      <c r="CU233" s="394" t="s">
        <v>233</v>
      </c>
      <c r="CV233" s="396">
        <v>49</v>
      </c>
      <c r="CW233" s="394" t="s">
        <v>234</v>
      </c>
      <c r="CX233" s="395">
        <v>46037</v>
      </c>
      <c r="CY233" s="395">
        <v>46387</v>
      </c>
      <c r="CZ233" s="396">
        <v>10</v>
      </c>
      <c r="DA233" s="396">
        <v>20</v>
      </c>
      <c r="DB233" s="396">
        <v>20</v>
      </c>
      <c r="DC233" s="396">
        <v>10</v>
      </c>
      <c r="DD233" s="391">
        <f t="shared" ref="DD233:DD241" si="61">SUM(CZ233:DC233)</f>
        <v>60</v>
      </c>
      <c r="DE233" s="394" t="s">
        <v>514</v>
      </c>
      <c r="DF233" s="394" t="s">
        <v>1743</v>
      </c>
      <c r="DG233" s="394" t="s">
        <v>1744</v>
      </c>
      <c r="DH233" s="397">
        <v>356575000</v>
      </c>
      <c r="DI233" s="394" t="s">
        <v>182</v>
      </c>
      <c r="DJ233" s="643" t="s">
        <v>628</v>
      </c>
      <c r="DK233" s="643" t="s">
        <v>1745</v>
      </c>
      <c r="DL233" s="394" t="s">
        <v>279</v>
      </c>
      <c r="DM233" s="394" t="s">
        <v>2164</v>
      </c>
      <c r="DN233" s="446"/>
      <c r="DO233" s="654"/>
      <c r="DP233" s="446"/>
      <c r="DQ233" s="390"/>
      <c r="DR233" s="390"/>
      <c r="DS233" s="446"/>
      <c r="DT233" s="646"/>
      <c r="DU233" s="406"/>
      <c r="DV233" s="390"/>
      <c r="DW233" s="390"/>
      <c r="DX233" s="446"/>
      <c r="DY233" s="646"/>
      <c r="DZ233" s="829"/>
      <c r="EA233" s="390"/>
      <c r="EB233" s="390"/>
      <c r="EC233" s="68"/>
      <c r="ED233" s="68"/>
      <c r="EE233" s="68"/>
      <c r="EF233" s="68"/>
      <c r="EG233" s="68"/>
      <c r="EH233" s="390"/>
      <c r="EI233" s="68"/>
      <c r="EJ233" s="68"/>
      <c r="EK233" s="68"/>
      <c r="EL233" s="91" t="str">
        <f t="shared" si="56"/>
        <v>No se reportó avance</v>
      </c>
      <c r="EM233" s="83" t="str">
        <f t="shared" si="57"/>
        <v>No se reportó avance</v>
      </c>
      <c r="EN233" s="646" t="s">
        <v>4682</v>
      </c>
      <c r="EO233" s="69" t="str">
        <f t="shared" si="44"/>
        <v>Gestión</v>
      </c>
      <c r="EP233" s="69" t="str">
        <f t="shared" si="45"/>
        <v>6</v>
      </c>
    </row>
    <row r="234" spans="1:146" ht="150" customHeight="1">
      <c r="A234" s="390" t="s">
        <v>1718</v>
      </c>
      <c r="B234" s="398" t="s">
        <v>1719</v>
      </c>
      <c r="C234" s="399" t="s">
        <v>1720</v>
      </c>
      <c r="D234" s="400" t="s">
        <v>1721</v>
      </c>
      <c r="E234" s="401" t="s">
        <v>2140</v>
      </c>
      <c r="F234" s="390" t="s">
        <v>182</v>
      </c>
      <c r="G234" s="390" t="s">
        <v>182</v>
      </c>
      <c r="H234" s="390" t="s">
        <v>2142</v>
      </c>
      <c r="I234" s="390" t="s">
        <v>728</v>
      </c>
      <c r="J234" s="390" t="s">
        <v>1723</v>
      </c>
      <c r="K234" s="390" t="s">
        <v>182</v>
      </c>
      <c r="L234" s="402">
        <v>12</v>
      </c>
      <c r="M234" s="390" t="s">
        <v>2143</v>
      </c>
      <c r="N234" s="390" t="s">
        <v>2144</v>
      </c>
      <c r="O234" s="390" t="s">
        <v>2145</v>
      </c>
      <c r="P234" s="390" t="s">
        <v>200</v>
      </c>
      <c r="Q234" s="390" t="s">
        <v>162</v>
      </c>
      <c r="R234" s="172">
        <v>1</v>
      </c>
      <c r="S234" s="390" t="s">
        <v>163</v>
      </c>
      <c r="T234" s="437">
        <v>44946</v>
      </c>
      <c r="U234" s="403">
        <v>46387</v>
      </c>
      <c r="V234" s="68"/>
      <c r="W234" s="68"/>
      <c r="X234" s="68"/>
      <c r="Y234" s="68"/>
      <c r="Z234" s="446"/>
      <c r="AA234" s="446"/>
      <c r="AB234" s="446"/>
      <c r="AC234" s="446"/>
      <c r="AD234" s="446"/>
      <c r="AE234" s="446"/>
      <c r="AF234" s="446"/>
      <c r="AG234" s="446"/>
      <c r="AH234" s="446"/>
      <c r="AI234" s="446"/>
      <c r="AJ234" s="446"/>
      <c r="AK234" s="447"/>
      <c r="AL234" s="447"/>
      <c r="AM234" s="447"/>
      <c r="AN234" s="447"/>
      <c r="AO234" s="447"/>
      <c r="AP234" s="447"/>
      <c r="AQ234" s="68"/>
      <c r="AR234" s="68"/>
      <c r="AS234" s="68"/>
      <c r="AT234" s="68"/>
      <c r="AU234" s="68"/>
      <c r="AV234" s="68"/>
      <c r="AW234" s="68"/>
      <c r="AX234" s="68"/>
      <c r="AY234" s="68"/>
      <c r="AZ234" s="68"/>
      <c r="BA234" s="68"/>
      <c r="BB234" s="68"/>
      <c r="BC234" s="68"/>
      <c r="BD234" s="68"/>
      <c r="BE234" s="68"/>
      <c r="BF234" s="68"/>
      <c r="BG234" s="68"/>
      <c r="BH234" s="68"/>
      <c r="BI234" s="68"/>
      <c r="BJ234" s="68"/>
      <c r="BK234" s="446"/>
      <c r="BL234" s="390"/>
      <c r="BM234" s="446"/>
      <c r="BN234" s="390"/>
      <c r="BO234" s="446"/>
      <c r="BP234" s="390"/>
      <c r="BQ234" s="68"/>
      <c r="BR234" s="68"/>
      <c r="BS234" s="446"/>
      <c r="BT234" s="446"/>
      <c r="BU234" s="446"/>
      <c r="BV234" s="446"/>
      <c r="BW234" s="446"/>
      <c r="BX234" s="446"/>
      <c r="BY234" s="446"/>
      <c r="BZ234" s="446"/>
      <c r="CA234" s="446"/>
      <c r="CB234" s="446"/>
      <c r="CC234" s="446"/>
      <c r="CD234" s="446"/>
      <c r="CE234" s="446"/>
      <c r="CF234" s="68"/>
      <c r="CG234" s="448"/>
      <c r="CH234" s="448"/>
      <c r="CI234" s="448"/>
      <c r="CJ234" s="83" t="str">
        <f t="shared" si="42"/>
        <v>No aplica</v>
      </c>
      <c r="CK234" s="83" t="str">
        <f t="shared" si="43"/>
        <v>No aplica</v>
      </c>
      <c r="CL234" s="83" t="str">
        <f t="shared" si="53"/>
        <v>No requiere reporte</v>
      </c>
      <c r="CM234" s="89" t="str">
        <f t="shared" si="54"/>
        <v>No requiere reporte</v>
      </c>
      <c r="CN234" s="89" t="str">
        <f t="shared" si="55"/>
        <v>No requiere reporte</v>
      </c>
      <c r="CO234" s="394" t="s">
        <v>2168</v>
      </c>
      <c r="CP234" s="394" t="s">
        <v>2169</v>
      </c>
      <c r="CQ234" s="394" t="s">
        <v>2170</v>
      </c>
      <c r="CR234" s="658" t="s">
        <v>2171</v>
      </c>
      <c r="CS234" s="658" t="s">
        <v>2172</v>
      </c>
      <c r="CT234" s="394" t="s">
        <v>200</v>
      </c>
      <c r="CU234" s="394" t="s">
        <v>233</v>
      </c>
      <c r="CV234" s="394">
        <v>3</v>
      </c>
      <c r="CW234" s="394" t="s">
        <v>234</v>
      </c>
      <c r="CX234" s="395">
        <v>46037</v>
      </c>
      <c r="CY234" s="395">
        <v>46387</v>
      </c>
      <c r="CZ234" s="396">
        <v>3</v>
      </c>
      <c r="DA234" s="396">
        <v>3</v>
      </c>
      <c r="DB234" s="396">
        <v>3</v>
      </c>
      <c r="DC234" s="396">
        <v>3</v>
      </c>
      <c r="DD234" s="391">
        <f t="shared" si="61"/>
        <v>12</v>
      </c>
      <c r="DE234" s="394" t="s">
        <v>514</v>
      </c>
      <c r="DF234" s="394" t="s">
        <v>1743</v>
      </c>
      <c r="DG234" s="394" t="s">
        <v>1744</v>
      </c>
      <c r="DH234" s="397">
        <v>172920000</v>
      </c>
      <c r="DI234" s="394" t="s">
        <v>182</v>
      </c>
      <c r="DJ234" s="643" t="s">
        <v>628</v>
      </c>
      <c r="DK234" s="643" t="s">
        <v>1745</v>
      </c>
      <c r="DL234" s="394" t="s">
        <v>279</v>
      </c>
      <c r="DM234" s="394" t="s">
        <v>2173</v>
      </c>
      <c r="DN234" s="446"/>
      <c r="DO234" s="654"/>
      <c r="DP234" s="446"/>
      <c r="DQ234" s="646"/>
      <c r="DR234" s="646"/>
      <c r="DS234" s="446"/>
      <c r="DT234" s="646"/>
      <c r="DU234" s="390"/>
      <c r="DV234" s="390"/>
      <c r="DW234" s="390"/>
      <c r="DX234" s="446"/>
      <c r="DY234" s="840"/>
      <c r="DZ234" s="829"/>
      <c r="EA234" s="390"/>
      <c r="EB234" s="390"/>
      <c r="EC234" s="68"/>
      <c r="ED234" s="68"/>
      <c r="EE234" s="68"/>
      <c r="EF234" s="68"/>
      <c r="EG234" s="68"/>
      <c r="EH234" s="390"/>
      <c r="EI234" s="68"/>
      <c r="EJ234" s="68"/>
      <c r="EK234" s="68"/>
      <c r="EL234" s="91" t="str">
        <f t="shared" si="56"/>
        <v>No se reportó avance</v>
      </c>
      <c r="EM234" s="83" t="str">
        <f t="shared" si="57"/>
        <v>No se reportó avance</v>
      </c>
      <c r="EN234" s="646"/>
      <c r="EO234" s="69" t="str">
        <f t="shared" si="44"/>
        <v>Gestión</v>
      </c>
      <c r="EP234" s="69" t="str">
        <f t="shared" si="45"/>
        <v>6</v>
      </c>
    </row>
    <row r="235" spans="1:146" ht="150" customHeight="1">
      <c r="A235" s="390" t="s">
        <v>1718</v>
      </c>
      <c r="B235" s="398" t="s">
        <v>1719</v>
      </c>
      <c r="C235" s="399" t="s">
        <v>1720</v>
      </c>
      <c r="D235" s="400" t="s">
        <v>1721</v>
      </c>
      <c r="E235" s="401" t="s">
        <v>2140</v>
      </c>
      <c r="F235" s="390" t="s">
        <v>182</v>
      </c>
      <c r="G235" s="390" t="s">
        <v>2174</v>
      </c>
      <c r="H235" s="390" t="s">
        <v>2142</v>
      </c>
      <c r="I235" s="390" t="s">
        <v>728</v>
      </c>
      <c r="J235" s="390" t="s">
        <v>1723</v>
      </c>
      <c r="K235" s="390" t="s">
        <v>1757</v>
      </c>
      <c r="L235" s="402">
        <v>12</v>
      </c>
      <c r="M235" s="390" t="s">
        <v>2143</v>
      </c>
      <c r="N235" s="390" t="s">
        <v>2144</v>
      </c>
      <c r="O235" s="390" t="s">
        <v>2145</v>
      </c>
      <c r="P235" s="390" t="s">
        <v>200</v>
      </c>
      <c r="Q235" s="390" t="s">
        <v>162</v>
      </c>
      <c r="R235" s="172">
        <v>1</v>
      </c>
      <c r="S235" s="390" t="s">
        <v>163</v>
      </c>
      <c r="T235" s="437">
        <v>44946</v>
      </c>
      <c r="U235" s="403">
        <v>46387</v>
      </c>
      <c r="V235" s="68"/>
      <c r="W235" s="68"/>
      <c r="X235" s="68"/>
      <c r="Y235" s="68"/>
      <c r="Z235" s="446"/>
      <c r="AA235" s="446"/>
      <c r="AB235" s="446"/>
      <c r="AC235" s="446"/>
      <c r="AD235" s="446"/>
      <c r="AE235" s="446"/>
      <c r="AF235" s="446"/>
      <c r="AG235" s="446"/>
      <c r="AH235" s="446"/>
      <c r="AI235" s="446"/>
      <c r="AJ235" s="446"/>
      <c r="AK235" s="447"/>
      <c r="AL235" s="447"/>
      <c r="AM235" s="447"/>
      <c r="AN235" s="447"/>
      <c r="AO235" s="447"/>
      <c r="AP235" s="447"/>
      <c r="AQ235" s="68"/>
      <c r="AR235" s="68"/>
      <c r="AS235" s="68"/>
      <c r="AT235" s="68"/>
      <c r="AU235" s="68"/>
      <c r="AV235" s="68"/>
      <c r="AW235" s="68"/>
      <c r="AX235" s="68"/>
      <c r="AY235" s="68"/>
      <c r="AZ235" s="68"/>
      <c r="BA235" s="68"/>
      <c r="BB235" s="68"/>
      <c r="BC235" s="68"/>
      <c r="BD235" s="68"/>
      <c r="BE235" s="68"/>
      <c r="BF235" s="68"/>
      <c r="BG235" s="68"/>
      <c r="BH235" s="68"/>
      <c r="BI235" s="68"/>
      <c r="BJ235" s="68"/>
      <c r="BK235" s="446"/>
      <c r="BL235" s="390"/>
      <c r="BM235" s="446"/>
      <c r="BN235" s="390"/>
      <c r="BO235" s="446"/>
      <c r="BP235" s="390"/>
      <c r="BQ235" s="68"/>
      <c r="BR235" s="68"/>
      <c r="BS235" s="446"/>
      <c r="BT235" s="446"/>
      <c r="BU235" s="446"/>
      <c r="BV235" s="446"/>
      <c r="BW235" s="446"/>
      <c r="BX235" s="446"/>
      <c r="BY235" s="446"/>
      <c r="BZ235" s="446"/>
      <c r="CA235" s="446"/>
      <c r="CB235" s="446"/>
      <c r="CC235" s="446"/>
      <c r="CD235" s="446"/>
      <c r="CE235" s="446"/>
      <c r="CF235" s="68"/>
      <c r="CG235" s="448"/>
      <c r="CH235" s="448"/>
      <c r="CI235" s="448"/>
      <c r="CJ235" s="83" t="str">
        <f t="shared" si="42"/>
        <v>No aplica</v>
      </c>
      <c r="CK235" s="83" t="str">
        <f t="shared" si="43"/>
        <v>No aplica</v>
      </c>
      <c r="CL235" s="83" t="str">
        <f t="shared" si="53"/>
        <v>No requiere reporte</v>
      </c>
      <c r="CM235" s="89" t="str">
        <f t="shared" si="54"/>
        <v>No requiere reporte</v>
      </c>
      <c r="CN235" s="89" t="str">
        <f t="shared" si="55"/>
        <v>No requiere reporte</v>
      </c>
      <c r="CO235" s="394" t="s">
        <v>2175</v>
      </c>
      <c r="CP235" s="394" t="s">
        <v>2176</v>
      </c>
      <c r="CQ235" s="394" t="s">
        <v>2177</v>
      </c>
      <c r="CR235" s="394" t="s">
        <v>2178</v>
      </c>
      <c r="CS235" s="394" t="s">
        <v>2179</v>
      </c>
      <c r="CT235" s="394" t="s">
        <v>200</v>
      </c>
      <c r="CU235" s="394" t="s">
        <v>233</v>
      </c>
      <c r="CV235" s="394">
        <v>4</v>
      </c>
      <c r="CW235" s="394" t="s">
        <v>234</v>
      </c>
      <c r="CX235" s="395">
        <v>46037</v>
      </c>
      <c r="CY235" s="395">
        <v>46387</v>
      </c>
      <c r="CZ235" s="396">
        <v>0</v>
      </c>
      <c r="DA235" s="396">
        <v>1</v>
      </c>
      <c r="DB235" s="396">
        <v>1</v>
      </c>
      <c r="DC235" s="396">
        <v>1</v>
      </c>
      <c r="DD235" s="391">
        <f t="shared" si="61"/>
        <v>3</v>
      </c>
      <c r="DE235" s="394" t="s">
        <v>514</v>
      </c>
      <c r="DF235" s="394" t="s">
        <v>1743</v>
      </c>
      <c r="DG235" s="394" t="s">
        <v>1744</v>
      </c>
      <c r="DH235" s="397">
        <v>88000000</v>
      </c>
      <c r="DI235" s="394" t="s">
        <v>182</v>
      </c>
      <c r="DJ235" s="643" t="s">
        <v>628</v>
      </c>
      <c r="DK235" s="643" t="s">
        <v>1745</v>
      </c>
      <c r="DL235" s="394" t="s">
        <v>279</v>
      </c>
      <c r="DM235" s="394" t="s">
        <v>2180</v>
      </c>
      <c r="DN235" s="446"/>
      <c r="DO235" s="654"/>
      <c r="DP235" s="446"/>
      <c r="DQ235" s="390"/>
      <c r="DR235" s="390"/>
      <c r="DS235" s="446"/>
      <c r="DT235" s="646"/>
      <c r="DU235" s="390"/>
      <c r="DV235" s="390"/>
      <c r="DW235" s="390"/>
      <c r="DX235" s="446"/>
      <c r="DY235" s="646"/>
      <c r="DZ235" s="829"/>
      <c r="EA235" s="390"/>
      <c r="EB235" s="390"/>
      <c r="EC235" s="68"/>
      <c r="ED235" s="68"/>
      <c r="EE235" s="68"/>
      <c r="EF235" s="68"/>
      <c r="EG235" s="68"/>
      <c r="EH235" s="390"/>
      <c r="EI235" s="68"/>
      <c r="EJ235" s="68"/>
      <c r="EK235" s="68"/>
      <c r="EL235" s="91" t="str">
        <f t="shared" si="56"/>
        <v>No aplica, no hay meta</v>
      </c>
      <c r="EM235" s="83" t="str">
        <f t="shared" si="57"/>
        <v>No se reportó avance</v>
      </c>
      <c r="EN235" s="646"/>
      <c r="EO235" s="69" t="str">
        <f t="shared" si="44"/>
        <v>Gestión</v>
      </c>
      <c r="EP235" s="69" t="str">
        <f t="shared" si="45"/>
        <v>6</v>
      </c>
    </row>
    <row r="236" spans="1:146" ht="150" customHeight="1">
      <c r="A236" s="377" t="s">
        <v>1718</v>
      </c>
      <c r="B236" s="378" t="s">
        <v>1719</v>
      </c>
      <c r="C236" s="379" t="s">
        <v>1720</v>
      </c>
      <c r="D236" s="380" t="s">
        <v>1721</v>
      </c>
      <c r="E236" s="381" t="s">
        <v>2181</v>
      </c>
      <c r="F236" s="377" t="s">
        <v>182</v>
      </c>
      <c r="G236" s="378" t="s">
        <v>182</v>
      </c>
      <c r="H236" s="377" t="s">
        <v>2182</v>
      </c>
      <c r="I236" s="377" t="s">
        <v>728</v>
      </c>
      <c r="J236" s="377" t="s">
        <v>1723</v>
      </c>
      <c r="K236" s="377" t="s">
        <v>1757</v>
      </c>
      <c r="L236" s="382">
        <v>13</v>
      </c>
      <c r="M236" s="382" t="s">
        <v>2183</v>
      </c>
      <c r="N236" s="382" t="s">
        <v>2184</v>
      </c>
      <c r="O236" s="382" t="s">
        <v>2185</v>
      </c>
      <c r="P236" s="382" t="s">
        <v>200</v>
      </c>
      <c r="Q236" s="382" t="s">
        <v>233</v>
      </c>
      <c r="R236" s="382">
        <v>1</v>
      </c>
      <c r="S236" s="382" t="s">
        <v>234</v>
      </c>
      <c r="T236" s="436">
        <v>44927</v>
      </c>
      <c r="U236" s="384">
        <v>46387</v>
      </c>
      <c r="V236" s="385">
        <v>1</v>
      </c>
      <c r="W236" s="385">
        <v>3</v>
      </c>
      <c r="X236" s="385">
        <v>215</v>
      </c>
      <c r="Y236" s="385">
        <v>241</v>
      </c>
      <c r="Z236" s="385">
        <f>+SUM(V236:Y236)</f>
        <v>460</v>
      </c>
      <c r="AA236" s="385">
        <v>1</v>
      </c>
      <c r="AB236" s="385">
        <v>38</v>
      </c>
      <c r="AC236" s="385">
        <v>68</v>
      </c>
      <c r="AD236" s="385">
        <v>100</v>
      </c>
      <c r="AE236" s="385">
        <f>+SUM(AA236:AD236)</f>
        <v>207</v>
      </c>
      <c r="AF236" s="385">
        <v>1</v>
      </c>
      <c r="AG236" s="385">
        <v>7</v>
      </c>
      <c r="AH236" s="385">
        <v>41</v>
      </c>
      <c r="AI236" s="385">
        <v>65</v>
      </c>
      <c r="AJ236" s="385">
        <f>+SUM(AF236:AI236)</f>
        <v>114</v>
      </c>
      <c r="AK236" s="387">
        <f>SUM(CZ236:CZ243)</f>
        <v>16</v>
      </c>
      <c r="AL236" s="387">
        <f t="shared" ref="AL236:AN236" si="62">SUM(DA236:DA243)</f>
        <v>23</v>
      </c>
      <c r="AM236" s="387">
        <f t="shared" si="62"/>
        <v>33</v>
      </c>
      <c r="AN236" s="387">
        <f t="shared" si="62"/>
        <v>39</v>
      </c>
      <c r="AO236" s="387">
        <f>SUM(AK236:AN236)</f>
        <v>111</v>
      </c>
      <c r="AP236" s="387">
        <f>+Z236+AE236+AJ236+AO236</f>
        <v>892</v>
      </c>
      <c r="AQ236" s="390">
        <v>1</v>
      </c>
      <c r="AR236" s="389" t="s">
        <v>2186</v>
      </c>
      <c r="AS236" s="390">
        <v>31</v>
      </c>
      <c r="AT236" s="389" t="s">
        <v>2187</v>
      </c>
      <c r="AU236" s="390">
        <v>22</v>
      </c>
      <c r="AV236" s="389" t="s">
        <v>2188</v>
      </c>
      <c r="AW236" s="390">
        <v>60</v>
      </c>
      <c r="AX236" s="644" t="s">
        <v>2189</v>
      </c>
      <c r="AY236" s="390">
        <f>+AW236+AU236+AS236+AQ236</f>
        <v>114</v>
      </c>
      <c r="AZ236" s="644" t="s">
        <v>2190</v>
      </c>
      <c r="BA236" s="390">
        <v>20</v>
      </c>
      <c r="BB236" s="646" t="s">
        <v>2191</v>
      </c>
      <c r="BC236" s="390">
        <v>118</v>
      </c>
      <c r="BD236" s="646" t="s">
        <v>2192</v>
      </c>
      <c r="BE236" s="390">
        <v>42</v>
      </c>
      <c r="BF236" s="390" t="s">
        <v>2193</v>
      </c>
      <c r="BG236" s="391">
        <v>60</v>
      </c>
      <c r="BH236" s="390" t="s">
        <v>2194</v>
      </c>
      <c r="BI236" s="391">
        <f>+BG236+BE236+BC236+BA236</f>
        <v>240</v>
      </c>
      <c r="BJ236" s="646" t="s">
        <v>2195</v>
      </c>
      <c r="BK236" s="446">
        <v>21</v>
      </c>
      <c r="BL236" s="390" t="s">
        <v>2196</v>
      </c>
      <c r="BM236" s="446">
        <f>+SUM(DS236:DS243)</f>
        <v>0</v>
      </c>
      <c r="BN236" s="390" t="s">
        <v>2197</v>
      </c>
      <c r="BO236" s="446" t="e">
        <f>SUM(DX236+DX237+DX239+#REF!)+46</f>
        <v>#REF!</v>
      </c>
      <c r="BP236" s="390" t="s">
        <v>2198</v>
      </c>
      <c r="BQ236" s="68"/>
      <c r="BR236" s="68"/>
      <c r="BS236" s="390" t="e">
        <f>+BO236+BM236+BK236</f>
        <v>#REF!</v>
      </c>
      <c r="BT236" s="446"/>
      <c r="BU236" s="446"/>
      <c r="BV236" s="446"/>
      <c r="BW236" s="446"/>
      <c r="BX236" s="446"/>
      <c r="BY236" s="446"/>
      <c r="BZ236" s="446"/>
      <c r="CA236" s="446"/>
      <c r="CB236" s="446"/>
      <c r="CC236" s="390"/>
      <c r="CD236" s="446"/>
      <c r="CE236" s="391">
        <v>476</v>
      </c>
      <c r="CF236" s="68"/>
      <c r="CG236" s="450">
        <f>SUM(DH236:DH243)</f>
        <v>6091838187</v>
      </c>
      <c r="CH236" s="448"/>
      <c r="CI236" s="448"/>
      <c r="CJ236" s="83">
        <f t="shared" si="42"/>
        <v>0</v>
      </c>
      <c r="CK236" s="83">
        <f t="shared" si="43"/>
        <v>0</v>
      </c>
      <c r="CL236" s="83" t="str">
        <f t="shared" si="53"/>
        <v>No se reportó avance</v>
      </c>
      <c r="CM236" s="89" t="str">
        <f t="shared" si="54"/>
        <v>No se reportó avance</v>
      </c>
      <c r="CN236" s="89">
        <f t="shared" si="55"/>
        <v>0.53363228699551568</v>
      </c>
      <c r="CO236" s="394" t="s">
        <v>2199</v>
      </c>
      <c r="CP236" s="394" t="s">
        <v>2200</v>
      </c>
      <c r="CQ236" s="394" t="s">
        <v>2075</v>
      </c>
      <c r="CR236" s="394" t="s">
        <v>2201</v>
      </c>
      <c r="CS236" s="394" t="s">
        <v>2202</v>
      </c>
      <c r="CT236" s="394" t="s">
        <v>161</v>
      </c>
      <c r="CU236" s="394" t="s">
        <v>233</v>
      </c>
      <c r="CV236" s="394">
        <v>57</v>
      </c>
      <c r="CW236" s="394" t="s">
        <v>234</v>
      </c>
      <c r="CX236" s="395">
        <v>46037</v>
      </c>
      <c r="CY236" s="395">
        <v>46387</v>
      </c>
      <c r="CZ236" s="396">
        <v>10</v>
      </c>
      <c r="DA236" s="396">
        <v>10</v>
      </c>
      <c r="DB236" s="396">
        <v>20</v>
      </c>
      <c r="DC236" s="396">
        <v>10</v>
      </c>
      <c r="DD236" s="391">
        <f t="shared" si="61"/>
        <v>50</v>
      </c>
      <c r="DE236" s="394" t="s">
        <v>514</v>
      </c>
      <c r="DF236" s="394" t="s">
        <v>1743</v>
      </c>
      <c r="DG236" s="394" t="s">
        <v>1744</v>
      </c>
      <c r="DH236" s="397">
        <v>2301823480</v>
      </c>
      <c r="DI236" s="394" t="s">
        <v>182</v>
      </c>
      <c r="DJ236" s="643" t="s">
        <v>628</v>
      </c>
      <c r="DK236" s="643" t="s">
        <v>1745</v>
      </c>
      <c r="DL236" s="394" t="s">
        <v>279</v>
      </c>
      <c r="DM236" s="394" t="s">
        <v>2203</v>
      </c>
      <c r="DN236" s="446"/>
      <c r="DO236" s="654"/>
      <c r="DP236" s="446"/>
      <c r="DQ236" s="390"/>
      <c r="DR236" s="390"/>
      <c r="DS236" s="446"/>
      <c r="DT236" s="646"/>
      <c r="DU236" s="406"/>
      <c r="DV236" s="390"/>
      <c r="DW236" s="390"/>
      <c r="DX236" s="446"/>
      <c r="DY236" s="646"/>
      <c r="DZ236" s="829"/>
      <c r="EA236" s="390"/>
      <c r="EB236" s="390"/>
      <c r="EC236" s="68"/>
      <c r="ED236" s="68"/>
      <c r="EE236" s="68"/>
      <c r="EF236" s="68"/>
      <c r="EG236" s="68"/>
      <c r="EH236" s="390"/>
      <c r="EI236" s="68"/>
      <c r="EJ236" s="68"/>
      <c r="EK236" s="68"/>
      <c r="EL236" s="91" t="str">
        <f t="shared" si="56"/>
        <v>No se reportó avance</v>
      </c>
      <c r="EM236" s="83" t="str">
        <f t="shared" si="57"/>
        <v>No se reportó avance</v>
      </c>
      <c r="EN236" s="646"/>
      <c r="EO236" s="69" t="str">
        <f t="shared" si="44"/>
        <v>Gestión</v>
      </c>
      <c r="EP236" s="69" t="str">
        <f t="shared" si="45"/>
        <v>6</v>
      </c>
    </row>
    <row r="237" spans="1:146" ht="150" customHeight="1">
      <c r="A237" s="390" t="s">
        <v>1718</v>
      </c>
      <c r="B237" s="398" t="s">
        <v>1719</v>
      </c>
      <c r="C237" s="399" t="s">
        <v>1720</v>
      </c>
      <c r="D237" s="400" t="s">
        <v>1721</v>
      </c>
      <c r="E237" s="401" t="s">
        <v>2181</v>
      </c>
      <c r="F237" s="390" t="s">
        <v>182</v>
      </c>
      <c r="G237" s="390" t="s">
        <v>1980</v>
      </c>
      <c r="H237" s="390" t="s">
        <v>182</v>
      </c>
      <c r="I237" s="390" t="s">
        <v>728</v>
      </c>
      <c r="J237" s="390" t="s">
        <v>1723</v>
      </c>
      <c r="K237" s="390" t="s">
        <v>182</v>
      </c>
      <c r="L237" s="402">
        <v>13</v>
      </c>
      <c r="M237" s="390" t="s">
        <v>2183</v>
      </c>
      <c r="N237" s="390" t="s">
        <v>2184</v>
      </c>
      <c r="O237" s="390" t="s">
        <v>2185</v>
      </c>
      <c r="P237" s="390" t="s">
        <v>200</v>
      </c>
      <c r="Q237" s="390" t="s">
        <v>233</v>
      </c>
      <c r="R237" s="390">
        <v>1</v>
      </c>
      <c r="S237" s="390" t="s">
        <v>234</v>
      </c>
      <c r="T237" s="437">
        <v>44927</v>
      </c>
      <c r="U237" s="403">
        <v>46387</v>
      </c>
      <c r="V237" s="68"/>
      <c r="W237" s="68"/>
      <c r="X237" s="68"/>
      <c r="Y237" s="68"/>
      <c r="Z237" s="446"/>
      <c r="AA237" s="446"/>
      <c r="AB237" s="446"/>
      <c r="AC237" s="446"/>
      <c r="AD237" s="446"/>
      <c r="AE237" s="446"/>
      <c r="AF237" s="446"/>
      <c r="AG237" s="446"/>
      <c r="AH237" s="446"/>
      <c r="AI237" s="446"/>
      <c r="AJ237" s="446"/>
      <c r="AK237" s="447"/>
      <c r="AL237" s="447"/>
      <c r="AM237" s="447"/>
      <c r="AN237" s="447"/>
      <c r="AO237" s="447"/>
      <c r="AP237" s="447"/>
      <c r="AQ237" s="68"/>
      <c r="AR237" s="68"/>
      <c r="AS237" s="68"/>
      <c r="AT237" s="68"/>
      <c r="AU237" s="68"/>
      <c r="AV237" s="68"/>
      <c r="AW237" s="68"/>
      <c r="AX237" s="68"/>
      <c r="AY237" s="68"/>
      <c r="AZ237" s="68"/>
      <c r="BA237" s="68"/>
      <c r="BB237" s="68"/>
      <c r="BC237" s="68"/>
      <c r="BD237" s="68"/>
      <c r="BE237" s="68"/>
      <c r="BF237" s="68"/>
      <c r="BG237" s="68"/>
      <c r="BH237" s="68"/>
      <c r="BI237" s="68"/>
      <c r="BJ237" s="68"/>
      <c r="BK237" s="446"/>
      <c r="BL237" s="390"/>
      <c r="BM237" s="446"/>
      <c r="BN237" s="390"/>
      <c r="BO237" s="446"/>
      <c r="BP237" s="390"/>
      <c r="BQ237" s="68"/>
      <c r="BR237" s="68"/>
      <c r="BS237" s="446"/>
      <c r="BT237" s="446"/>
      <c r="BU237" s="446"/>
      <c r="BV237" s="446"/>
      <c r="BW237" s="446"/>
      <c r="BX237" s="446"/>
      <c r="BY237" s="446"/>
      <c r="BZ237" s="446"/>
      <c r="CA237" s="446"/>
      <c r="CB237" s="446"/>
      <c r="CC237" s="446"/>
      <c r="CD237" s="446"/>
      <c r="CE237" s="446"/>
      <c r="CF237" s="68"/>
      <c r="CG237" s="448"/>
      <c r="CH237" s="448"/>
      <c r="CI237" s="448"/>
      <c r="CJ237" s="83" t="str">
        <f t="shared" ref="CJ237:CJ267" si="63">+IFERROR(CH237/CG237,"No aplica")</f>
        <v>No aplica</v>
      </c>
      <c r="CK237" s="83" t="str">
        <f t="shared" ref="CK237:CK267" si="64">+IFERROR(CI237/CG237,"No aplica")</f>
        <v>No aplica</v>
      </c>
      <c r="CL237" s="83" t="str">
        <f t="shared" si="53"/>
        <v>No requiere reporte</v>
      </c>
      <c r="CM237" s="89" t="str">
        <f t="shared" si="54"/>
        <v>No requiere reporte</v>
      </c>
      <c r="CN237" s="89" t="str">
        <f t="shared" si="55"/>
        <v>No requiere reporte</v>
      </c>
      <c r="CO237" s="394" t="s">
        <v>2204</v>
      </c>
      <c r="CP237" s="394" t="s">
        <v>2205</v>
      </c>
      <c r="CQ237" s="658" t="s">
        <v>2206</v>
      </c>
      <c r="CR237" s="658" t="s">
        <v>2207</v>
      </c>
      <c r="CS237" s="658" t="s">
        <v>2208</v>
      </c>
      <c r="CT237" s="394" t="s">
        <v>200</v>
      </c>
      <c r="CU237" s="658" t="s">
        <v>233</v>
      </c>
      <c r="CV237" s="658">
        <v>2</v>
      </c>
      <c r="CW237" s="658" t="s">
        <v>234</v>
      </c>
      <c r="CX237" s="395">
        <v>46037</v>
      </c>
      <c r="CY237" s="395">
        <v>46387</v>
      </c>
      <c r="CZ237" s="661">
        <v>0</v>
      </c>
      <c r="DA237" s="661">
        <v>2</v>
      </c>
      <c r="DB237" s="661">
        <v>3</v>
      </c>
      <c r="DC237" s="661">
        <v>3</v>
      </c>
      <c r="DD237" s="391">
        <f t="shared" si="61"/>
        <v>8</v>
      </c>
      <c r="DE237" s="394" t="s">
        <v>514</v>
      </c>
      <c r="DF237" s="394" t="s">
        <v>1743</v>
      </c>
      <c r="DG237" s="394" t="s">
        <v>1744</v>
      </c>
      <c r="DH237" s="397">
        <v>500000000</v>
      </c>
      <c r="DI237" s="394" t="s">
        <v>182</v>
      </c>
      <c r="DJ237" s="643" t="s">
        <v>628</v>
      </c>
      <c r="DK237" s="643" t="s">
        <v>1745</v>
      </c>
      <c r="DL237" s="394" t="s">
        <v>279</v>
      </c>
      <c r="DM237" s="394" t="s">
        <v>2209</v>
      </c>
      <c r="DN237" s="446"/>
      <c r="DO237" s="654"/>
      <c r="DP237" s="446"/>
      <c r="DQ237" s="390"/>
      <c r="DR237" s="390"/>
      <c r="DS237" s="446"/>
      <c r="DT237" s="646"/>
      <c r="DU237" s="406"/>
      <c r="DV237" s="390"/>
      <c r="DW237" s="390"/>
      <c r="DX237" s="446"/>
      <c r="DY237" s="646"/>
      <c r="DZ237" s="829"/>
      <c r="EA237" s="390"/>
      <c r="EB237" s="390"/>
      <c r="EC237" s="68"/>
      <c r="ED237" s="68"/>
      <c r="EE237" s="68"/>
      <c r="EF237" s="68"/>
      <c r="EG237" s="68"/>
      <c r="EH237" s="390"/>
      <c r="EI237" s="68"/>
      <c r="EJ237" s="68"/>
      <c r="EK237" s="68"/>
      <c r="EL237" s="91" t="str">
        <f t="shared" si="56"/>
        <v>No aplica, no hay meta</v>
      </c>
      <c r="EM237" s="83" t="str">
        <f t="shared" si="57"/>
        <v>No se reportó avance</v>
      </c>
      <c r="EN237" s="646"/>
      <c r="EO237" s="69" t="str">
        <f t="shared" ref="EO237:EO267" si="65">+IF(OR(P237="Producto",P237="Resultado",P237="Impacto"),"Producto",P237)</f>
        <v>Gestión</v>
      </c>
      <c r="EP237" s="69" t="str">
        <f t="shared" ref="EP237:EP267" si="66">+MID(J237,1,1)</f>
        <v>6</v>
      </c>
    </row>
    <row r="238" spans="1:146" ht="150" customHeight="1">
      <c r="A238" s="390" t="s">
        <v>1718</v>
      </c>
      <c r="B238" s="398" t="s">
        <v>1719</v>
      </c>
      <c r="C238" s="399" t="s">
        <v>1720</v>
      </c>
      <c r="D238" s="400" t="s">
        <v>1721</v>
      </c>
      <c r="E238" s="401" t="s">
        <v>2181</v>
      </c>
      <c r="F238" s="390" t="s">
        <v>182</v>
      </c>
      <c r="G238" s="390" t="s">
        <v>182</v>
      </c>
      <c r="H238" s="390" t="s">
        <v>2210</v>
      </c>
      <c r="I238" s="390" t="s">
        <v>728</v>
      </c>
      <c r="J238" s="390" t="s">
        <v>1723</v>
      </c>
      <c r="K238" s="390" t="s">
        <v>182</v>
      </c>
      <c r="L238" s="402">
        <v>13</v>
      </c>
      <c r="M238" s="390" t="s">
        <v>2183</v>
      </c>
      <c r="N238" s="390" t="s">
        <v>2184</v>
      </c>
      <c r="O238" s="390" t="s">
        <v>2185</v>
      </c>
      <c r="P238" s="390" t="s">
        <v>200</v>
      </c>
      <c r="Q238" s="390" t="s">
        <v>233</v>
      </c>
      <c r="R238" s="390">
        <v>1</v>
      </c>
      <c r="S238" s="390" t="s">
        <v>234</v>
      </c>
      <c r="T238" s="437">
        <v>44927</v>
      </c>
      <c r="U238" s="403">
        <v>46387</v>
      </c>
      <c r="V238" s="68"/>
      <c r="W238" s="68"/>
      <c r="X238" s="68"/>
      <c r="Y238" s="68"/>
      <c r="Z238" s="446"/>
      <c r="AA238" s="446"/>
      <c r="AB238" s="446"/>
      <c r="AC238" s="446"/>
      <c r="AD238" s="446"/>
      <c r="AE238" s="446"/>
      <c r="AF238" s="446"/>
      <c r="AG238" s="446"/>
      <c r="AH238" s="446"/>
      <c r="AI238" s="446"/>
      <c r="AJ238" s="446"/>
      <c r="AK238" s="447"/>
      <c r="AL238" s="447"/>
      <c r="AM238" s="447"/>
      <c r="AN238" s="447"/>
      <c r="AO238" s="447"/>
      <c r="AP238" s="447"/>
      <c r="AQ238" s="68"/>
      <c r="AR238" s="68"/>
      <c r="AS238" s="68"/>
      <c r="AT238" s="68"/>
      <c r="AU238" s="68"/>
      <c r="AV238" s="68"/>
      <c r="AW238" s="68"/>
      <c r="AX238" s="68"/>
      <c r="AY238" s="68"/>
      <c r="AZ238" s="68"/>
      <c r="BA238" s="68"/>
      <c r="BB238" s="68"/>
      <c r="BC238" s="68"/>
      <c r="BD238" s="68"/>
      <c r="BE238" s="68"/>
      <c r="BF238" s="68"/>
      <c r="BG238" s="68"/>
      <c r="BH238" s="68"/>
      <c r="BI238" s="68"/>
      <c r="BJ238" s="68"/>
      <c r="BK238" s="446"/>
      <c r="BL238" s="390"/>
      <c r="BM238" s="446"/>
      <c r="BN238" s="390"/>
      <c r="BO238" s="446"/>
      <c r="BP238" s="390"/>
      <c r="BQ238" s="68"/>
      <c r="BR238" s="68"/>
      <c r="BS238" s="446"/>
      <c r="BT238" s="446"/>
      <c r="BU238" s="446"/>
      <c r="BV238" s="446"/>
      <c r="BW238" s="446"/>
      <c r="BX238" s="446"/>
      <c r="BY238" s="446"/>
      <c r="BZ238" s="446"/>
      <c r="CA238" s="446"/>
      <c r="CB238" s="446"/>
      <c r="CC238" s="446"/>
      <c r="CD238" s="446"/>
      <c r="CE238" s="446"/>
      <c r="CF238" s="68"/>
      <c r="CG238" s="448"/>
      <c r="CH238" s="448"/>
      <c r="CI238" s="448"/>
      <c r="CJ238" s="83" t="str">
        <f t="shared" si="63"/>
        <v>No aplica</v>
      </c>
      <c r="CK238" s="83" t="str">
        <f t="shared" si="64"/>
        <v>No aplica</v>
      </c>
      <c r="CL238" s="83" t="str">
        <f t="shared" si="53"/>
        <v>No requiere reporte</v>
      </c>
      <c r="CM238" s="89" t="str">
        <f t="shared" si="54"/>
        <v>No requiere reporte</v>
      </c>
      <c r="CN238" s="89" t="str">
        <f t="shared" si="55"/>
        <v>No requiere reporte</v>
      </c>
      <c r="CO238" s="394" t="s">
        <v>2211</v>
      </c>
      <c r="CP238" s="394" t="s">
        <v>2212</v>
      </c>
      <c r="CQ238" s="394" t="s">
        <v>1907</v>
      </c>
      <c r="CR238" s="394" t="s">
        <v>2213</v>
      </c>
      <c r="CS238" s="394" t="s">
        <v>2214</v>
      </c>
      <c r="CT238" s="394" t="s">
        <v>200</v>
      </c>
      <c r="CU238" s="658" t="s">
        <v>233</v>
      </c>
      <c r="CV238" s="658" t="s">
        <v>182</v>
      </c>
      <c r="CW238" s="658" t="s">
        <v>234</v>
      </c>
      <c r="CX238" s="395">
        <v>46037</v>
      </c>
      <c r="CY238" s="395">
        <v>46387</v>
      </c>
      <c r="CZ238" s="661">
        <v>2</v>
      </c>
      <c r="DA238" s="661">
        <v>2</v>
      </c>
      <c r="DB238" s="661">
        <v>3</v>
      </c>
      <c r="DC238" s="661">
        <v>2</v>
      </c>
      <c r="DD238" s="391">
        <f t="shared" si="61"/>
        <v>9</v>
      </c>
      <c r="DE238" s="394" t="s">
        <v>514</v>
      </c>
      <c r="DF238" s="394" t="s">
        <v>1743</v>
      </c>
      <c r="DG238" s="394" t="s">
        <v>1744</v>
      </c>
      <c r="DH238" s="397">
        <v>200000000</v>
      </c>
      <c r="DI238" s="394" t="s">
        <v>182</v>
      </c>
      <c r="DJ238" s="643" t="s">
        <v>628</v>
      </c>
      <c r="DK238" s="643" t="s">
        <v>1745</v>
      </c>
      <c r="DL238" s="394" t="s">
        <v>279</v>
      </c>
      <c r="DM238" s="394" t="s">
        <v>2215</v>
      </c>
      <c r="DN238" s="446"/>
      <c r="DO238" s="654"/>
      <c r="DP238" s="446"/>
      <c r="DQ238" s="390"/>
      <c r="DR238" s="390"/>
      <c r="DS238" s="446"/>
      <c r="DT238" s="646"/>
      <c r="DU238" s="390"/>
      <c r="DV238" s="390"/>
      <c r="DW238" s="390"/>
      <c r="DX238" s="446"/>
      <c r="DY238" s="646"/>
      <c r="DZ238" s="829"/>
      <c r="EA238" s="390"/>
      <c r="EB238" s="390"/>
      <c r="EC238" s="68"/>
      <c r="ED238" s="68"/>
      <c r="EE238" s="68"/>
      <c r="EF238" s="68"/>
      <c r="EG238" s="68"/>
      <c r="EH238" s="390"/>
      <c r="EI238" s="68"/>
      <c r="EJ238" s="68"/>
      <c r="EK238" s="68"/>
      <c r="EL238" s="91" t="str">
        <f t="shared" si="56"/>
        <v>No se reportó avance</v>
      </c>
      <c r="EM238" s="83" t="str">
        <f t="shared" si="57"/>
        <v>No se reportó avance</v>
      </c>
      <c r="EN238" s="646"/>
      <c r="EO238" s="69" t="str">
        <f t="shared" si="65"/>
        <v>Gestión</v>
      </c>
      <c r="EP238" s="69" t="str">
        <f t="shared" si="66"/>
        <v>6</v>
      </c>
    </row>
    <row r="239" spans="1:146" ht="150" customHeight="1">
      <c r="A239" s="390" t="s">
        <v>1718</v>
      </c>
      <c r="B239" s="398" t="s">
        <v>1719</v>
      </c>
      <c r="C239" s="399" t="s">
        <v>1720</v>
      </c>
      <c r="D239" s="400" t="s">
        <v>1721</v>
      </c>
      <c r="E239" s="401" t="s">
        <v>2181</v>
      </c>
      <c r="F239" s="390" t="s">
        <v>182</v>
      </c>
      <c r="G239" s="390" t="s">
        <v>182</v>
      </c>
      <c r="H239" s="390" t="s">
        <v>182</v>
      </c>
      <c r="I239" s="390" t="s">
        <v>728</v>
      </c>
      <c r="J239" s="390" t="s">
        <v>1723</v>
      </c>
      <c r="K239" s="390" t="s">
        <v>182</v>
      </c>
      <c r="L239" s="402">
        <v>13</v>
      </c>
      <c r="M239" s="390" t="s">
        <v>2183</v>
      </c>
      <c r="N239" s="390" t="s">
        <v>2184</v>
      </c>
      <c r="O239" s="390" t="s">
        <v>2185</v>
      </c>
      <c r="P239" s="390" t="s">
        <v>200</v>
      </c>
      <c r="Q239" s="390" t="s">
        <v>233</v>
      </c>
      <c r="R239" s="390">
        <v>1</v>
      </c>
      <c r="S239" s="390" t="s">
        <v>234</v>
      </c>
      <c r="T239" s="437">
        <v>44927</v>
      </c>
      <c r="U239" s="403">
        <v>46387</v>
      </c>
      <c r="V239" s="68"/>
      <c r="W239" s="68"/>
      <c r="X239" s="68"/>
      <c r="Y239" s="68"/>
      <c r="Z239" s="446"/>
      <c r="AA239" s="446"/>
      <c r="AB239" s="446"/>
      <c r="AC239" s="446"/>
      <c r="AD239" s="446"/>
      <c r="AE239" s="446"/>
      <c r="AF239" s="446"/>
      <c r="AG239" s="446"/>
      <c r="AH239" s="446"/>
      <c r="AI239" s="446"/>
      <c r="AJ239" s="446"/>
      <c r="AK239" s="447"/>
      <c r="AL239" s="447"/>
      <c r="AM239" s="447"/>
      <c r="AN239" s="447"/>
      <c r="AO239" s="447"/>
      <c r="AP239" s="447"/>
      <c r="AQ239" s="68"/>
      <c r="AR239" s="68"/>
      <c r="AS239" s="68"/>
      <c r="AT239" s="68"/>
      <c r="AU239" s="68"/>
      <c r="AV239" s="68"/>
      <c r="AW239" s="68"/>
      <c r="AX239" s="68"/>
      <c r="AY239" s="68"/>
      <c r="AZ239" s="68"/>
      <c r="BA239" s="68"/>
      <c r="BB239" s="68"/>
      <c r="BC239" s="68"/>
      <c r="BD239" s="68"/>
      <c r="BE239" s="68"/>
      <c r="BF239" s="68"/>
      <c r="BG239" s="68"/>
      <c r="BH239" s="68"/>
      <c r="BI239" s="68"/>
      <c r="BJ239" s="68"/>
      <c r="BK239" s="446"/>
      <c r="BL239" s="390"/>
      <c r="BM239" s="446"/>
      <c r="BN239" s="390"/>
      <c r="BO239" s="446"/>
      <c r="BP239" s="390"/>
      <c r="BQ239" s="68"/>
      <c r="BR239" s="68"/>
      <c r="BS239" s="446"/>
      <c r="BT239" s="446"/>
      <c r="BU239" s="446"/>
      <c r="BV239" s="446"/>
      <c r="BW239" s="446"/>
      <c r="BX239" s="446"/>
      <c r="BY239" s="446"/>
      <c r="BZ239" s="446"/>
      <c r="CA239" s="446"/>
      <c r="CB239" s="446"/>
      <c r="CC239" s="446"/>
      <c r="CD239" s="446"/>
      <c r="CE239" s="446"/>
      <c r="CF239" s="68"/>
      <c r="CG239" s="448"/>
      <c r="CH239" s="448"/>
      <c r="CI239" s="448"/>
      <c r="CJ239" s="83" t="str">
        <f t="shared" si="63"/>
        <v>No aplica</v>
      </c>
      <c r="CK239" s="83" t="str">
        <f t="shared" si="64"/>
        <v>No aplica</v>
      </c>
      <c r="CL239" s="83" t="str">
        <f t="shared" si="53"/>
        <v>No requiere reporte</v>
      </c>
      <c r="CM239" s="89" t="str">
        <f t="shared" si="54"/>
        <v>No requiere reporte</v>
      </c>
      <c r="CN239" s="89" t="str">
        <f t="shared" si="55"/>
        <v>No requiere reporte</v>
      </c>
      <c r="CO239" s="394" t="s">
        <v>2216</v>
      </c>
      <c r="CP239" s="394" t="s">
        <v>2217</v>
      </c>
      <c r="CQ239" s="394" t="s">
        <v>1907</v>
      </c>
      <c r="CR239" s="394" t="s">
        <v>2218</v>
      </c>
      <c r="CS239" s="394" t="s">
        <v>2219</v>
      </c>
      <c r="CT239" s="394" t="s">
        <v>200</v>
      </c>
      <c r="CU239" s="658" t="s">
        <v>233</v>
      </c>
      <c r="CV239" s="658" t="s">
        <v>182</v>
      </c>
      <c r="CW239" s="658" t="s">
        <v>234</v>
      </c>
      <c r="CX239" s="395">
        <v>46037</v>
      </c>
      <c r="CY239" s="395">
        <v>46387</v>
      </c>
      <c r="CZ239" s="661">
        <v>0</v>
      </c>
      <c r="DA239" s="661">
        <v>1</v>
      </c>
      <c r="DB239" s="661">
        <v>1</v>
      </c>
      <c r="DC239" s="661">
        <v>1</v>
      </c>
      <c r="DD239" s="391">
        <f t="shared" si="61"/>
        <v>3</v>
      </c>
      <c r="DE239" s="394" t="s">
        <v>514</v>
      </c>
      <c r="DF239" s="394" t="s">
        <v>1743</v>
      </c>
      <c r="DG239" s="394" t="s">
        <v>1744</v>
      </c>
      <c r="DH239" s="397">
        <v>100000000</v>
      </c>
      <c r="DI239" s="394" t="s">
        <v>182</v>
      </c>
      <c r="DJ239" s="643" t="s">
        <v>628</v>
      </c>
      <c r="DK239" s="643" t="s">
        <v>1745</v>
      </c>
      <c r="DL239" s="394" t="s">
        <v>279</v>
      </c>
      <c r="DM239" s="394" t="s">
        <v>2220</v>
      </c>
      <c r="DN239" s="446"/>
      <c r="DO239" s="654"/>
      <c r="DP239" s="446"/>
      <c r="DQ239" s="390"/>
      <c r="DR239" s="390"/>
      <c r="DS239" s="446"/>
      <c r="DT239" s="646"/>
      <c r="DU239" s="406"/>
      <c r="DV239" s="390"/>
      <c r="DW239" s="390"/>
      <c r="DX239" s="446"/>
      <c r="DY239" s="646"/>
      <c r="DZ239" s="829"/>
      <c r="EA239" s="390"/>
      <c r="EB239" s="390"/>
      <c r="EC239" s="68"/>
      <c r="ED239" s="68"/>
      <c r="EE239" s="68"/>
      <c r="EF239" s="68"/>
      <c r="EG239" s="68"/>
      <c r="EH239" s="390"/>
      <c r="EI239" s="68"/>
      <c r="EJ239" s="68"/>
      <c r="EK239" s="68"/>
      <c r="EL239" s="91" t="str">
        <f t="shared" si="56"/>
        <v>No aplica, no hay meta</v>
      </c>
      <c r="EM239" s="83" t="str">
        <f t="shared" si="57"/>
        <v>No se reportó avance</v>
      </c>
      <c r="EN239" s="646"/>
      <c r="EO239" s="69" t="str">
        <f t="shared" si="65"/>
        <v>Gestión</v>
      </c>
      <c r="EP239" s="69" t="str">
        <f t="shared" si="66"/>
        <v>6</v>
      </c>
    </row>
    <row r="240" spans="1:146" ht="150" customHeight="1">
      <c r="A240" s="390" t="s">
        <v>1718</v>
      </c>
      <c r="B240" s="398" t="s">
        <v>1719</v>
      </c>
      <c r="C240" s="399" t="s">
        <v>1720</v>
      </c>
      <c r="D240" s="400" t="s">
        <v>1721</v>
      </c>
      <c r="E240" s="401" t="s">
        <v>2181</v>
      </c>
      <c r="F240" s="390" t="s">
        <v>182</v>
      </c>
      <c r="G240" s="390" t="s">
        <v>182</v>
      </c>
      <c r="H240" s="390" t="s">
        <v>182</v>
      </c>
      <c r="I240" s="390" t="s">
        <v>728</v>
      </c>
      <c r="J240" s="390" t="s">
        <v>1723</v>
      </c>
      <c r="K240" s="390" t="s">
        <v>182</v>
      </c>
      <c r="L240" s="402">
        <v>13</v>
      </c>
      <c r="M240" s="390" t="s">
        <v>2183</v>
      </c>
      <c r="N240" s="390" t="s">
        <v>2184</v>
      </c>
      <c r="O240" s="390" t="s">
        <v>2185</v>
      </c>
      <c r="P240" s="390" t="s">
        <v>200</v>
      </c>
      <c r="Q240" s="390" t="s">
        <v>233</v>
      </c>
      <c r="R240" s="390">
        <v>1</v>
      </c>
      <c r="S240" s="390" t="s">
        <v>234</v>
      </c>
      <c r="T240" s="437">
        <v>44927</v>
      </c>
      <c r="U240" s="403">
        <v>46387</v>
      </c>
      <c r="V240" s="68"/>
      <c r="W240" s="68"/>
      <c r="X240" s="68"/>
      <c r="Y240" s="68"/>
      <c r="Z240" s="446"/>
      <c r="AA240" s="446"/>
      <c r="AB240" s="446"/>
      <c r="AC240" s="446"/>
      <c r="AD240" s="446"/>
      <c r="AE240" s="446"/>
      <c r="AF240" s="446"/>
      <c r="AG240" s="446"/>
      <c r="AH240" s="446"/>
      <c r="AI240" s="446"/>
      <c r="AJ240" s="446"/>
      <c r="AK240" s="447"/>
      <c r="AL240" s="447"/>
      <c r="AM240" s="447"/>
      <c r="AN240" s="447"/>
      <c r="AO240" s="447"/>
      <c r="AP240" s="447"/>
      <c r="AQ240" s="68"/>
      <c r="AR240" s="68"/>
      <c r="AS240" s="68"/>
      <c r="AT240" s="68"/>
      <c r="AU240" s="68"/>
      <c r="AV240" s="68"/>
      <c r="AW240" s="68"/>
      <c r="AX240" s="68"/>
      <c r="AY240" s="68"/>
      <c r="AZ240" s="68"/>
      <c r="BA240" s="68"/>
      <c r="BB240" s="68"/>
      <c r="BC240" s="68"/>
      <c r="BD240" s="68"/>
      <c r="BE240" s="68"/>
      <c r="BF240" s="68"/>
      <c r="BG240" s="68"/>
      <c r="BH240" s="68"/>
      <c r="BI240" s="68"/>
      <c r="BJ240" s="68"/>
      <c r="BK240" s="446"/>
      <c r="BL240" s="390"/>
      <c r="BM240" s="446"/>
      <c r="BN240" s="390"/>
      <c r="BO240" s="446"/>
      <c r="BP240" s="390"/>
      <c r="BQ240" s="68"/>
      <c r="BR240" s="68"/>
      <c r="BS240" s="446"/>
      <c r="BT240" s="446"/>
      <c r="BU240" s="446"/>
      <c r="BV240" s="446"/>
      <c r="BW240" s="446"/>
      <c r="BX240" s="446"/>
      <c r="BY240" s="446"/>
      <c r="BZ240" s="446"/>
      <c r="CA240" s="446"/>
      <c r="CB240" s="446"/>
      <c r="CC240" s="446"/>
      <c r="CD240" s="446"/>
      <c r="CE240" s="446"/>
      <c r="CF240" s="68"/>
      <c r="CG240" s="448"/>
      <c r="CH240" s="448"/>
      <c r="CI240" s="448"/>
      <c r="CJ240" s="83" t="str">
        <f t="shared" si="63"/>
        <v>No aplica</v>
      </c>
      <c r="CK240" s="83" t="str">
        <f t="shared" si="64"/>
        <v>No aplica</v>
      </c>
      <c r="CL240" s="83" t="str">
        <f t="shared" si="53"/>
        <v>No requiere reporte</v>
      </c>
      <c r="CM240" s="89" t="str">
        <f t="shared" si="54"/>
        <v>No requiere reporte</v>
      </c>
      <c r="CN240" s="89" t="str">
        <f t="shared" si="55"/>
        <v>No requiere reporte</v>
      </c>
      <c r="CO240" s="394" t="s">
        <v>2221</v>
      </c>
      <c r="CP240" s="394" t="s">
        <v>2222</v>
      </c>
      <c r="CQ240" s="658" t="s">
        <v>1881</v>
      </c>
      <c r="CR240" s="394" t="s">
        <v>2223</v>
      </c>
      <c r="CS240" s="394" t="s">
        <v>2224</v>
      </c>
      <c r="CT240" s="394" t="s">
        <v>161</v>
      </c>
      <c r="CU240" s="394" t="s">
        <v>233</v>
      </c>
      <c r="CV240" s="394">
        <v>28</v>
      </c>
      <c r="CW240" s="394" t="s">
        <v>234</v>
      </c>
      <c r="CX240" s="395">
        <v>46037</v>
      </c>
      <c r="CY240" s="395">
        <v>46387</v>
      </c>
      <c r="CZ240" s="396">
        <v>0</v>
      </c>
      <c r="DA240" s="396">
        <v>0</v>
      </c>
      <c r="DB240" s="396">
        <v>0</v>
      </c>
      <c r="DC240" s="396">
        <v>20</v>
      </c>
      <c r="DD240" s="391">
        <f t="shared" si="61"/>
        <v>20</v>
      </c>
      <c r="DE240" s="394" t="s">
        <v>514</v>
      </c>
      <c r="DF240" s="394" t="s">
        <v>1743</v>
      </c>
      <c r="DG240" s="394" t="s">
        <v>1744</v>
      </c>
      <c r="DH240" s="397">
        <v>500000000</v>
      </c>
      <c r="DI240" s="394" t="s">
        <v>182</v>
      </c>
      <c r="DJ240" s="643" t="s">
        <v>628</v>
      </c>
      <c r="DK240" s="643" t="s">
        <v>1745</v>
      </c>
      <c r="DL240" s="394" t="s">
        <v>279</v>
      </c>
      <c r="DM240" s="394" t="s">
        <v>2209</v>
      </c>
      <c r="DN240" s="446"/>
      <c r="DO240" s="654"/>
      <c r="DP240" s="446"/>
      <c r="DQ240" s="390"/>
      <c r="DR240" s="390"/>
      <c r="DS240" s="446"/>
      <c r="DT240" s="646"/>
      <c r="DU240" s="406"/>
      <c r="DV240" s="390"/>
      <c r="DW240" s="390"/>
      <c r="DX240" s="446"/>
      <c r="DY240" s="646"/>
      <c r="DZ240" s="829"/>
      <c r="EA240" s="390"/>
      <c r="EB240" s="390"/>
      <c r="EC240" s="68"/>
      <c r="ED240" s="68"/>
      <c r="EE240" s="68"/>
      <c r="EF240" s="68"/>
      <c r="EG240" s="68"/>
      <c r="EH240" s="390"/>
      <c r="EI240" s="68"/>
      <c r="EJ240" s="68"/>
      <c r="EK240" s="68"/>
      <c r="EL240" s="91" t="str">
        <f t="shared" si="56"/>
        <v>No aplica, no hay meta</v>
      </c>
      <c r="EM240" s="83" t="str">
        <f t="shared" si="57"/>
        <v>No se reportó avance</v>
      </c>
      <c r="EN240" s="646"/>
      <c r="EO240" s="69" t="str">
        <f t="shared" si="65"/>
        <v>Gestión</v>
      </c>
      <c r="EP240" s="69" t="str">
        <f t="shared" si="66"/>
        <v>6</v>
      </c>
    </row>
    <row r="241" spans="1:146" ht="150" customHeight="1">
      <c r="A241" s="390" t="s">
        <v>1718</v>
      </c>
      <c r="B241" s="398" t="s">
        <v>1719</v>
      </c>
      <c r="C241" s="399" t="s">
        <v>1720</v>
      </c>
      <c r="D241" s="400" t="s">
        <v>1721</v>
      </c>
      <c r="E241" s="401" t="s">
        <v>2181</v>
      </c>
      <c r="F241" s="390" t="s">
        <v>182</v>
      </c>
      <c r="G241" s="390" t="s">
        <v>182</v>
      </c>
      <c r="H241" s="390" t="s">
        <v>182</v>
      </c>
      <c r="I241" s="390" t="s">
        <v>728</v>
      </c>
      <c r="J241" s="390" t="s">
        <v>1723</v>
      </c>
      <c r="K241" s="390" t="s">
        <v>182</v>
      </c>
      <c r="L241" s="402">
        <v>13</v>
      </c>
      <c r="M241" s="390" t="s">
        <v>2183</v>
      </c>
      <c r="N241" s="390" t="s">
        <v>2184</v>
      </c>
      <c r="O241" s="390" t="s">
        <v>2185</v>
      </c>
      <c r="P241" s="390" t="s">
        <v>200</v>
      </c>
      <c r="Q241" s="390" t="s">
        <v>233</v>
      </c>
      <c r="R241" s="390">
        <v>1</v>
      </c>
      <c r="S241" s="390" t="s">
        <v>234</v>
      </c>
      <c r="T241" s="437">
        <v>44927</v>
      </c>
      <c r="U241" s="403">
        <v>46387</v>
      </c>
      <c r="V241" s="68"/>
      <c r="W241" s="68"/>
      <c r="X241" s="68"/>
      <c r="Y241" s="68"/>
      <c r="Z241" s="446"/>
      <c r="AA241" s="446"/>
      <c r="AB241" s="446"/>
      <c r="AC241" s="446"/>
      <c r="AD241" s="446"/>
      <c r="AE241" s="446"/>
      <c r="AF241" s="446"/>
      <c r="AG241" s="446"/>
      <c r="AH241" s="446"/>
      <c r="AI241" s="446"/>
      <c r="AJ241" s="446"/>
      <c r="AK241" s="447"/>
      <c r="AL241" s="447"/>
      <c r="AM241" s="447"/>
      <c r="AN241" s="447"/>
      <c r="AO241" s="447"/>
      <c r="AP241" s="447"/>
      <c r="AQ241" s="68"/>
      <c r="AR241" s="68"/>
      <c r="AS241" s="68"/>
      <c r="AT241" s="68"/>
      <c r="AU241" s="68"/>
      <c r="AV241" s="68"/>
      <c r="AW241" s="68"/>
      <c r="AX241" s="68"/>
      <c r="AY241" s="68"/>
      <c r="AZ241" s="68"/>
      <c r="BA241" s="68"/>
      <c r="BB241" s="68"/>
      <c r="BC241" s="68"/>
      <c r="BD241" s="68"/>
      <c r="BE241" s="68"/>
      <c r="BF241" s="68"/>
      <c r="BG241" s="68"/>
      <c r="BH241" s="68"/>
      <c r="BI241" s="68"/>
      <c r="BJ241" s="68"/>
      <c r="BK241" s="446"/>
      <c r="BL241" s="390"/>
      <c r="BM241" s="446"/>
      <c r="BN241" s="390"/>
      <c r="BO241" s="446"/>
      <c r="BP241" s="390"/>
      <c r="BQ241" s="68"/>
      <c r="BR241" s="68"/>
      <c r="BS241" s="446"/>
      <c r="BT241" s="446"/>
      <c r="BU241" s="446"/>
      <c r="BV241" s="446"/>
      <c r="BW241" s="446"/>
      <c r="BX241" s="446"/>
      <c r="BY241" s="446"/>
      <c r="BZ241" s="446"/>
      <c r="CA241" s="446"/>
      <c r="CB241" s="446"/>
      <c r="CC241" s="446"/>
      <c r="CD241" s="446"/>
      <c r="CE241" s="446"/>
      <c r="CF241" s="68"/>
      <c r="CG241" s="448"/>
      <c r="CH241" s="448"/>
      <c r="CI241" s="448"/>
      <c r="CJ241" s="83" t="str">
        <f t="shared" si="63"/>
        <v>No aplica</v>
      </c>
      <c r="CK241" s="83" t="str">
        <f t="shared" si="64"/>
        <v>No aplica</v>
      </c>
      <c r="CL241" s="83" t="str">
        <f t="shared" si="53"/>
        <v>No requiere reporte</v>
      </c>
      <c r="CM241" s="89" t="str">
        <f t="shared" si="54"/>
        <v>No requiere reporte</v>
      </c>
      <c r="CN241" s="89" t="str">
        <f t="shared" si="55"/>
        <v>No requiere reporte</v>
      </c>
      <c r="CO241" s="394" t="s">
        <v>2225</v>
      </c>
      <c r="CP241" s="394" t="s">
        <v>2226</v>
      </c>
      <c r="CQ241" s="394" t="s">
        <v>1907</v>
      </c>
      <c r="CR241" s="394" t="s">
        <v>2227</v>
      </c>
      <c r="CS241" s="394" t="s">
        <v>2228</v>
      </c>
      <c r="CT241" s="394" t="s">
        <v>200</v>
      </c>
      <c r="CU241" s="394" t="s">
        <v>233</v>
      </c>
      <c r="CV241" s="394">
        <v>17</v>
      </c>
      <c r="CW241" s="394" t="s">
        <v>234</v>
      </c>
      <c r="CX241" s="395">
        <v>46037</v>
      </c>
      <c r="CY241" s="395">
        <v>46387</v>
      </c>
      <c r="CZ241" s="396">
        <v>0</v>
      </c>
      <c r="DA241" s="396">
        <v>2</v>
      </c>
      <c r="DB241" s="396">
        <v>2</v>
      </c>
      <c r="DC241" s="396">
        <v>2</v>
      </c>
      <c r="DD241" s="391">
        <f t="shared" si="61"/>
        <v>6</v>
      </c>
      <c r="DE241" s="394" t="s">
        <v>514</v>
      </c>
      <c r="DF241" s="394" t="s">
        <v>1743</v>
      </c>
      <c r="DG241" s="394" t="s">
        <v>1744</v>
      </c>
      <c r="DH241" s="397">
        <v>150000000</v>
      </c>
      <c r="DI241" s="394" t="s">
        <v>182</v>
      </c>
      <c r="DJ241" s="643" t="s">
        <v>628</v>
      </c>
      <c r="DK241" s="643" t="s">
        <v>1745</v>
      </c>
      <c r="DL241" s="394" t="s">
        <v>279</v>
      </c>
      <c r="DM241" s="394" t="s">
        <v>2209</v>
      </c>
      <c r="DN241" s="446"/>
      <c r="DO241" s="654"/>
      <c r="DP241" s="446"/>
      <c r="DQ241" s="390"/>
      <c r="DR241" s="390"/>
      <c r="DS241" s="446"/>
      <c r="DT241" s="646"/>
      <c r="DU241" s="406"/>
      <c r="DV241" s="390"/>
      <c r="DW241" s="390"/>
      <c r="DX241" s="446"/>
      <c r="DY241" s="646"/>
      <c r="DZ241" s="829"/>
      <c r="EA241" s="390"/>
      <c r="EB241" s="390"/>
      <c r="EC241" s="68"/>
      <c r="ED241" s="68"/>
      <c r="EE241" s="68"/>
      <c r="EF241" s="68"/>
      <c r="EG241" s="68"/>
      <c r="EH241" s="390"/>
      <c r="EI241" s="68"/>
      <c r="EJ241" s="68"/>
      <c r="EK241" s="68"/>
      <c r="EL241" s="91" t="str">
        <f t="shared" si="56"/>
        <v>No aplica, no hay meta</v>
      </c>
      <c r="EM241" s="83" t="str">
        <f t="shared" si="57"/>
        <v>No se reportó avance</v>
      </c>
      <c r="EN241" s="646"/>
      <c r="EO241" s="69" t="str">
        <f t="shared" si="65"/>
        <v>Gestión</v>
      </c>
      <c r="EP241" s="69" t="str">
        <f t="shared" si="66"/>
        <v>6</v>
      </c>
    </row>
    <row r="242" spans="1:146" ht="150" customHeight="1">
      <c r="A242" s="390" t="s">
        <v>1718</v>
      </c>
      <c r="B242" s="398" t="s">
        <v>1719</v>
      </c>
      <c r="C242" s="399" t="s">
        <v>1720</v>
      </c>
      <c r="D242" s="400" t="s">
        <v>1721</v>
      </c>
      <c r="E242" s="401" t="s">
        <v>2181</v>
      </c>
      <c r="F242" s="390" t="s">
        <v>182</v>
      </c>
      <c r="G242" s="390" t="s">
        <v>182</v>
      </c>
      <c r="H242" s="390" t="s">
        <v>182</v>
      </c>
      <c r="I242" s="390" t="s">
        <v>728</v>
      </c>
      <c r="J242" s="390" t="s">
        <v>1723</v>
      </c>
      <c r="K242" s="390" t="s">
        <v>182</v>
      </c>
      <c r="L242" s="402">
        <v>13</v>
      </c>
      <c r="M242" s="390" t="s">
        <v>2183</v>
      </c>
      <c r="N242" s="390" t="s">
        <v>2184</v>
      </c>
      <c r="O242" s="390" t="s">
        <v>2185</v>
      </c>
      <c r="P242" s="390" t="s">
        <v>200</v>
      </c>
      <c r="Q242" s="390" t="s">
        <v>233</v>
      </c>
      <c r="R242" s="390">
        <v>1</v>
      </c>
      <c r="S242" s="390" t="s">
        <v>234</v>
      </c>
      <c r="T242" s="437">
        <v>44927</v>
      </c>
      <c r="U242" s="403">
        <v>46387</v>
      </c>
      <c r="V242" s="68"/>
      <c r="W242" s="68"/>
      <c r="X242" s="68"/>
      <c r="Y242" s="68"/>
      <c r="Z242" s="446"/>
      <c r="AA242" s="446"/>
      <c r="AB242" s="446"/>
      <c r="AC242" s="446"/>
      <c r="AD242" s="446"/>
      <c r="AE242" s="446"/>
      <c r="AF242" s="446"/>
      <c r="AG242" s="446"/>
      <c r="AH242" s="446"/>
      <c r="AI242" s="446"/>
      <c r="AJ242" s="446"/>
      <c r="AK242" s="447"/>
      <c r="AL242" s="447"/>
      <c r="AM242" s="447"/>
      <c r="AN242" s="447"/>
      <c r="AO242" s="447"/>
      <c r="AP242" s="447"/>
      <c r="AQ242" s="68"/>
      <c r="AR242" s="68"/>
      <c r="AS242" s="68"/>
      <c r="AT242" s="68"/>
      <c r="AU242" s="68"/>
      <c r="AV242" s="68"/>
      <c r="AW242" s="68"/>
      <c r="AX242" s="68"/>
      <c r="AY242" s="68"/>
      <c r="AZ242" s="68"/>
      <c r="BA242" s="68"/>
      <c r="BB242" s="68"/>
      <c r="BC242" s="68"/>
      <c r="BD242" s="68"/>
      <c r="BE242" s="68"/>
      <c r="BF242" s="68"/>
      <c r="BG242" s="68"/>
      <c r="BH242" s="68"/>
      <c r="BI242" s="68"/>
      <c r="BJ242" s="68"/>
      <c r="BK242" s="446"/>
      <c r="BL242" s="390"/>
      <c r="BM242" s="446"/>
      <c r="BN242" s="390"/>
      <c r="BO242" s="446"/>
      <c r="BP242" s="390"/>
      <c r="BQ242" s="68"/>
      <c r="BR242" s="68"/>
      <c r="BS242" s="446"/>
      <c r="BT242" s="446"/>
      <c r="BU242" s="446"/>
      <c r="BV242" s="446"/>
      <c r="BW242" s="446"/>
      <c r="BX242" s="446"/>
      <c r="BY242" s="446"/>
      <c r="BZ242" s="446"/>
      <c r="CA242" s="446"/>
      <c r="CB242" s="446"/>
      <c r="CC242" s="446"/>
      <c r="CD242" s="446"/>
      <c r="CE242" s="446"/>
      <c r="CF242" s="68"/>
      <c r="CG242" s="448"/>
      <c r="CH242" s="448"/>
      <c r="CI242" s="448"/>
      <c r="CJ242" s="83" t="str">
        <f t="shared" si="63"/>
        <v>No aplica</v>
      </c>
      <c r="CK242" s="83" t="str">
        <f t="shared" si="64"/>
        <v>No aplica</v>
      </c>
      <c r="CL242" s="83" t="str">
        <f t="shared" si="53"/>
        <v>No requiere reporte</v>
      </c>
      <c r="CM242" s="89" t="str">
        <f t="shared" si="54"/>
        <v>No requiere reporte</v>
      </c>
      <c r="CN242" s="89" t="str">
        <f t="shared" si="55"/>
        <v>No requiere reporte</v>
      </c>
      <c r="CO242" s="394" t="s">
        <v>2229</v>
      </c>
      <c r="CP242" s="390" t="s">
        <v>2230</v>
      </c>
      <c r="CQ242" s="394" t="s">
        <v>1749</v>
      </c>
      <c r="CR242" s="394" t="s">
        <v>2231</v>
      </c>
      <c r="CS242" s="394" t="s">
        <v>2232</v>
      </c>
      <c r="CT242" s="394" t="s">
        <v>200</v>
      </c>
      <c r="CU242" s="394" t="s">
        <v>162</v>
      </c>
      <c r="CV242" s="413">
        <v>1</v>
      </c>
      <c r="CW242" s="394" t="s">
        <v>163</v>
      </c>
      <c r="CX242" s="395">
        <v>46037</v>
      </c>
      <c r="CY242" s="395">
        <v>46387</v>
      </c>
      <c r="CZ242" s="413">
        <v>1</v>
      </c>
      <c r="DA242" s="413">
        <v>1</v>
      </c>
      <c r="DB242" s="413">
        <v>1</v>
      </c>
      <c r="DC242" s="413">
        <v>1</v>
      </c>
      <c r="DD242" s="413">
        <v>1</v>
      </c>
      <c r="DE242" s="394" t="s">
        <v>514</v>
      </c>
      <c r="DF242" s="394" t="s">
        <v>1743</v>
      </c>
      <c r="DG242" s="394" t="s">
        <v>1744</v>
      </c>
      <c r="DH242" s="397">
        <v>400000000</v>
      </c>
      <c r="DI242" s="394" t="s">
        <v>182</v>
      </c>
      <c r="DJ242" s="643" t="s">
        <v>628</v>
      </c>
      <c r="DK242" s="643" t="s">
        <v>1745</v>
      </c>
      <c r="DL242" s="394" t="s">
        <v>279</v>
      </c>
      <c r="DM242" s="394" t="s">
        <v>2209</v>
      </c>
      <c r="DN242" s="446"/>
      <c r="DO242" s="654"/>
      <c r="DP242" s="446"/>
      <c r="DQ242" s="390"/>
      <c r="DR242" s="390"/>
      <c r="DS242" s="446"/>
      <c r="DT242" s="646"/>
      <c r="DU242" s="406"/>
      <c r="DV242" s="390"/>
      <c r="DW242" s="390"/>
      <c r="DX242" s="446"/>
      <c r="DY242" s="646"/>
      <c r="DZ242" s="829"/>
      <c r="EA242" s="390"/>
      <c r="EB242" s="390"/>
      <c r="EC242" s="68"/>
      <c r="ED242" s="68"/>
      <c r="EE242" s="68"/>
      <c r="EF242" s="68"/>
      <c r="EG242" s="68"/>
      <c r="EH242" s="390"/>
      <c r="EI242" s="68"/>
      <c r="EJ242" s="68"/>
      <c r="EK242" s="68"/>
      <c r="EL242" s="91" t="str">
        <f t="shared" si="56"/>
        <v>No se reportó avance</v>
      </c>
      <c r="EM242" s="83" t="str">
        <f t="shared" si="57"/>
        <v>No se reportó avance</v>
      </c>
      <c r="EN242" s="646"/>
      <c r="EO242" s="69" t="str">
        <f t="shared" si="65"/>
        <v>Gestión</v>
      </c>
      <c r="EP242" s="69" t="str">
        <f t="shared" si="66"/>
        <v>6</v>
      </c>
    </row>
    <row r="243" spans="1:146" ht="150" customHeight="1">
      <c r="A243" s="390" t="s">
        <v>1718</v>
      </c>
      <c r="B243" s="398" t="s">
        <v>1719</v>
      </c>
      <c r="C243" s="399" t="s">
        <v>2233</v>
      </c>
      <c r="D243" s="400" t="s">
        <v>1721</v>
      </c>
      <c r="E243" s="401" t="s">
        <v>2181</v>
      </c>
      <c r="F243" s="390" t="s">
        <v>182</v>
      </c>
      <c r="G243" s="390" t="s">
        <v>182</v>
      </c>
      <c r="H243" s="390" t="s">
        <v>182</v>
      </c>
      <c r="I243" s="390" t="s">
        <v>728</v>
      </c>
      <c r="J243" s="390" t="s">
        <v>1723</v>
      </c>
      <c r="K243" s="390" t="s">
        <v>182</v>
      </c>
      <c r="L243" s="402">
        <v>13</v>
      </c>
      <c r="M243" s="390" t="s">
        <v>2183</v>
      </c>
      <c r="N243" s="390" t="s">
        <v>2184</v>
      </c>
      <c r="O243" s="390" t="s">
        <v>2185</v>
      </c>
      <c r="P243" s="390" t="s">
        <v>200</v>
      </c>
      <c r="Q243" s="390" t="s">
        <v>233</v>
      </c>
      <c r="R243" s="390">
        <v>1</v>
      </c>
      <c r="S243" s="390" t="s">
        <v>234</v>
      </c>
      <c r="T243" s="437">
        <v>44927</v>
      </c>
      <c r="U243" s="403">
        <v>46387</v>
      </c>
      <c r="V243" s="68"/>
      <c r="W243" s="68"/>
      <c r="X243" s="68"/>
      <c r="Y243" s="68"/>
      <c r="Z243" s="446"/>
      <c r="AA243" s="446"/>
      <c r="AB243" s="446"/>
      <c r="AC243" s="446"/>
      <c r="AD243" s="446"/>
      <c r="AE243" s="446"/>
      <c r="AF243" s="446"/>
      <c r="AG243" s="446"/>
      <c r="AH243" s="446"/>
      <c r="AI243" s="446"/>
      <c r="AJ243" s="446"/>
      <c r="AK243" s="447"/>
      <c r="AL243" s="447"/>
      <c r="AM243" s="447"/>
      <c r="AN243" s="447"/>
      <c r="AO243" s="447"/>
      <c r="AP243" s="447"/>
      <c r="AQ243" s="68"/>
      <c r="AR243" s="68"/>
      <c r="AS243" s="68"/>
      <c r="AT243" s="68"/>
      <c r="AU243" s="68"/>
      <c r="AV243" s="68"/>
      <c r="AW243" s="68"/>
      <c r="AX243" s="68"/>
      <c r="AY243" s="68"/>
      <c r="AZ243" s="68"/>
      <c r="BA243" s="68"/>
      <c r="BB243" s="68"/>
      <c r="BC243" s="68"/>
      <c r="BD243" s="68"/>
      <c r="BE243" s="68"/>
      <c r="BF243" s="68"/>
      <c r="BG243" s="68"/>
      <c r="BH243" s="68"/>
      <c r="BI243" s="68"/>
      <c r="BJ243" s="68"/>
      <c r="BK243" s="446"/>
      <c r="BL243" s="390"/>
      <c r="BM243" s="446"/>
      <c r="BN243" s="390"/>
      <c r="BO243" s="446"/>
      <c r="BP243" s="390"/>
      <c r="BQ243" s="68"/>
      <c r="BR243" s="68"/>
      <c r="BS243" s="446"/>
      <c r="BT243" s="446"/>
      <c r="BU243" s="446"/>
      <c r="BV243" s="446"/>
      <c r="BW243" s="446"/>
      <c r="BX243" s="446"/>
      <c r="BY243" s="446"/>
      <c r="BZ243" s="446"/>
      <c r="CA243" s="446"/>
      <c r="CB243" s="446"/>
      <c r="CC243" s="446"/>
      <c r="CD243" s="446"/>
      <c r="CE243" s="446"/>
      <c r="CF243" s="68"/>
      <c r="CG243" s="448"/>
      <c r="CH243" s="448"/>
      <c r="CI243" s="448"/>
      <c r="CJ243" s="83" t="str">
        <f t="shared" si="63"/>
        <v>No aplica</v>
      </c>
      <c r="CK243" s="83" t="str">
        <f t="shared" si="64"/>
        <v>No aplica</v>
      </c>
      <c r="CL243" s="83" t="str">
        <f t="shared" si="53"/>
        <v>No requiere reporte</v>
      </c>
      <c r="CM243" s="89" t="str">
        <f t="shared" si="54"/>
        <v>No requiere reporte</v>
      </c>
      <c r="CN243" s="89" t="str">
        <f t="shared" si="55"/>
        <v>No requiere reporte</v>
      </c>
      <c r="CO243" s="394" t="s">
        <v>2234</v>
      </c>
      <c r="CP243" s="394" t="s">
        <v>2235</v>
      </c>
      <c r="CQ243" s="394" t="s">
        <v>1907</v>
      </c>
      <c r="CR243" s="394" t="s">
        <v>2236</v>
      </c>
      <c r="CS243" s="394" t="s">
        <v>2237</v>
      </c>
      <c r="CT243" s="394" t="s">
        <v>200</v>
      </c>
      <c r="CU243" s="394" t="s">
        <v>233</v>
      </c>
      <c r="CV243" s="394">
        <v>5</v>
      </c>
      <c r="CW243" s="394" t="s">
        <v>234</v>
      </c>
      <c r="CX243" s="395">
        <v>46037</v>
      </c>
      <c r="CY243" s="395">
        <v>46387</v>
      </c>
      <c r="CZ243" s="396">
        <v>3</v>
      </c>
      <c r="DA243" s="396">
        <v>5</v>
      </c>
      <c r="DB243" s="396">
        <v>3</v>
      </c>
      <c r="DC243" s="396">
        <v>0</v>
      </c>
      <c r="DD243" s="391">
        <f t="shared" ref="DD243:DD267" si="67">SUM(CZ243:DC243)</f>
        <v>11</v>
      </c>
      <c r="DE243" s="394" t="s">
        <v>514</v>
      </c>
      <c r="DF243" s="394" t="s">
        <v>1743</v>
      </c>
      <c r="DG243" s="394" t="s">
        <v>1744</v>
      </c>
      <c r="DH243" s="397">
        <v>1940014707</v>
      </c>
      <c r="DI243" s="394" t="s">
        <v>182</v>
      </c>
      <c r="DJ243" s="643" t="s">
        <v>628</v>
      </c>
      <c r="DK243" s="643" t="s">
        <v>1745</v>
      </c>
      <c r="DL243" s="394" t="s">
        <v>279</v>
      </c>
      <c r="DM243" s="394" t="s">
        <v>2209</v>
      </c>
      <c r="DN243" s="449"/>
      <c r="DO243" s="654"/>
      <c r="DP243" s="830"/>
      <c r="DQ243" s="390"/>
      <c r="DR243" s="390"/>
      <c r="DS243" s="655"/>
      <c r="DT243" s="646"/>
      <c r="DU243" s="406"/>
      <c r="DV243" s="390"/>
      <c r="DW243" s="390"/>
      <c r="DX243" s="655"/>
      <c r="DY243" s="646"/>
      <c r="DZ243" s="829"/>
      <c r="EA243" s="390"/>
      <c r="EB243" s="390"/>
      <c r="EC243" s="656"/>
      <c r="ED243" s="68"/>
      <c r="EE243" s="68"/>
      <c r="EF243" s="68"/>
      <c r="EG243" s="68"/>
      <c r="EH243" s="398"/>
      <c r="EI243" s="68"/>
      <c r="EJ243" s="68"/>
      <c r="EK243" s="68"/>
      <c r="EL243" s="91" t="str">
        <f t="shared" si="56"/>
        <v>No se reportó avance</v>
      </c>
      <c r="EM243" s="83" t="str">
        <f t="shared" si="57"/>
        <v>No se reportó avance</v>
      </c>
      <c r="EN243" s="646" t="s">
        <v>4682</v>
      </c>
      <c r="EO243" s="69" t="str">
        <f t="shared" si="65"/>
        <v>Gestión</v>
      </c>
      <c r="EP243" s="69" t="str">
        <f t="shared" si="66"/>
        <v>6</v>
      </c>
    </row>
    <row r="244" spans="1:146" ht="150" customHeight="1">
      <c r="A244" s="377" t="s">
        <v>1718</v>
      </c>
      <c r="B244" s="378" t="s">
        <v>1719</v>
      </c>
      <c r="C244" s="379" t="s">
        <v>1720</v>
      </c>
      <c r="D244" s="380" t="s">
        <v>1721</v>
      </c>
      <c r="E244" s="381" t="s">
        <v>2238</v>
      </c>
      <c r="F244" s="377" t="s">
        <v>182</v>
      </c>
      <c r="G244" s="377" t="s">
        <v>182</v>
      </c>
      <c r="H244" s="377" t="s">
        <v>2239</v>
      </c>
      <c r="I244" s="377" t="s">
        <v>728</v>
      </c>
      <c r="J244" s="377" t="s">
        <v>1723</v>
      </c>
      <c r="K244" s="377" t="s">
        <v>1757</v>
      </c>
      <c r="L244" s="382">
        <v>14</v>
      </c>
      <c r="M244" s="382" t="s">
        <v>2240</v>
      </c>
      <c r="N244" s="382" t="s">
        <v>2241</v>
      </c>
      <c r="O244" s="382" t="s">
        <v>2242</v>
      </c>
      <c r="P244" s="382" t="s">
        <v>200</v>
      </c>
      <c r="Q244" s="382" t="s">
        <v>233</v>
      </c>
      <c r="R244" s="382">
        <v>2973</v>
      </c>
      <c r="S244" s="382" t="s">
        <v>234</v>
      </c>
      <c r="T244" s="436">
        <v>44927</v>
      </c>
      <c r="U244" s="384">
        <v>46387</v>
      </c>
      <c r="V244" s="452">
        <v>1256</v>
      </c>
      <c r="W244" s="452">
        <v>6295</v>
      </c>
      <c r="X244" s="452">
        <v>6295</v>
      </c>
      <c r="Y244" s="452">
        <v>1284</v>
      </c>
      <c r="Z244" s="452">
        <f>+SUM(V244:Y244)</f>
        <v>15130</v>
      </c>
      <c r="AA244" s="453">
        <v>7</v>
      </c>
      <c r="AB244" s="453">
        <v>1991</v>
      </c>
      <c r="AC244" s="453">
        <v>6306</v>
      </c>
      <c r="AD244" s="453">
        <v>6763</v>
      </c>
      <c r="AE244" s="453">
        <f>+SUM(AA244:AD244)</f>
        <v>15067</v>
      </c>
      <c r="AF244" s="453">
        <v>214</v>
      </c>
      <c r="AG244" s="453">
        <v>331</v>
      </c>
      <c r="AH244" s="453">
        <v>13061</v>
      </c>
      <c r="AI244" s="453">
        <v>974</v>
      </c>
      <c r="AJ244" s="453">
        <f>+SUM(AF244:AI244)</f>
        <v>14580</v>
      </c>
      <c r="AK244" s="454">
        <f>SUM(CZ244:CZ254)</f>
        <v>583.20000000000005</v>
      </c>
      <c r="AL244" s="454">
        <f t="shared" ref="AL244:AN244" si="68">SUM(DA244:DA254)</f>
        <v>1610.15</v>
      </c>
      <c r="AM244" s="454">
        <f t="shared" si="68"/>
        <v>4110.1499999999996</v>
      </c>
      <c r="AN244" s="454">
        <f t="shared" si="68"/>
        <v>4530.5</v>
      </c>
      <c r="AO244" s="454">
        <f>SUM(AK244:AN244)</f>
        <v>10834</v>
      </c>
      <c r="AP244" s="454">
        <f>+AO244+AJ244+AE244+Z244</f>
        <v>55611</v>
      </c>
      <c r="AQ244" s="659">
        <v>3236</v>
      </c>
      <c r="AR244" s="660" t="s">
        <v>2243</v>
      </c>
      <c r="AS244" s="446">
        <v>4837</v>
      </c>
      <c r="AT244" s="389" t="s">
        <v>2244</v>
      </c>
      <c r="AU244" s="446">
        <v>1358</v>
      </c>
      <c r="AV244" s="389" t="s">
        <v>2245</v>
      </c>
      <c r="AW244" s="643">
        <v>1882</v>
      </c>
      <c r="AX244" s="644" t="s">
        <v>2246</v>
      </c>
      <c r="AY244" s="391">
        <f>+AW244+AU244+AS244+AQ244</f>
        <v>11313</v>
      </c>
      <c r="AZ244" s="644" t="s">
        <v>2247</v>
      </c>
      <c r="BA244" s="390">
        <v>591</v>
      </c>
      <c r="BB244" s="646" t="s">
        <v>2248</v>
      </c>
      <c r="BC244" s="390">
        <v>2391</v>
      </c>
      <c r="BD244" s="646" t="s">
        <v>2249</v>
      </c>
      <c r="BE244" s="390">
        <v>1409</v>
      </c>
      <c r="BF244" s="390" t="s">
        <v>2250</v>
      </c>
      <c r="BG244" s="390">
        <v>879</v>
      </c>
      <c r="BH244" s="390" t="s">
        <v>2251</v>
      </c>
      <c r="BI244" s="390">
        <f>+BG244+BE244+BC244+BA244</f>
        <v>5270</v>
      </c>
      <c r="BJ244" s="390" t="s">
        <v>2252</v>
      </c>
      <c r="BK244" s="446">
        <v>157</v>
      </c>
      <c r="BL244" s="390" t="s">
        <v>2253</v>
      </c>
      <c r="BM244" s="446">
        <f>+SUM(DS244:DS254)</f>
        <v>0</v>
      </c>
      <c r="BN244" s="390" t="s">
        <v>2254</v>
      </c>
      <c r="BO244" s="446">
        <f>SUM(DX244+DX245+DX247)+24</f>
        <v>24</v>
      </c>
      <c r="BP244" s="390" t="s">
        <v>2255</v>
      </c>
      <c r="BQ244" s="68"/>
      <c r="BR244" s="68"/>
      <c r="BS244" s="390">
        <f>+BO244+BM244+BK244</f>
        <v>181</v>
      </c>
      <c r="BT244" s="446"/>
      <c r="BU244" s="446"/>
      <c r="BV244" s="446"/>
      <c r="BW244" s="446"/>
      <c r="BX244" s="446"/>
      <c r="BY244" s="446"/>
      <c r="BZ244" s="446"/>
      <c r="CA244" s="446"/>
      <c r="CB244" s="446"/>
      <c r="CC244" s="390"/>
      <c r="CD244" s="446"/>
      <c r="CE244" s="391">
        <v>18194</v>
      </c>
      <c r="CF244" s="68"/>
      <c r="CG244" s="450">
        <f>SUM(DH244:DH254)</f>
        <v>47501046681</v>
      </c>
      <c r="CH244" s="448"/>
      <c r="CI244" s="448"/>
      <c r="CJ244" s="83">
        <f t="shared" si="63"/>
        <v>0</v>
      </c>
      <c r="CK244" s="83">
        <f t="shared" si="64"/>
        <v>0</v>
      </c>
      <c r="CL244" s="83" t="str">
        <f t="shared" si="53"/>
        <v>No se reportó avance</v>
      </c>
      <c r="CM244" s="89" t="str">
        <f t="shared" si="54"/>
        <v>No se reportó avance</v>
      </c>
      <c r="CN244" s="89">
        <f t="shared" si="55"/>
        <v>0.32716548884213553</v>
      </c>
      <c r="CO244" s="394" t="s">
        <v>2256</v>
      </c>
      <c r="CP244" s="394" t="s">
        <v>2257</v>
      </c>
      <c r="CQ244" s="394" t="s">
        <v>2258</v>
      </c>
      <c r="CR244" s="658" t="s">
        <v>2259</v>
      </c>
      <c r="CS244" s="658" t="s">
        <v>2260</v>
      </c>
      <c r="CT244" s="394" t="s">
        <v>200</v>
      </c>
      <c r="CU244" s="394" t="s">
        <v>233</v>
      </c>
      <c r="CV244" s="394">
        <v>166</v>
      </c>
      <c r="CW244" s="394" t="s">
        <v>234</v>
      </c>
      <c r="CX244" s="395">
        <v>46037</v>
      </c>
      <c r="CY244" s="395">
        <v>46387</v>
      </c>
      <c r="CZ244" s="661">
        <v>20</v>
      </c>
      <c r="DA244" s="661">
        <v>40</v>
      </c>
      <c r="DB244" s="661">
        <v>40</v>
      </c>
      <c r="DC244" s="661">
        <v>20</v>
      </c>
      <c r="DD244" s="391">
        <f t="shared" si="67"/>
        <v>120</v>
      </c>
      <c r="DE244" s="394" t="s">
        <v>514</v>
      </c>
      <c r="DF244" s="394" t="s">
        <v>1743</v>
      </c>
      <c r="DG244" s="394" t="s">
        <v>1744</v>
      </c>
      <c r="DH244" s="397">
        <v>1155521500</v>
      </c>
      <c r="DI244" s="643" t="s">
        <v>1633</v>
      </c>
      <c r="DJ244" s="643" t="s">
        <v>628</v>
      </c>
      <c r="DK244" s="643" t="s">
        <v>1745</v>
      </c>
      <c r="DL244" s="394" t="s">
        <v>279</v>
      </c>
      <c r="DM244" s="394" t="s">
        <v>2261</v>
      </c>
      <c r="DN244" s="446"/>
      <c r="DO244" s="654"/>
      <c r="DP244" s="830"/>
      <c r="DQ244" s="390"/>
      <c r="DR244" s="390"/>
      <c r="DS244" s="446"/>
      <c r="DT244" s="646"/>
      <c r="DU244" s="406"/>
      <c r="DV244" s="390"/>
      <c r="DW244" s="390"/>
      <c r="DX244" s="446"/>
      <c r="DY244" s="646"/>
      <c r="DZ244" s="829"/>
      <c r="EA244" s="390"/>
      <c r="EB244" s="390"/>
      <c r="EC244" s="68"/>
      <c r="ED244" s="68"/>
      <c r="EE244" s="68"/>
      <c r="EF244" s="68"/>
      <c r="EG244" s="68"/>
      <c r="EH244" s="390"/>
      <c r="EI244" s="68"/>
      <c r="EJ244" s="68"/>
      <c r="EK244" s="68"/>
      <c r="EL244" s="91" t="str">
        <f t="shared" si="56"/>
        <v>No se reportó avance</v>
      </c>
      <c r="EM244" s="83" t="str">
        <f t="shared" si="57"/>
        <v>No se reportó avance</v>
      </c>
      <c r="EN244" s="646"/>
      <c r="EO244" s="69" t="str">
        <f t="shared" si="65"/>
        <v>Gestión</v>
      </c>
      <c r="EP244" s="69" t="str">
        <f t="shared" si="66"/>
        <v>6</v>
      </c>
    </row>
    <row r="245" spans="1:146" ht="150" customHeight="1">
      <c r="A245" s="390" t="s">
        <v>1718</v>
      </c>
      <c r="B245" s="398" t="s">
        <v>1719</v>
      </c>
      <c r="C245" s="399" t="s">
        <v>1720</v>
      </c>
      <c r="D245" s="400" t="s">
        <v>1721</v>
      </c>
      <c r="E245" s="401" t="s">
        <v>2238</v>
      </c>
      <c r="F245" s="390" t="s">
        <v>182</v>
      </c>
      <c r="G245" s="390" t="s">
        <v>182</v>
      </c>
      <c r="H245" s="390" t="s">
        <v>2262</v>
      </c>
      <c r="I245" s="390" t="s">
        <v>728</v>
      </c>
      <c r="J245" s="390" t="s">
        <v>1723</v>
      </c>
      <c r="K245" s="390" t="s">
        <v>182</v>
      </c>
      <c r="L245" s="402">
        <v>14</v>
      </c>
      <c r="M245" s="390" t="s">
        <v>2240</v>
      </c>
      <c r="N245" s="390" t="s">
        <v>2241</v>
      </c>
      <c r="O245" s="390" t="s">
        <v>2242</v>
      </c>
      <c r="P245" s="390" t="s">
        <v>200</v>
      </c>
      <c r="Q245" s="390" t="s">
        <v>233</v>
      </c>
      <c r="R245" s="390">
        <v>2973</v>
      </c>
      <c r="S245" s="390" t="s">
        <v>234</v>
      </c>
      <c r="T245" s="437">
        <v>44927</v>
      </c>
      <c r="U245" s="403">
        <v>46387</v>
      </c>
      <c r="V245" s="68"/>
      <c r="W245" s="68"/>
      <c r="X245" s="68"/>
      <c r="Y245" s="68"/>
      <c r="Z245" s="446"/>
      <c r="AA245" s="446"/>
      <c r="AB245" s="446"/>
      <c r="AC245" s="446"/>
      <c r="AD245" s="446"/>
      <c r="AE245" s="446"/>
      <c r="AF245" s="446"/>
      <c r="AG245" s="446"/>
      <c r="AH245" s="446"/>
      <c r="AI245" s="446"/>
      <c r="AJ245" s="446"/>
      <c r="AK245" s="447"/>
      <c r="AL245" s="447"/>
      <c r="AM245" s="447"/>
      <c r="AN245" s="447"/>
      <c r="AO245" s="447"/>
      <c r="AP245" s="447"/>
      <c r="AQ245" s="68"/>
      <c r="AR245" s="68"/>
      <c r="AS245" s="68"/>
      <c r="AT245" s="68"/>
      <c r="AU245" s="68"/>
      <c r="AV245" s="68"/>
      <c r="AW245" s="68"/>
      <c r="AX245" s="68"/>
      <c r="AY245" s="68"/>
      <c r="AZ245" s="68"/>
      <c r="BA245" s="68"/>
      <c r="BB245" s="68"/>
      <c r="BC245" s="68"/>
      <c r="BD245" s="68"/>
      <c r="BE245" s="68"/>
      <c r="BF245" s="68"/>
      <c r="BG245" s="68"/>
      <c r="BH245" s="68"/>
      <c r="BI245" s="68"/>
      <c r="BJ245" s="68"/>
      <c r="BK245" s="446"/>
      <c r="BL245" s="390"/>
      <c r="BM245" s="446"/>
      <c r="BN245" s="390"/>
      <c r="BO245" s="446"/>
      <c r="BP245" s="390"/>
      <c r="BQ245" s="68"/>
      <c r="BR245" s="68"/>
      <c r="BS245" s="446"/>
      <c r="BT245" s="446"/>
      <c r="BU245" s="446"/>
      <c r="BV245" s="446"/>
      <c r="BW245" s="446"/>
      <c r="BX245" s="446"/>
      <c r="BY245" s="446"/>
      <c r="BZ245" s="446"/>
      <c r="CA245" s="446"/>
      <c r="CB245" s="446"/>
      <c r="CC245" s="446"/>
      <c r="CD245" s="446"/>
      <c r="CE245" s="446"/>
      <c r="CF245" s="68"/>
      <c r="CG245" s="448"/>
      <c r="CH245" s="448"/>
      <c r="CI245" s="448"/>
      <c r="CJ245" s="83" t="str">
        <f t="shared" si="63"/>
        <v>No aplica</v>
      </c>
      <c r="CK245" s="83" t="str">
        <f t="shared" si="64"/>
        <v>No aplica</v>
      </c>
      <c r="CL245" s="83" t="str">
        <f t="shared" si="53"/>
        <v>No requiere reporte</v>
      </c>
      <c r="CM245" s="89" t="str">
        <f t="shared" si="54"/>
        <v>No requiere reporte</v>
      </c>
      <c r="CN245" s="89" t="str">
        <f t="shared" si="55"/>
        <v>No requiere reporte</v>
      </c>
      <c r="CO245" s="394" t="s">
        <v>2263</v>
      </c>
      <c r="CP245" s="394" t="s">
        <v>2264</v>
      </c>
      <c r="CQ245" s="394" t="s">
        <v>2265</v>
      </c>
      <c r="CR245" s="658" t="s">
        <v>2266</v>
      </c>
      <c r="CS245" s="658" t="s">
        <v>2267</v>
      </c>
      <c r="CT245" s="394" t="s">
        <v>200</v>
      </c>
      <c r="CU245" s="394" t="s">
        <v>233</v>
      </c>
      <c r="CV245" s="394">
        <v>66</v>
      </c>
      <c r="CW245" s="394" t="s">
        <v>234</v>
      </c>
      <c r="CX245" s="395">
        <v>46037</v>
      </c>
      <c r="CY245" s="395">
        <v>46387</v>
      </c>
      <c r="CZ245" s="661">
        <v>10</v>
      </c>
      <c r="DA245" s="661">
        <v>20</v>
      </c>
      <c r="DB245" s="661">
        <v>10</v>
      </c>
      <c r="DC245" s="661">
        <v>3</v>
      </c>
      <c r="DD245" s="391">
        <f t="shared" si="67"/>
        <v>43</v>
      </c>
      <c r="DE245" s="394" t="s">
        <v>514</v>
      </c>
      <c r="DF245" s="394" t="s">
        <v>1743</v>
      </c>
      <c r="DG245" s="394" t="s">
        <v>1744</v>
      </c>
      <c r="DH245" s="397">
        <v>729028000</v>
      </c>
      <c r="DI245" s="643" t="s">
        <v>1633</v>
      </c>
      <c r="DJ245" s="643" t="s">
        <v>628</v>
      </c>
      <c r="DK245" s="643" t="s">
        <v>1745</v>
      </c>
      <c r="DL245" s="394" t="s">
        <v>279</v>
      </c>
      <c r="DM245" s="394" t="s">
        <v>2268</v>
      </c>
      <c r="DN245" s="446"/>
      <c r="DO245" s="654"/>
      <c r="DP245" s="830"/>
      <c r="DQ245" s="390"/>
      <c r="DR245" s="390"/>
      <c r="DS245" s="446"/>
      <c r="DT245" s="646"/>
      <c r="DU245" s="406"/>
      <c r="DV245" s="390"/>
      <c r="DW245" s="390"/>
      <c r="DX245" s="446"/>
      <c r="DY245" s="646"/>
      <c r="DZ245" s="829"/>
      <c r="EA245" s="390"/>
      <c r="EB245" s="390"/>
      <c r="EC245" s="68"/>
      <c r="ED245" s="68"/>
      <c r="EE245" s="68"/>
      <c r="EF245" s="68"/>
      <c r="EG245" s="68"/>
      <c r="EH245" s="390"/>
      <c r="EI245" s="68"/>
      <c r="EJ245" s="68"/>
      <c r="EK245" s="68"/>
      <c r="EL245" s="91" t="str">
        <f t="shared" si="56"/>
        <v>No se reportó avance</v>
      </c>
      <c r="EM245" s="83" t="str">
        <f t="shared" si="57"/>
        <v>No se reportó avance</v>
      </c>
      <c r="EN245" s="646"/>
      <c r="EO245" s="69" t="str">
        <f t="shared" si="65"/>
        <v>Gestión</v>
      </c>
      <c r="EP245" s="69" t="str">
        <f t="shared" si="66"/>
        <v>6</v>
      </c>
    </row>
    <row r="246" spans="1:146" ht="150" customHeight="1">
      <c r="A246" s="390" t="s">
        <v>1718</v>
      </c>
      <c r="B246" s="398" t="s">
        <v>1719</v>
      </c>
      <c r="C246" s="399" t="s">
        <v>1720</v>
      </c>
      <c r="D246" s="400" t="s">
        <v>1721</v>
      </c>
      <c r="E246" s="401" t="s">
        <v>2238</v>
      </c>
      <c r="F246" s="390" t="s">
        <v>182</v>
      </c>
      <c r="G246" s="390" t="s">
        <v>182</v>
      </c>
      <c r="H246" s="390" t="s">
        <v>2269</v>
      </c>
      <c r="I246" s="390" t="s">
        <v>728</v>
      </c>
      <c r="J246" s="390" t="s">
        <v>1723</v>
      </c>
      <c r="K246" s="390" t="s">
        <v>182</v>
      </c>
      <c r="L246" s="402">
        <v>14</v>
      </c>
      <c r="M246" s="390" t="s">
        <v>2240</v>
      </c>
      <c r="N246" s="390" t="s">
        <v>2241</v>
      </c>
      <c r="O246" s="390" t="s">
        <v>2242</v>
      </c>
      <c r="P246" s="390" t="s">
        <v>200</v>
      </c>
      <c r="Q246" s="390" t="s">
        <v>233</v>
      </c>
      <c r="R246" s="390">
        <v>2973</v>
      </c>
      <c r="S246" s="390" t="s">
        <v>234</v>
      </c>
      <c r="T246" s="437">
        <v>44927</v>
      </c>
      <c r="U246" s="403">
        <v>46387</v>
      </c>
      <c r="V246" s="68"/>
      <c r="W246" s="68"/>
      <c r="X246" s="68"/>
      <c r="Y246" s="68"/>
      <c r="Z246" s="446"/>
      <c r="AA246" s="446"/>
      <c r="AB246" s="446"/>
      <c r="AC246" s="446"/>
      <c r="AD246" s="446"/>
      <c r="AE246" s="446"/>
      <c r="AF246" s="446"/>
      <c r="AG246" s="446"/>
      <c r="AH246" s="446"/>
      <c r="AI246" s="446"/>
      <c r="AJ246" s="446"/>
      <c r="AK246" s="447"/>
      <c r="AL246" s="447"/>
      <c r="AM246" s="447"/>
      <c r="AN246" s="447"/>
      <c r="AO246" s="447"/>
      <c r="AP246" s="447"/>
      <c r="AQ246" s="68"/>
      <c r="AR246" s="68"/>
      <c r="AS246" s="68"/>
      <c r="AT246" s="68"/>
      <c r="AU246" s="68"/>
      <c r="AV246" s="68"/>
      <c r="AW246" s="68"/>
      <c r="AX246" s="68"/>
      <c r="AY246" s="68"/>
      <c r="AZ246" s="68"/>
      <c r="BA246" s="68"/>
      <c r="BB246" s="68"/>
      <c r="BC246" s="68"/>
      <c r="BD246" s="68"/>
      <c r="BE246" s="68"/>
      <c r="BF246" s="68"/>
      <c r="BG246" s="68"/>
      <c r="BH246" s="68"/>
      <c r="BI246" s="68"/>
      <c r="BJ246" s="68"/>
      <c r="BK246" s="446"/>
      <c r="BL246" s="390"/>
      <c r="BM246" s="446"/>
      <c r="BN246" s="390"/>
      <c r="BO246" s="446"/>
      <c r="BP246" s="390"/>
      <c r="BQ246" s="68"/>
      <c r="BR246" s="68"/>
      <c r="BS246" s="446"/>
      <c r="BT246" s="446"/>
      <c r="BU246" s="446"/>
      <c r="BV246" s="446"/>
      <c r="BW246" s="446"/>
      <c r="BX246" s="446"/>
      <c r="BY246" s="446"/>
      <c r="BZ246" s="446"/>
      <c r="CA246" s="446"/>
      <c r="CB246" s="446"/>
      <c r="CC246" s="446"/>
      <c r="CD246" s="446"/>
      <c r="CE246" s="446"/>
      <c r="CF246" s="68"/>
      <c r="CG246" s="448"/>
      <c r="CH246" s="448"/>
      <c r="CI246" s="448"/>
      <c r="CJ246" s="83" t="str">
        <f t="shared" si="63"/>
        <v>No aplica</v>
      </c>
      <c r="CK246" s="83" t="str">
        <f t="shared" si="64"/>
        <v>No aplica</v>
      </c>
      <c r="CL246" s="83" t="str">
        <f t="shared" si="53"/>
        <v>No requiere reporte</v>
      </c>
      <c r="CM246" s="89" t="str">
        <f t="shared" si="54"/>
        <v>No requiere reporte</v>
      </c>
      <c r="CN246" s="89" t="str">
        <f t="shared" si="55"/>
        <v>No requiere reporte</v>
      </c>
      <c r="CO246" s="394" t="s">
        <v>2270</v>
      </c>
      <c r="CP246" s="394" t="s">
        <v>2271</v>
      </c>
      <c r="CQ246" s="841" t="s">
        <v>2272</v>
      </c>
      <c r="CR246" s="658" t="s">
        <v>2273</v>
      </c>
      <c r="CS246" s="658" t="s">
        <v>2274</v>
      </c>
      <c r="CT246" s="394" t="s">
        <v>200</v>
      </c>
      <c r="CU246" s="394" t="s">
        <v>233</v>
      </c>
      <c r="CV246" s="394" t="s">
        <v>182</v>
      </c>
      <c r="CW246" s="394" t="s">
        <v>163</v>
      </c>
      <c r="CX246" s="395">
        <v>46037</v>
      </c>
      <c r="CY246" s="395">
        <v>46387</v>
      </c>
      <c r="CZ246" s="455">
        <v>0.2</v>
      </c>
      <c r="DA246" s="455">
        <v>0.15</v>
      </c>
      <c r="DB246" s="455">
        <v>0.15</v>
      </c>
      <c r="DC246" s="455">
        <v>0.5</v>
      </c>
      <c r="DD246" s="438">
        <f t="shared" si="67"/>
        <v>1</v>
      </c>
      <c r="DE246" s="394" t="s">
        <v>514</v>
      </c>
      <c r="DF246" s="394" t="s">
        <v>1743</v>
      </c>
      <c r="DG246" s="394" t="s">
        <v>1744</v>
      </c>
      <c r="DH246" s="397">
        <v>1309000000</v>
      </c>
      <c r="DI246" s="394" t="s">
        <v>182</v>
      </c>
      <c r="DJ246" s="643" t="s">
        <v>628</v>
      </c>
      <c r="DK246" s="643" t="s">
        <v>1745</v>
      </c>
      <c r="DL246" s="394" t="s">
        <v>279</v>
      </c>
      <c r="DM246" s="394" t="s">
        <v>2275</v>
      </c>
      <c r="DN246" s="446"/>
      <c r="DO246" s="654"/>
      <c r="DP246" s="446"/>
      <c r="DQ246" s="390"/>
      <c r="DR246" s="390"/>
      <c r="DS246" s="446"/>
      <c r="DT246" s="646"/>
      <c r="DU246" s="390"/>
      <c r="DV246" s="390"/>
      <c r="DW246" s="390"/>
      <c r="DX246" s="446"/>
      <c r="DY246" s="646"/>
      <c r="DZ246" s="390"/>
      <c r="EA246" s="390"/>
      <c r="EB246" s="390"/>
      <c r="EC246" s="68"/>
      <c r="ED246" s="68"/>
      <c r="EE246" s="68"/>
      <c r="EF246" s="68"/>
      <c r="EG246" s="68"/>
      <c r="EH246" s="390"/>
      <c r="EI246" s="68"/>
      <c r="EJ246" s="68"/>
      <c r="EK246" s="68"/>
      <c r="EL246" s="91" t="str">
        <f t="shared" si="56"/>
        <v>No se reportó avance</v>
      </c>
      <c r="EM246" s="83" t="str">
        <f t="shared" si="57"/>
        <v>No se reportó avance</v>
      </c>
      <c r="EN246" s="646"/>
      <c r="EO246" s="69" t="str">
        <f t="shared" si="65"/>
        <v>Gestión</v>
      </c>
      <c r="EP246" s="69" t="str">
        <f t="shared" si="66"/>
        <v>6</v>
      </c>
    </row>
    <row r="247" spans="1:146" ht="150" customHeight="1">
      <c r="A247" s="390" t="s">
        <v>1718</v>
      </c>
      <c r="B247" s="398" t="s">
        <v>1719</v>
      </c>
      <c r="C247" s="399" t="s">
        <v>1720</v>
      </c>
      <c r="D247" s="400" t="s">
        <v>1721</v>
      </c>
      <c r="E247" s="401" t="s">
        <v>2238</v>
      </c>
      <c r="F247" s="390" t="s">
        <v>182</v>
      </c>
      <c r="G247" s="390" t="s">
        <v>182</v>
      </c>
      <c r="H247" s="390" t="s">
        <v>2276</v>
      </c>
      <c r="I247" s="390" t="s">
        <v>728</v>
      </c>
      <c r="J247" s="390" t="s">
        <v>1723</v>
      </c>
      <c r="K247" s="390" t="s">
        <v>182</v>
      </c>
      <c r="L247" s="402">
        <v>14</v>
      </c>
      <c r="M247" s="390" t="s">
        <v>2240</v>
      </c>
      <c r="N247" s="390" t="s">
        <v>2241</v>
      </c>
      <c r="O247" s="390" t="s">
        <v>2242</v>
      </c>
      <c r="P247" s="390" t="s">
        <v>200</v>
      </c>
      <c r="Q247" s="390" t="s">
        <v>233</v>
      </c>
      <c r="R247" s="390">
        <v>2973</v>
      </c>
      <c r="S247" s="390" t="s">
        <v>234</v>
      </c>
      <c r="T247" s="437">
        <v>44927</v>
      </c>
      <c r="U247" s="403">
        <v>46387</v>
      </c>
      <c r="V247" s="68"/>
      <c r="W247" s="68"/>
      <c r="X247" s="68"/>
      <c r="Y247" s="68"/>
      <c r="Z247" s="446"/>
      <c r="AA247" s="446"/>
      <c r="AB247" s="446"/>
      <c r="AC247" s="446"/>
      <c r="AD247" s="446"/>
      <c r="AE247" s="446"/>
      <c r="AF247" s="446"/>
      <c r="AG247" s="446"/>
      <c r="AH247" s="446"/>
      <c r="AI247" s="446"/>
      <c r="AJ247" s="446"/>
      <c r="AK247" s="447"/>
      <c r="AL247" s="447"/>
      <c r="AM247" s="447"/>
      <c r="AN247" s="447"/>
      <c r="AO247" s="447"/>
      <c r="AP247" s="447"/>
      <c r="AQ247" s="68"/>
      <c r="AR247" s="68"/>
      <c r="AS247" s="68"/>
      <c r="AT247" s="68"/>
      <c r="AU247" s="68"/>
      <c r="AV247" s="68"/>
      <c r="AW247" s="68"/>
      <c r="AX247" s="68"/>
      <c r="AY247" s="68"/>
      <c r="AZ247" s="68"/>
      <c r="BA247" s="68"/>
      <c r="BB247" s="68"/>
      <c r="BC247" s="68"/>
      <c r="BD247" s="68"/>
      <c r="BE247" s="68"/>
      <c r="BF247" s="68"/>
      <c r="BG247" s="68"/>
      <c r="BH247" s="68"/>
      <c r="BI247" s="68"/>
      <c r="BJ247" s="68"/>
      <c r="BK247" s="446"/>
      <c r="BL247" s="390"/>
      <c r="BM247" s="446"/>
      <c r="BN247" s="390"/>
      <c r="BO247" s="446"/>
      <c r="BP247" s="390"/>
      <c r="BQ247" s="68"/>
      <c r="BR247" s="68"/>
      <c r="BS247" s="446"/>
      <c r="BT247" s="446"/>
      <c r="BU247" s="446"/>
      <c r="BV247" s="446"/>
      <c r="BW247" s="446"/>
      <c r="BX247" s="446"/>
      <c r="BY247" s="446"/>
      <c r="BZ247" s="446"/>
      <c r="CA247" s="446"/>
      <c r="CB247" s="446"/>
      <c r="CC247" s="446"/>
      <c r="CD247" s="446"/>
      <c r="CE247" s="446"/>
      <c r="CF247" s="68"/>
      <c r="CG247" s="448"/>
      <c r="CH247" s="448"/>
      <c r="CI247" s="448"/>
      <c r="CJ247" s="83" t="str">
        <f t="shared" si="63"/>
        <v>No aplica</v>
      </c>
      <c r="CK247" s="83" t="str">
        <f t="shared" si="64"/>
        <v>No aplica</v>
      </c>
      <c r="CL247" s="83" t="str">
        <f t="shared" si="53"/>
        <v>No requiere reporte</v>
      </c>
      <c r="CM247" s="89" t="str">
        <f t="shared" si="54"/>
        <v>No requiere reporte</v>
      </c>
      <c r="CN247" s="89" t="str">
        <f t="shared" si="55"/>
        <v>No requiere reporte</v>
      </c>
      <c r="CO247" s="394" t="s">
        <v>2277</v>
      </c>
      <c r="CP247" s="394" t="s">
        <v>2278</v>
      </c>
      <c r="CQ247" s="841" t="s">
        <v>2279</v>
      </c>
      <c r="CR247" s="658" t="s">
        <v>2280</v>
      </c>
      <c r="CS247" s="658" t="s">
        <v>2281</v>
      </c>
      <c r="CT247" s="394" t="s">
        <v>200</v>
      </c>
      <c r="CU247" s="394" t="s">
        <v>233</v>
      </c>
      <c r="CV247" s="394">
        <v>5182</v>
      </c>
      <c r="CW247" s="394" t="s">
        <v>234</v>
      </c>
      <c r="CX247" s="395">
        <v>46037</v>
      </c>
      <c r="CY247" s="395">
        <v>46387</v>
      </c>
      <c r="CZ247" s="661">
        <f>500+10</f>
        <v>510</v>
      </c>
      <c r="DA247" s="661">
        <f>1500+23</f>
        <v>1523</v>
      </c>
      <c r="DB247" s="661">
        <f>4000+23</f>
        <v>4023</v>
      </c>
      <c r="DC247" s="661">
        <f>4000+10</f>
        <v>4010</v>
      </c>
      <c r="DD247" s="391">
        <f t="shared" si="67"/>
        <v>10066</v>
      </c>
      <c r="DE247" s="394" t="s">
        <v>514</v>
      </c>
      <c r="DF247" s="394" t="s">
        <v>1743</v>
      </c>
      <c r="DG247" s="394" t="s">
        <v>1744</v>
      </c>
      <c r="DH247" s="397">
        <v>1508831301</v>
      </c>
      <c r="DI247" s="394" t="s">
        <v>182</v>
      </c>
      <c r="DJ247" s="643" t="s">
        <v>628</v>
      </c>
      <c r="DK247" s="643" t="s">
        <v>1745</v>
      </c>
      <c r="DL247" s="394" t="s">
        <v>4687</v>
      </c>
      <c r="DM247" s="394" t="s">
        <v>2275</v>
      </c>
      <c r="DN247" s="446"/>
      <c r="DO247" s="654"/>
      <c r="DP247" s="830"/>
      <c r="DQ247" s="646"/>
      <c r="DR247" s="646"/>
      <c r="DS247" s="446"/>
      <c r="DT247" s="646"/>
      <c r="DU247" s="406"/>
      <c r="DV247" s="390"/>
      <c r="DW247" s="390"/>
      <c r="DX247" s="446"/>
      <c r="DY247" s="646"/>
      <c r="DZ247" s="829"/>
      <c r="EA247" s="390"/>
      <c r="EB247" s="390"/>
      <c r="EC247" s="68"/>
      <c r="ED247" s="68"/>
      <c r="EE247" s="68"/>
      <c r="EF247" s="68"/>
      <c r="EG247" s="68"/>
      <c r="EH247" s="390"/>
      <c r="EI247" s="68"/>
      <c r="EJ247" s="68"/>
      <c r="EK247" s="68"/>
      <c r="EL247" s="91" t="str">
        <f t="shared" si="56"/>
        <v>No se reportó avance</v>
      </c>
      <c r="EM247" s="83" t="str">
        <f t="shared" si="57"/>
        <v>No se reportó avance</v>
      </c>
      <c r="EN247" s="646" t="s">
        <v>4682</v>
      </c>
      <c r="EO247" s="69" t="str">
        <f t="shared" si="65"/>
        <v>Gestión</v>
      </c>
      <c r="EP247" s="69" t="str">
        <f t="shared" si="66"/>
        <v>6</v>
      </c>
    </row>
    <row r="248" spans="1:146" ht="150" customHeight="1">
      <c r="A248" s="390" t="s">
        <v>1718</v>
      </c>
      <c r="B248" s="398" t="s">
        <v>1719</v>
      </c>
      <c r="C248" s="399" t="s">
        <v>1720</v>
      </c>
      <c r="D248" s="400" t="s">
        <v>1721</v>
      </c>
      <c r="E248" s="401" t="s">
        <v>2238</v>
      </c>
      <c r="F248" s="390" t="s">
        <v>182</v>
      </c>
      <c r="G248" s="390" t="s">
        <v>182</v>
      </c>
      <c r="H248" s="390" t="s">
        <v>2269</v>
      </c>
      <c r="I248" s="390" t="s">
        <v>728</v>
      </c>
      <c r="J248" s="390" t="s">
        <v>1723</v>
      </c>
      <c r="K248" s="390" t="s">
        <v>182</v>
      </c>
      <c r="L248" s="402">
        <v>14</v>
      </c>
      <c r="M248" s="390" t="s">
        <v>2240</v>
      </c>
      <c r="N248" s="390" t="s">
        <v>2241</v>
      </c>
      <c r="O248" s="390" t="s">
        <v>2242</v>
      </c>
      <c r="P248" s="390" t="s">
        <v>200</v>
      </c>
      <c r="Q248" s="390" t="s">
        <v>233</v>
      </c>
      <c r="R248" s="390">
        <v>2973</v>
      </c>
      <c r="S248" s="390" t="s">
        <v>234</v>
      </c>
      <c r="T248" s="437">
        <v>44927</v>
      </c>
      <c r="U248" s="403">
        <v>46387</v>
      </c>
      <c r="V248" s="68"/>
      <c r="W248" s="68"/>
      <c r="X248" s="68"/>
      <c r="Y248" s="68"/>
      <c r="Z248" s="446"/>
      <c r="AA248" s="446"/>
      <c r="AB248" s="446"/>
      <c r="AC248" s="446"/>
      <c r="AD248" s="446"/>
      <c r="AE248" s="446"/>
      <c r="AF248" s="446"/>
      <c r="AG248" s="446"/>
      <c r="AH248" s="446"/>
      <c r="AI248" s="446"/>
      <c r="AJ248" s="446"/>
      <c r="AK248" s="447"/>
      <c r="AL248" s="447"/>
      <c r="AM248" s="447"/>
      <c r="AN248" s="447"/>
      <c r="AO248" s="447"/>
      <c r="AP248" s="447"/>
      <c r="AQ248" s="68"/>
      <c r="AR248" s="68"/>
      <c r="AS248" s="68"/>
      <c r="AT248" s="68"/>
      <c r="AU248" s="68"/>
      <c r="AV248" s="68"/>
      <c r="AW248" s="68"/>
      <c r="AX248" s="68"/>
      <c r="AY248" s="68"/>
      <c r="AZ248" s="68"/>
      <c r="BA248" s="68"/>
      <c r="BB248" s="68"/>
      <c r="BC248" s="68"/>
      <c r="BD248" s="68"/>
      <c r="BE248" s="68"/>
      <c r="BF248" s="68"/>
      <c r="BG248" s="68"/>
      <c r="BH248" s="68"/>
      <c r="BI248" s="68"/>
      <c r="BJ248" s="68"/>
      <c r="BK248" s="446"/>
      <c r="BL248" s="390"/>
      <c r="BM248" s="446"/>
      <c r="BN248" s="390"/>
      <c r="BO248" s="446"/>
      <c r="BP248" s="390"/>
      <c r="BQ248" s="68"/>
      <c r="BR248" s="68"/>
      <c r="BS248" s="446"/>
      <c r="BT248" s="446"/>
      <c r="BU248" s="446"/>
      <c r="BV248" s="446"/>
      <c r="BW248" s="446"/>
      <c r="BX248" s="446"/>
      <c r="BY248" s="446"/>
      <c r="BZ248" s="446"/>
      <c r="CA248" s="446"/>
      <c r="CB248" s="446"/>
      <c r="CC248" s="446"/>
      <c r="CD248" s="446"/>
      <c r="CE248" s="446"/>
      <c r="CF248" s="68"/>
      <c r="CG248" s="448"/>
      <c r="CH248" s="448"/>
      <c r="CI248" s="448"/>
      <c r="CJ248" s="83" t="str">
        <f t="shared" si="63"/>
        <v>No aplica</v>
      </c>
      <c r="CK248" s="83" t="str">
        <f t="shared" si="64"/>
        <v>No aplica</v>
      </c>
      <c r="CL248" s="83" t="str">
        <f t="shared" si="53"/>
        <v>No requiere reporte</v>
      </c>
      <c r="CM248" s="89" t="str">
        <f t="shared" si="54"/>
        <v>No requiere reporte</v>
      </c>
      <c r="CN248" s="89" t="str">
        <f t="shared" si="55"/>
        <v>No requiere reporte</v>
      </c>
      <c r="CO248" s="394" t="s">
        <v>2282</v>
      </c>
      <c r="CP248" s="394" t="s">
        <v>2283</v>
      </c>
      <c r="CQ248" s="658" t="s">
        <v>2284</v>
      </c>
      <c r="CR248" s="394" t="s">
        <v>2285</v>
      </c>
      <c r="CS248" s="394" t="s">
        <v>2286</v>
      </c>
      <c r="CT248" s="394" t="s">
        <v>200</v>
      </c>
      <c r="CU248" s="394" t="s">
        <v>233</v>
      </c>
      <c r="CV248" s="394">
        <v>2</v>
      </c>
      <c r="CW248" s="394" t="s">
        <v>234</v>
      </c>
      <c r="CX248" s="395">
        <v>46037</v>
      </c>
      <c r="CY248" s="395">
        <v>46387</v>
      </c>
      <c r="CZ248" s="661">
        <f>1+3</f>
        <v>4</v>
      </c>
      <c r="DA248" s="661">
        <v>2</v>
      </c>
      <c r="DB248" s="661">
        <f>2+2</f>
        <v>4</v>
      </c>
      <c r="DC248" s="661">
        <f>1+3</f>
        <v>4</v>
      </c>
      <c r="DD248" s="391">
        <f t="shared" si="67"/>
        <v>14</v>
      </c>
      <c r="DE248" s="394" t="s">
        <v>514</v>
      </c>
      <c r="DF248" s="394" t="s">
        <v>1743</v>
      </c>
      <c r="DG248" s="394" t="s">
        <v>1744</v>
      </c>
      <c r="DH248" s="397">
        <v>1104500000</v>
      </c>
      <c r="DI248" s="394" t="s">
        <v>182</v>
      </c>
      <c r="DJ248" s="643" t="s">
        <v>628</v>
      </c>
      <c r="DK248" s="643" t="s">
        <v>1745</v>
      </c>
      <c r="DL248" s="394" t="s">
        <v>279</v>
      </c>
      <c r="DM248" s="394" t="s">
        <v>2275</v>
      </c>
      <c r="DN248" s="446"/>
      <c r="DO248" s="654"/>
      <c r="DP248" s="446"/>
      <c r="DQ248" s="390"/>
      <c r="DR248" s="390"/>
      <c r="DS248" s="446"/>
      <c r="DT248" s="646"/>
      <c r="DU248" s="390"/>
      <c r="DV248" s="390"/>
      <c r="DW248" s="390"/>
      <c r="DX248" s="446"/>
      <c r="DY248" s="646"/>
      <c r="DZ248" s="390"/>
      <c r="EA248" s="390"/>
      <c r="EB248" s="390"/>
      <c r="EC248" s="68"/>
      <c r="ED248" s="68"/>
      <c r="EE248" s="68"/>
      <c r="EF248" s="68"/>
      <c r="EG248" s="68"/>
      <c r="EH248" s="390"/>
      <c r="EI248" s="68"/>
      <c r="EJ248" s="68"/>
      <c r="EK248" s="68"/>
      <c r="EL248" s="91" t="str">
        <f t="shared" si="56"/>
        <v>No se reportó avance</v>
      </c>
      <c r="EM248" s="83" t="str">
        <f t="shared" si="57"/>
        <v>No se reportó avance</v>
      </c>
      <c r="EN248" s="646" t="s">
        <v>4682</v>
      </c>
      <c r="EO248" s="69" t="str">
        <f t="shared" si="65"/>
        <v>Gestión</v>
      </c>
      <c r="EP248" s="69" t="str">
        <f t="shared" si="66"/>
        <v>6</v>
      </c>
    </row>
    <row r="249" spans="1:146" ht="150" customHeight="1">
      <c r="A249" s="390" t="s">
        <v>1718</v>
      </c>
      <c r="B249" s="398" t="s">
        <v>1719</v>
      </c>
      <c r="C249" s="399" t="s">
        <v>1720</v>
      </c>
      <c r="D249" s="400" t="s">
        <v>1721</v>
      </c>
      <c r="E249" s="401" t="s">
        <v>2238</v>
      </c>
      <c r="F249" s="390" t="s">
        <v>182</v>
      </c>
      <c r="G249" s="390" t="s">
        <v>2287</v>
      </c>
      <c r="H249" s="390" t="s">
        <v>2269</v>
      </c>
      <c r="I249" s="390" t="s">
        <v>728</v>
      </c>
      <c r="J249" s="390" t="s">
        <v>1723</v>
      </c>
      <c r="K249" s="390" t="s">
        <v>1757</v>
      </c>
      <c r="L249" s="402">
        <v>14</v>
      </c>
      <c r="M249" s="390" t="s">
        <v>2240</v>
      </c>
      <c r="N249" s="390" t="s">
        <v>2241</v>
      </c>
      <c r="O249" s="390" t="s">
        <v>2242</v>
      </c>
      <c r="P249" s="390" t="s">
        <v>200</v>
      </c>
      <c r="Q249" s="390" t="s">
        <v>233</v>
      </c>
      <c r="R249" s="390">
        <v>2973</v>
      </c>
      <c r="S249" s="390" t="s">
        <v>234</v>
      </c>
      <c r="T249" s="437">
        <v>44927</v>
      </c>
      <c r="U249" s="403">
        <v>46387</v>
      </c>
      <c r="V249" s="68"/>
      <c r="W249" s="68"/>
      <c r="X249" s="68"/>
      <c r="Y249" s="68"/>
      <c r="Z249" s="446"/>
      <c r="AA249" s="446"/>
      <c r="AB249" s="446"/>
      <c r="AC249" s="446"/>
      <c r="AD249" s="446"/>
      <c r="AE249" s="446"/>
      <c r="AF249" s="446"/>
      <c r="AG249" s="446"/>
      <c r="AH249" s="446"/>
      <c r="AI249" s="446"/>
      <c r="AJ249" s="446"/>
      <c r="AK249" s="447"/>
      <c r="AL249" s="447"/>
      <c r="AM249" s="447"/>
      <c r="AN249" s="447"/>
      <c r="AO249" s="447"/>
      <c r="AP249" s="447"/>
      <c r="AQ249" s="68"/>
      <c r="AR249" s="68"/>
      <c r="AS249" s="68"/>
      <c r="AT249" s="68"/>
      <c r="AU249" s="68"/>
      <c r="AV249" s="68"/>
      <c r="AW249" s="68"/>
      <c r="AX249" s="68"/>
      <c r="AY249" s="68"/>
      <c r="AZ249" s="68"/>
      <c r="BA249" s="68"/>
      <c r="BB249" s="68"/>
      <c r="BC249" s="68"/>
      <c r="BD249" s="68"/>
      <c r="BE249" s="68"/>
      <c r="BF249" s="68"/>
      <c r="BG249" s="68"/>
      <c r="BH249" s="68"/>
      <c r="BI249" s="68"/>
      <c r="BJ249" s="68"/>
      <c r="BK249" s="446"/>
      <c r="BL249" s="390"/>
      <c r="BM249" s="446"/>
      <c r="BN249" s="390"/>
      <c r="BO249" s="446"/>
      <c r="BP249" s="390"/>
      <c r="BQ249" s="68"/>
      <c r="BR249" s="68"/>
      <c r="BS249" s="446"/>
      <c r="BT249" s="446"/>
      <c r="BU249" s="446"/>
      <c r="BV249" s="446"/>
      <c r="BW249" s="446"/>
      <c r="BX249" s="446"/>
      <c r="BY249" s="446"/>
      <c r="BZ249" s="446"/>
      <c r="CA249" s="446"/>
      <c r="CB249" s="446"/>
      <c r="CC249" s="446"/>
      <c r="CD249" s="446"/>
      <c r="CE249" s="446"/>
      <c r="CF249" s="68"/>
      <c r="CG249" s="448"/>
      <c r="CH249" s="448"/>
      <c r="CI249" s="448"/>
      <c r="CJ249" s="83" t="str">
        <f t="shared" si="63"/>
        <v>No aplica</v>
      </c>
      <c r="CK249" s="83" t="str">
        <f t="shared" si="64"/>
        <v>No aplica</v>
      </c>
      <c r="CL249" s="83" t="str">
        <f t="shared" si="53"/>
        <v>No requiere reporte</v>
      </c>
      <c r="CM249" s="89" t="str">
        <f t="shared" si="54"/>
        <v>No requiere reporte</v>
      </c>
      <c r="CN249" s="89" t="str">
        <f t="shared" si="55"/>
        <v>No requiere reporte</v>
      </c>
      <c r="CO249" s="394" t="s">
        <v>2288</v>
      </c>
      <c r="CP249" s="394" t="s">
        <v>2289</v>
      </c>
      <c r="CQ249" s="394" t="s">
        <v>1907</v>
      </c>
      <c r="CR249" s="842" t="s">
        <v>2218</v>
      </c>
      <c r="CS249" s="842" t="s">
        <v>2219</v>
      </c>
      <c r="CT249" s="394" t="s">
        <v>200</v>
      </c>
      <c r="CU249" s="394" t="s">
        <v>233</v>
      </c>
      <c r="CV249" s="396" t="s">
        <v>182</v>
      </c>
      <c r="CW249" s="394" t="s">
        <v>234</v>
      </c>
      <c r="CX249" s="395">
        <v>46037</v>
      </c>
      <c r="CY249" s="395">
        <v>46387</v>
      </c>
      <c r="CZ249" s="396">
        <v>3</v>
      </c>
      <c r="DA249" s="396">
        <v>5</v>
      </c>
      <c r="DB249" s="396">
        <v>7</v>
      </c>
      <c r="DC249" s="661">
        <v>7</v>
      </c>
      <c r="DD249" s="391">
        <f t="shared" si="67"/>
        <v>22</v>
      </c>
      <c r="DE249" s="394" t="s">
        <v>514</v>
      </c>
      <c r="DF249" s="394" t="s">
        <v>1743</v>
      </c>
      <c r="DG249" s="394" t="s">
        <v>1744</v>
      </c>
      <c r="DH249" s="397">
        <v>555265000</v>
      </c>
      <c r="DI249" s="394" t="s">
        <v>182</v>
      </c>
      <c r="DJ249" s="643" t="s">
        <v>628</v>
      </c>
      <c r="DK249" s="643" t="s">
        <v>1745</v>
      </c>
      <c r="DL249" s="394" t="s">
        <v>279</v>
      </c>
      <c r="DM249" s="394" t="s">
        <v>2275</v>
      </c>
      <c r="DN249" s="449"/>
      <c r="DO249" s="654"/>
      <c r="DP249" s="830"/>
      <c r="DQ249" s="390"/>
      <c r="DR249" s="390"/>
      <c r="DS249" s="449"/>
      <c r="DT249" s="646"/>
      <c r="DU249" s="406"/>
      <c r="DV249" s="390"/>
      <c r="DW249" s="390"/>
      <c r="DX249" s="449"/>
      <c r="DY249" s="646"/>
      <c r="DZ249" s="829"/>
      <c r="EA249" s="390"/>
      <c r="EB249" s="390"/>
      <c r="EC249" s="656"/>
      <c r="ED249" s="68"/>
      <c r="EE249" s="68"/>
      <c r="EF249" s="68"/>
      <c r="EG249" s="68"/>
      <c r="EH249" s="398"/>
      <c r="EI249" s="68"/>
      <c r="EJ249" s="68"/>
      <c r="EK249" s="68"/>
      <c r="EL249" s="91" t="str">
        <f t="shared" si="56"/>
        <v>No se reportó avance</v>
      </c>
      <c r="EM249" s="83" t="str">
        <f t="shared" si="57"/>
        <v>No se reportó avance</v>
      </c>
      <c r="EN249" s="646" t="s">
        <v>4682</v>
      </c>
      <c r="EO249" s="69" t="str">
        <f t="shared" si="65"/>
        <v>Gestión</v>
      </c>
      <c r="EP249" s="69" t="str">
        <f t="shared" si="66"/>
        <v>6</v>
      </c>
    </row>
    <row r="250" spans="1:146" ht="150" customHeight="1">
      <c r="A250" s="390" t="s">
        <v>1718</v>
      </c>
      <c r="B250" s="398" t="s">
        <v>1719</v>
      </c>
      <c r="C250" s="399" t="s">
        <v>1720</v>
      </c>
      <c r="D250" s="400" t="s">
        <v>1721</v>
      </c>
      <c r="E250" s="401" t="s">
        <v>2238</v>
      </c>
      <c r="F250" s="390" t="s">
        <v>182</v>
      </c>
      <c r="G250" s="390" t="s">
        <v>182</v>
      </c>
      <c r="H250" s="390" t="s">
        <v>2269</v>
      </c>
      <c r="I250" s="390" t="s">
        <v>728</v>
      </c>
      <c r="J250" s="390" t="s">
        <v>1723</v>
      </c>
      <c r="K250" s="390" t="s">
        <v>182</v>
      </c>
      <c r="L250" s="402">
        <v>14</v>
      </c>
      <c r="M250" s="390" t="s">
        <v>2240</v>
      </c>
      <c r="N250" s="390" t="s">
        <v>2241</v>
      </c>
      <c r="O250" s="390" t="s">
        <v>2242</v>
      </c>
      <c r="P250" s="390" t="s">
        <v>200</v>
      </c>
      <c r="Q250" s="390" t="s">
        <v>233</v>
      </c>
      <c r="R250" s="390">
        <v>2973</v>
      </c>
      <c r="S250" s="390" t="s">
        <v>234</v>
      </c>
      <c r="T250" s="437">
        <v>44927</v>
      </c>
      <c r="U250" s="403">
        <v>46387</v>
      </c>
      <c r="V250" s="68"/>
      <c r="W250" s="68"/>
      <c r="X250" s="68"/>
      <c r="Y250" s="68"/>
      <c r="Z250" s="446"/>
      <c r="AA250" s="446"/>
      <c r="AB250" s="446"/>
      <c r="AC250" s="446"/>
      <c r="AD250" s="446"/>
      <c r="AE250" s="446"/>
      <c r="AF250" s="446"/>
      <c r="AG250" s="446"/>
      <c r="AH250" s="446"/>
      <c r="AI250" s="446"/>
      <c r="AJ250" s="446"/>
      <c r="AK250" s="447"/>
      <c r="AL250" s="447"/>
      <c r="AM250" s="447"/>
      <c r="AN250" s="447"/>
      <c r="AO250" s="447"/>
      <c r="AP250" s="447"/>
      <c r="AQ250" s="68"/>
      <c r="AR250" s="68"/>
      <c r="AS250" s="68"/>
      <c r="AT250" s="68"/>
      <c r="AU250" s="68"/>
      <c r="AV250" s="68"/>
      <c r="AW250" s="68"/>
      <c r="AX250" s="68"/>
      <c r="AY250" s="68"/>
      <c r="AZ250" s="68"/>
      <c r="BA250" s="68"/>
      <c r="BB250" s="68"/>
      <c r="BC250" s="68"/>
      <c r="BD250" s="68"/>
      <c r="BE250" s="68"/>
      <c r="BF250" s="68"/>
      <c r="BG250" s="68"/>
      <c r="BH250" s="68"/>
      <c r="BI250" s="68"/>
      <c r="BJ250" s="68"/>
      <c r="BK250" s="446"/>
      <c r="BL250" s="390"/>
      <c r="BM250" s="446"/>
      <c r="BN250" s="390"/>
      <c r="BO250" s="446"/>
      <c r="BP250" s="390"/>
      <c r="BQ250" s="68"/>
      <c r="BR250" s="68"/>
      <c r="BS250" s="446"/>
      <c r="BT250" s="446"/>
      <c r="BU250" s="446"/>
      <c r="BV250" s="446"/>
      <c r="BW250" s="446"/>
      <c r="BX250" s="446"/>
      <c r="BY250" s="446"/>
      <c r="BZ250" s="446"/>
      <c r="CA250" s="446"/>
      <c r="CB250" s="446"/>
      <c r="CC250" s="446"/>
      <c r="CD250" s="446"/>
      <c r="CE250" s="446"/>
      <c r="CF250" s="68"/>
      <c r="CG250" s="448"/>
      <c r="CH250" s="448"/>
      <c r="CI250" s="448"/>
      <c r="CJ250" s="83" t="str">
        <f t="shared" si="63"/>
        <v>No aplica</v>
      </c>
      <c r="CK250" s="83" t="str">
        <f t="shared" si="64"/>
        <v>No aplica</v>
      </c>
      <c r="CL250" s="83" t="str">
        <f t="shared" si="53"/>
        <v>No requiere reporte</v>
      </c>
      <c r="CM250" s="89" t="str">
        <f t="shared" si="54"/>
        <v>No requiere reporte</v>
      </c>
      <c r="CN250" s="89" t="str">
        <f t="shared" si="55"/>
        <v>No requiere reporte</v>
      </c>
      <c r="CO250" s="394" t="s">
        <v>2290</v>
      </c>
      <c r="CP250" s="394" t="s">
        <v>2291</v>
      </c>
      <c r="CQ250" s="658" t="s">
        <v>2292</v>
      </c>
      <c r="CR250" s="394" t="s">
        <v>2293</v>
      </c>
      <c r="CS250" s="394" t="s">
        <v>2294</v>
      </c>
      <c r="CT250" s="394" t="s">
        <v>200</v>
      </c>
      <c r="CU250" s="394" t="s">
        <v>233</v>
      </c>
      <c r="CV250" s="394" t="s">
        <v>182</v>
      </c>
      <c r="CW250" s="394" t="s">
        <v>234</v>
      </c>
      <c r="CX250" s="395">
        <v>46037</v>
      </c>
      <c r="CY250" s="395">
        <v>46387</v>
      </c>
      <c r="CZ250" s="396">
        <v>1</v>
      </c>
      <c r="DA250" s="396">
        <v>15</v>
      </c>
      <c r="DB250" s="396">
        <v>20</v>
      </c>
      <c r="DC250" s="661">
        <v>8</v>
      </c>
      <c r="DD250" s="391">
        <f t="shared" si="67"/>
        <v>44</v>
      </c>
      <c r="DE250" s="394" t="s">
        <v>514</v>
      </c>
      <c r="DF250" s="394" t="s">
        <v>1743</v>
      </c>
      <c r="DG250" s="394" t="s">
        <v>1744</v>
      </c>
      <c r="DH250" s="397">
        <v>2857985191</v>
      </c>
      <c r="DI250" s="394" t="s">
        <v>182</v>
      </c>
      <c r="DJ250" s="643" t="s">
        <v>628</v>
      </c>
      <c r="DK250" s="643" t="s">
        <v>1745</v>
      </c>
      <c r="DL250" s="394" t="s">
        <v>279</v>
      </c>
      <c r="DM250" s="394" t="s">
        <v>2275</v>
      </c>
      <c r="DN250" s="449"/>
      <c r="DO250" s="654"/>
      <c r="DP250" s="830"/>
      <c r="DQ250" s="390"/>
      <c r="DR250" s="390"/>
      <c r="DS250" s="449"/>
      <c r="DT250" s="646"/>
      <c r="DU250" s="406"/>
      <c r="DV250" s="390"/>
      <c r="DW250" s="390"/>
      <c r="DX250" s="449"/>
      <c r="DY250" s="646"/>
      <c r="DZ250" s="829"/>
      <c r="EA250" s="390"/>
      <c r="EB250" s="390"/>
      <c r="EC250" s="656"/>
      <c r="ED250" s="68"/>
      <c r="EE250" s="68"/>
      <c r="EF250" s="68"/>
      <c r="EG250" s="68"/>
      <c r="EH250" s="398"/>
      <c r="EI250" s="68"/>
      <c r="EJ250" s="68"/>
      <c r="EK250" s="68"/>
      <c r="EL250" s="91" t="str">
        <f t="shared" si="56"/>
        <v>No se reportó avance</v>
      </c>
      <c r="EM250" s="83" t="str">
        <f t="shared" si="57"/>
        <v>No se reportó avance</v>
      </c>
      <c r="EN250" s="646"/>
      <c r="EO250" s="69" t="str">
        <f t="shared" si="65"/>
        <v>Gestión</v>
      </c>
      <c r="EP250" s="69" t="str">
        <f t="shared" si="66"/>
        <v>6</v>
      </c>
    </row>
    <row r="251" spans="1:146" ht="150" customHeight="1">
      <c r="A251" s="390" t="s">
        <v>1718</v>
      </c>
      <c r="B251" s="398" t="s">
        <v>1719</v>
      </c>
      <c r="C251" s="399" t="s">
        <v>1720</v>
      </c>
      <c r="D251" s="400" t="s">
        <v>1721</v>
      </c>
      <c r="E251" s="401" t="s">
        <v>2238</v>
      </c>
      <c r="F251" s="390" t="s">
        <v>182</v>
      </c>
      <c r="G251" s="390" t="s">
        <v>182</v>
      </c>
      <c r="H251" s="390" t="s">
        <v>2269</v>
      </c>
      <c r="I251" s="390" t="s">
        <v>728</v>
      </c>
      <c r="J251" s="390" t="s">
        <v>1723</v>
      </c>
      <c r="K251" s="390" t="s">
        <v>182</v>
      </c>
      <c r="L251" s="402">
        <v>14</v>
      </c>
      <c r="M251" s="390" t="s">
        <v>2240</v>
      </c>
      <c r="N251" s="390" t="s">
        <v>2241</v>
      </c>
      <c r="O251" s="390" t="s">
        <v>2242</v>
      </c>
      <c r="P251" s="390" t="s">
        <v>200</v>
      </c>
      <c r="Q251" s="390" t="s">
        <v>233</v>
      </c>
      <c r="R251" s="390">
        <v>2973</v>
      </c>
      <c r="S251" s="390" t="s">
        <v>234</v>
      </c>
      <c r="T251" s="437">
        <v>44927</v>
      </c>
      <c r="U251" s="403">
        <v>46387</v>
      </c>
      <c r="V251" s="68"/>
      <c r="W251" s="68"/>
      <c r="X251" s="68"/>
      <c r="Y251" s="68"/>
      <c r="Z251" s="446"/>
      <c r="AA251" s="446"/>
      <c r="AB251" s="446"/>
      <c r="AC251" s="446"/>
      <c r="AD251" s="446"/>
      <c r="AE251" s="446"/>
      <c r="AF251" s="446"/>
      <c r="AG251" s="446"/>
      <c r="AH251" s="446"/>
      <c r="AI251" s="446"/>
      <c r="AJ251" s="446"/>
      <c r="AK251" s="447"/>
      <c r="AL251" s="447"/>
      <c r="AM251" s="447"/>
      <c r="AN251" s="447"/>
      <c r="AO251" s="447"/>
      <c r="AP251" s="447"/>
      <c r="AQ251" s="68"/>
      <c r="AR251" s="68"/>
      <c r="AS251" s="68"/>
      <c r="AT251" s="68"/>
      <c r="AU251" s="68"/>
      <c r="AV251" s="68"/>
      <c r="AW251" s="68"/>
      <c r="AX251" s="68"/>
      <c r="AY251" s="68"/>
      <c r="AZ251" s="68"/>
      <c r="BA251" s="68"/>
      <c r="BB251" s="68"/>
      <c r="BC251" s="68"/>
      <c r="BD251" s="68"/>
      <c r="BE251" s="68"/>
      <c r="BF251" s="68"/>
      <c r="BG251" s="68"/>
      <c r="BH251" s="68"/>
      <c r="BI251" s="68"/>
      <c r="BJ251" s="68"/>
      <c r="BK251" s="446"/>
      <c r="BL251" s="390"/>
      <c r="BM251" s="446"/>
      <c r="BN251" s="390"/>
      <c r="BO251" s="446"/>
      <c r="BP251" s="390"/>
      <c r="BQ251" s="68"/>
      <c r="BR251" s="68"/>
      <c r="BS251" s="446"/>
      <c r="BT251" s="446"/>
      <c r="BU251" s="446"/>
      <c r="BV251" s="446"/>
      <c r="BW251" s="446"/>
      <c r="BX251" s="446"/>
      <c r="BY251" s="446"/>
      <c r="BZ251" s="446"/>
      <c r="CA251" s="446"/>
      <c r="CB251" s="446"/>
      <c r="CC251" s="446"/>
      <c r="CD251" s="446"/>
      <c r="CE251" s="446"/>
      <c r="CF251" s="68"/>
      <c r="CG251" s="448"/>
      <c r="CH251" s="448"/>
      <c r="CI251" s="448"/>
      <c r="CJ251" s="83" t="str">
        <f t="shared" si="63"/>
        <v>No aplica</v>
      </c>
      <c r="CK251" s="83" t="str">
        <f t="shared" si="64"/>
        <v>No aplica</v>
      </c>
      <c r="CL251" s="83" t="str">
        <f t="shared" si="53"/>
        <v>No requiere reporte</v>
      </c>
      <c r="CM251" s="89" t="str">
        <f t="shared" si="54"/>
        <v>No requiere reporte</v>
      </c>
      <c r="CN251" s="89" t="str">
        <f t="shared" si="55"/>
        <v>No requiere reporte</v>
      </c>
      <c r="CO251" s="394" t="s">
        <v>2295</v>
      </c>
      <c r="CP251" s="394" t="s">
        <v>2296</v>
      </c>
      <c r="CQ251" s="658" t="s">
        <v>1881</v>
      </c>
      <c r="CR251" s="394" t="s">
        <v>2297</v>
      </c>
      <c r="CS251" s="394" t="s">
        <v>2298</v>
      </c>
      <c r="CT251" s="394" t="s">
        <v>161</v>
      </c>
      <c r="CU251" s="394" t="s">
        <v>233</v>
      </c>
      <c r="CV251" s="394">
        <v>487</v>
      </c>
      <c r="CW251" s="394" t="s">
        <v>234</v>
      </c>
      <c r="CX251" s="395">
        <v>46037</v>
      </c>
      <c r="CY251" s="395">
        <v>46387</v>
      </c>
      <c r="CZ251" s="396">
        <v>0</v>
      </c>
      <c r="DA251" s="396">
        <v>0</v>
      </c>
      <c r="DB251" s="396">
        <v>0</v>
      </c>
      <c r="DC251" s="661">
        <v>475</v>
      </c>
      <c r="DD251" s="391">
        <f t="shared" si="67"/>
        <v>475</v>
      </c>
      <c r="DE251" s="394" t="s">
        <v>514</v>
      </c>
      <c r="DF251" s="394" t="s">
        <v>1743</v>
      </c>
      <c r="DG251" s="394" t="s">
        <v>1744</v>
      </c>
      <c r="DH251" s="397">
        <v>37403827371</v>
      </c>
      <c r="DI251" s="394" t="s">
        <v>182</v>
      </c>
      <c r="DJ251" s="643" t="s">
        <v>628</v>
      </c>
      <c r="DK251" s="643" t="s">
        <v>1745</v>
      </c>
      <c r="DL251" s="394" t="s">
        <v>4688</v>
      </c>
      <c r="DM251" s="394" t="s">
        <v>2275</v>
      </c>
      <c r="DN251" s="449"/>
      <c r="DO251" s="654"/>
      <c r="DP251" s="830"/>
      <c r="DQ251" s="390"/>
      <c r="DR251" s="390"/>
      <c r="DS251" s="449"/>
      <c r="DT251" s="646"/>
      <c r="DU251" s="406"/>
      <c r="DV251" s="390"/>
      <c r="DW251" s="390"/>
      <c r="DX251" s="449"/>
      <c r="DY251" s="646"/>
      <c r="DZ251" s="829"/>
      <c r="EA251" s="390"/>
      <c r="EB251" s="390"/>
      <c r="EC251" s="656"/>
      <c r="ED251" s="68"/>
      <c r="EE251" s="68"/>
      <c r="EF251" s="68"/>
      <c r="EG251" s="68"/>
      <c r="EH251" s="398"/>
      <c r="EI251" s="68"/>
      <c r="EJ251" s="68"/>
      <c r="EK251" s="68"/>
      <c r="EL251" s="91" t="str">
        <f t="shared" si="56"/>
        <v>No aplica, no hay meta</v>
      </c>
      <c r="EM251" s="83" t="str">
        <f t="shared" si="57"/>
        <v>No se reportó avance</v>
      </c>
      <c r="EN251" s="646"/>
      <c r="EO251" s="69" t="str">
        <f t="shared" si="65"/>
        <v>Gestión</v>
      </c>
      <c r="EP251" s="69" t="str">
        <f t="shared" si="66"/>
        <v>6</v>
      </c>
    </row>
    <row r="252" spans="1:146" ht="150" customHeight="1">
      <c r="A252" s="390" t="s">
        <v>1718</v>
      </c>
      <c r="B252" s="398" t="s">
        <v>1719</v>
      </c>
      <c r="C252" s="399" t="s">
        <v>1720</v>
      </c>
      <c r="D252" s="400" t="s">
        <v>1721</v>
      </c>
      <c r="E252" s="401" t="s">
        <v>2238</v>
      </c>
      <c r="F252" s="390" t="s">
        <v>182</v>
      </c>
      <c r="G252" s="390" t="s">
        <v>182</v>
      </c>
      <c r="H252" s="390" t="s">
        <v>2269</v>
      </c>
      <c r="I252" s="390" t="s">
        <v>728</v>
      </c>
      <c r="J252" s="390" t="s">
        <v>1723</v>
      </c>
      <c r="K252" s="390" t="s">
        <v>182</v>
      </c>
      <c r="L252" s="402">
        <v>14</v>
      </c>
      <c r="M252" s="390" t="s">
        <v>2240</v>
      </c>
      <c r="N252" s="390" t="s">
        <v>2241</v>
      </c>
      <c r="O252" s="390" t="s">
        <v>2242</v>
      </c>
      <c r="P252" s="390" t="s">
        <v>200</v>
      </c>
      <c r="Q252" s="390" t="s">
        <v>233</v>
      </c>
      <c r="R252" s="390">
        <v>2973</v>
      </c>
      <c r="S252" s="390" t="s">
        <v>234</v>
      </c>
      <c r="T252" s="437">
        <v>44927</v>
      </c>
      <c r="U252" s="403">
        <v>46387</v>
      </c>
      <c r="V252" s="68"/>
      <c r="W252" s="68"/>
      <c r="X252" s="68"/>
      <c r="Y252" s="68"/>
      <c r="Z252" s="446"/>
      <c r="AA252" s="446"/>
      <c r="AB252" s="446"/>
      <c r="AC252" s="446"/>
      <c r="AD252" s="446"/>
      <c r="AE252" s="446"/>
      <c r="AF252" s="446"/>
      <c r="AG252" s="446"/>
      <c r="AH252" s="446"/>
      <c r="AI252" s="446"/>
      <c r="AJ252" s="446"/>
      <c r="AK252" s="447"/>
      <c r="AL252" s="447"/>
      <c r="AM252" s="447"/>
      <c r="AN252" s="447"/>
      <c r="AO252" s="447"/>
      <c r="AP252" s="447"/>
      <c r="AQ252" s="68"/>
      <c r="AR252" s="68"/>
      <c r="AS252" s="68"/>
      <c r="AT252" s="68"/>
      <c r="AU252" s="68"/>
      <c r="AV252" s="68"/>
      <c r="AW252" s="68"/>
      <c r="AX252" s="68"/>
      <c r="AY252" s="68"/>
      <c r="AZ252" s="68"/>
      <c r="BA252" s="68"/>
      <c r="BB252" s="68"/>
      <c r="BC252" s="68"/>
      <c r="BD252" s="68"/>
      <c r="BE252" s="68"/>
      <c r="BF252" s="68"/>
      <c r="BG252" s="68"/>
      <c r="BH252" s="68"/>
      <c r="BI252" s="68"/>
      <c r="BJ252" s="68"/>
      <c r="BK252" s="446"/>
      <c r="BL252" s="390"/>
      <c r="BM252" s="446"/>
      <c r="BN252" s="390"/>
      <c r="BO252" s="446"/>
      <c r="BP252" s="390"/>
      <c r="BQ252" s="68"/>
      <c r="BR252" s="68"/>
      <c r="BS252" s="446"/>
      <c r="BT252" s="446"/>
      <c r="BU252" s="446"/>
      <c r="BV252" s="446"/>
      <c r="BW252" s="446"/>
      <c r="BX252" s="446"/>
      <c r="BY252" s="446"/>
      <c r="BZ252" s="446"/>
      <c r="CA252" s="446"/>
      <c r="CB252" s="446"/>
      <c r="CC252" s="446"/>
      <c r="CD252" s="446"/>
      <c r="CE252" s="446"/>
      <c r="CF252" s="68"/>
      <c r="CG252" s="448"/>
      <c r="CH252" s="448"/>
      <c r="CI252" s="448"/>
      <c r="CJ252" s="83" t="str">
        <f t="shared" si="63"/>
        <v>No aplica</v>
      </c>
      <c r="CK252" s="83" t="str">
        <f t="shared" si="64"/>
        <v>No aplica</v>
      </c>
      <c r="CL252" s="83" t="str">
        <f t="shared" si="53"/>
        <v>No requiere reporte</v>
      </c>
      <c r="CM252" s="89" t="str">
        <f t="shared" si="54"/>
        <v>No requiere reporte</v>
      </c>
      <c r="CN252" s="89" t="str">
        <f t="shared" si="55"/>
        <v>No requiere reporte</v>
      </c>
      <c r="CO252" s="394" t="s">
        <v>2299</v>
      </c>
      <c r="CP252" s="394" t="s">
        <v>2300</v>
      </c>
      <c r="CQ252" s="658" t="s">
        <v>2301</v>
      </c>
      <c r="CR252" s="394" t="s">
        <v>2302</v>
      </c>
      <c r="CS252" s="394" t="s">
        <v>2303</v>
      </c>
      <c r="CT252" s="394" t="s">
        <v>953</v>
      </c>
      <c r="CU252" s="394" t="s">
        <v>233</v>
      </c>
      <c r="CV252" s="394" t="s">
        <v>182</v>
      </c>
      <c r="CW252" s="394" t="s">
        <v>234</v>
      </c>
      <c r="CX252" s="395">
        <v>46037</v>
      </c>
      <c r="CY252" s="395">
        <v>46387</v>
      </c>
      <c r="CZ252" s="396">
        <v>33</v>
      </c>
      <c r="DA252" s="396">
        <v>0</v>
      </c>
      <c r="DB252" s="396">
        <v>0</v>
      </c>
      <c r="DC252" s="661">
        <v>0</v>
      </c>
      <c r="DD252" s="391">
        <f t="shared" si="67"/>
        <v>33</v>
      </c>
      <c r="DE252" s="394" t="s">
        <v>514</v>
      </c>
      <c r="DF252" s="394" t="s">
        <v>1743</v>
      </c>
      <c r="DG252" s="394" t="s">
        <v>1744</v>
      </c>
      <c r="DH252" s="397">
        <v>459363317</v>
      </c>
      <c r="DI252" s="394" t="s">
        <v>182</v>
      </c>
      <c r="DJ252" s="643" t="s">
        <v>628</v>
      </c>
      <c r="DK252" s="643" t="s">
        <v>1745</v>
      </c>
      <c r="DL252" s="394" t="s">
        <v>279</v>
      </c>
      <c r="DM252" s="394" t="s">
        <v>2275</v>
      </c>
      <c r="DN252" s="449"/>
      <c r="DO252" s="654"/>
      <c r="DP252" s="830"/>
      <c r="DQ252" s="390"/>
      <c r="DR252" s="390"/>
      <c r="DS252" s="449"/>
      <c r="DT252" s="646"/>
      <c r="DU252" s="406"/>
      <c r="DV252" s="390"/>
      <c r="DW252" s="390"/>
      <c r="DX252" s="449"/>
      <c r="DY252" s="646"/>
      <c r="DZ252" s="829"/>
      <c r="EA252" s="390"/>
      <c r="EB252" s="390"/>
      <c r="EC252" s="656"/>
      <c r="ED252" s="68"/>
      <c r="EE252" s="68"/>
      <c r="EF252" s="68"/>
      <c r="EG252" s="68"/>
      <c r="EH252" s="398"/>
      <c r="EI252" s="68"/>
      <c r="EJ252" s="68"/>
      <c r="EK252" s="68"/>
      <c r="EL252" s="91" t="str">
        <f t="shared" si="56"/>
        <v>No se reportó avance</v>
      </c>
      <c r="EM252" s="83" t="str">
        <f t="shared" si="57"/>
        <v>No se reportó avance</v>
      </c>
      <c r="EN252" s="646" t="s">
        <v>4682</v>
      </c>
      <c r="EO252" s="69" t="str">
        <f t="shared" si="65"/>
        <v>Gestión</v>
      </c>
      <c r="EP252" s="69" t="str">
        <f t="shared" si="66"/>
        <v>6</v>
      </c>
    </row>
    <row r="253" spans="1:146" ht="150" customHeight="1">
      <c r="A253" s="390" t="s">
        <v>1718</v>
      </c>
      <c r="B253" s="398" t="s">
        <v>1719</v>
      </c>
      <c r="C253" s="399" t="s">
        <v>1720</v>
      </c>
      <c r="D253" s="400" t="s">
        <v>1721</v>
      </c>
      <c r="E253" s="401" t="s">
        <v>2238</v>
      </c>
      <c r="F253" s="390" t="s">
        <v>182</v>
      </c>
      <c r="G253" s="390" t="s">
        <v>182</v>
      </c>
      <c r="H253" s="390" t="s">
        <v>2304</v>
      </c>
      <c r="I253" s="390" t="s">
        <v>728</v>
      </c>
      <c r="J253" s="390" t="s">
        <v>1723</v>
      </c>
      <c r="K253" s="390" t="s">
        <v>182</v>
      </c>
      <c r="L253" s="402">
        <v>14</v>
      </c>
      <c r="M253" s="390" t="s">
        <v>2240</v>
      </c>
      <c r="N253" s="390" t="s">
        <v>2241</v>
      </c>
      <c r="O253" s="390" t="s">
        <v>2242</v>
      </c>
      <c r="P253" s="390" t="s">
        <v>200</v>
      </c>
      <c r="Q253" s="390" t="s">
        <v>233</v>
      </c>
      <c r="R253" s="390">
        <v>2973</v>
      </c>
      <c r="S253" s="390" t="s">
        <v>234</v>
      </c>
      <c r="T253" s="437">
        <v>44927</v>
      </c>
      <c r="U253" s="403">
        <v>46387</v>
      </c>
      <c r="V253" s="68"/>
      <c r="W253" s="68"/>
      <c r="X253" s="68"/>
      <c r="Y253" s="68"/>
      <c r="Z253" s="446"/>
      <c r="AA253" s="446"/>
      <c r="AB253" s="446"/>
      <c r="AC253" s="446"/>
      <c r="AD253" s="446"/>
      <c r="AE253" s="446"/>
      <c r="AF253" s="446"/>
      <c r="AG253" s="446"/>
      <c r="AH253" s="446"/>
      <c r="AI253" s="446"/>
      <c r="AJ253" s="446"/>
      <c r="AK253" s="447"/>
      <c r="AL253" s="447"/>
      <c r="AM253" s="447"/>
      <c r="AN253" s="447"/>
      <c r="AO253" s="447"/>
      <c r="AP253" s="447"/>
      <c r="AQ253" s="68"/>
      <c r="AR253" s="68"/>
      <c r="AS253" s="68"/>
      <c r="AT253" s="68"/>
      <c r="AU253" s="68"/>
      <c r="AV253" s="68"/>
      <c r="AW253" s="68"/>
      <c r="AX253" s="68"/>
      <c r="AY253" s="68"/>
      <c r="AZ253" s="68"/>
      <c r="BA253" s="68"/>
      <c r="BB253" s="68"/>
      <c r="BC253" s="68"/>
      <c r="BD253" s="68"/>
      <c r="BE253" s="68"/>
      <c r="BF253" s="68"/>
      <c r="BG253" s="68"/>
      <c r="BH253" s="68"/>
      <c r="BI253" s="68"/>
      <c r="BJ253" s="68"/>
      <c r="BK253" s="446"/>
      <c r="BL253" s="390"/>
      <c r="BM253" s="446"/>
      <c r="BN253" s="390"/>
      <c r="BO253" s="446"/>
      <c r="BP253" s="390"/>
      <c r="BQ253" s="68"/>
      <c r="BR253" s="68"/>
      <c r="BS253" s="446"/>
      <c r="BT253" s="446"/>
      <c r="BU253" s="446"/>
      <c r="BV253" s="446"/>
      <c r="BW253" s="446"/>
      <c r="BX253" s="446"/>
      <c r="BY253" s="446"/>
      <c r="BZ253" s="446"/>
      <c r="CA253" s="446"/>
      <c r="CB253" s="446"/>
      <c r="CC253" s="446"/>
      <c r="CD253" s="446"/>
      <c r="CE253" s="446"/>
      <c r="CF253" s="68"/>
      <c r="CG253" s="448"/>
      <c r="CH253" s="448"/>
      <c r="CI253" s="448"/>
      <c r="CJ253" s="83" t="str">
        <f t="shared" si="63"/>
        <v>No aplica</v>
      </c>
      <c r="CK253" s="83" t="str">
        <f t="shared" si="64"/>
        <v>No aplica</v>
      </c>
      <c r="CL253" s="83" t="str">
        <f t="shared" si="53"/>
        <v>No requiere reporte</v>
      </c>
      <c r="CM253" s="89" t="str">
        <f t="shared" si="54"/>
        <v>No requiere reporte</v>
      </c>
      <c r="CN253" s="89" t="str">
        <f t="shared" si="55"/>
        <v>No requiere reporte</v>
      </c>
      <c r="CO253" s="394" t="s">
        <v>2305</v>
      </c>
      <c r="CP253" s="394" t="s">
        <v>2306</v>
      </c>
      <c r="CQ253" s="658" t="s">
        <v>2307</v>
      </c>
      <c r="CR253" s="394" t="s">
        <v>2308</v>
      </c>
      <c r="CS253" s="658" t="s">
        <v>2309</v>
      </c>
      <c r="CT253" s="394" t="s">
        <v>200</v>
      </c>
      <c r="CU253" s="394" t="s">
        <v>233</v>
      </c>
      <c r="CV253" s="394" t="s">
        <v>182</v>
      </c>
      <c r="CW253" s="394" t="s">
        <v>234</v>
      </c>
      <c r="CX253" s="395">
        <v>46037</v>
      </c>
      <c r="CY253" s="395">
        <v>46387</v>
      </c>
      <c r="CZ253" s="396">
        <v>1</v>
      </c>
      <c r="DA253" s="396">
        <v>2</v>
      </c>
      <c r="DB253" s="396">
        <v>2</v>
      </c>
      <c r="DC253" s="661">
        <v>0</v>
      </c>
      <c r="DD253" s="391">
        <f t="shared" si="67"/>
        <v>5</v>
      </c>
      <c r="DE253" s="394" t="s">
        <v>514</v>
      </c>
      <c r="DF253" s="394" t="s">
        <v>1743</v>
      </c>
      <c r="DG253" s="394" t="s">
        <v>1744</v>
      </c>
      <c r="DH253" s="397">
        <v>234725001</v>
      </c>
      <c r="DI253" s="394" t="s">
        <v>182</v>
      </c>
      <c r="DJ253" s="643" t="s">
        <v>628</v>
      </c>
      <c r="DK253" s="643" t="s">
        <v>1745</v>
      </c>
      <c r="DL253" s="394" t="s">
        <v>279</v>
      </c>
      <c r="DM253" s="394" t="s">
        <v>2111</v>
      </c>
      <c r="DN253" s="449"/>
      <c r="DO253" s="654"/>
      <c r="DP253" s="830"/>
      <c r="DQ253" s="390"/>
      <c r="DR253" s="390"/>
      <c r="DS253" s="449"/>
      <c r="DT253" s="646"/>
      <c r="DU253" s="406"/>
      <c r="DV253" s="390"/>
      <c r="DW253" s="390"/>
      <c r="DX253" s="449"/>
      <c r="DY253" s="646"/>
      <c r="DZ253" s="829"/>
      <c r="EA253" s="390"/>
      <c r="EB253" s="390"/>
      <c r="EC253" s="656"/>
      <c r="ED253" s="68"/>
      <c r="EE253" s="68"/>
      <c r="EF253" s="68"/>
      <c r="EG253" s="68"/>
      <c r="EH253" s="398"/>
      <c r="EI253" s="68"/>
      <c r="EJ253" s="68"/>
      <c r="EK253" s="68"/>
      <c r="EL253" s="91" t="str">
        <f t="shared" si="56"/>
        <v>No se reportó avance</v>
      </c>
      <c r="EM253" s="83" t="str">
        <f t="shared" si="57"/>
        <v>No se reportó avance</v>
      </c>
      <c r="EN253" s="646" t="s">
        <v>4682</v>
      </c>
      <c r="EO253" s="69" t="str">
        <f t="shared" si="65"/>
        <v>Gestión</v>
      </c>
      <c r="EP253" s="69" t="str">
        <f t="shared" si="66"/>
        <v>6</v>
      </c>
    </row>
    <row r="254" spans="1:146" ht="150" customHeight="1">
      <c r="A254" s="390" t="s">
        <v>1718</v>
      </c>
      <c r="B254" s="398" t="s">
        <v>1719</v>
      </c>
      <c r="C254" s="399" t="s">
        <v>1720</v>
      </c>
      <c r="D254" s="400" t="s">
        <v>1721</v>
      </c>
      <c r="E254" s="401" t="s">
        <v>2238</v>
      </c>
      <c r="F254" s="390" t="s">
        <v>182</v>
      </c>
      <c r="G254" s="390" t="s">
        <v>182</v>
      </c>
      <c r="H254" s="390" t="s">
        <v>2310</v>
      </c>
      <c r="I254" s="390" t="s">
        <v>728</v>
      </c>
      <c r="J254" s="390" t="s">
        <v>1723</v>
      </c>
      <c r="K254" s="390" t="s">
        <v>182</v>
      </c>
      <c r="L254" s="402">
        <v>14</v>
      </c>
      <c r="M254" s="390" t="s">
        <v>2240</v>
      </c>
      <c r="N254" s="390" t="s">
        <v>2241</v>
      </c>
      <c r="O254" s="390" t="s">
        <v>2242</v>
      </c>
      <c r="P254" s="390" t="s">
        <v>200</v>
      </c>
      <c r="Q254" s="390" t="s">
        <v>233</v>
      </c>
      <c r="R254" s="390">
        <v>2973</v>
      </c>
      <c r="S254" s="390" t="s">
        <v>234</v>
      </c>
      <c r="T254" s="437">
        <v>44927</v>
      </c>
      <c r="U254" s="403">
        <v>46387</v>
      </c>
      <c r="V254" s="68"/>
      <c r="W254" s="68"/>
      <c r="X254" s="68"/>
      <c r="Y254" s="68"/>
      <c r="Z254" s="446"/>
      <c r="AA254" s="446"/>
      <c r="AB254" s="446"/>
      <c r="AC254" s="446"/>
      <c r="AD254" s="446"/>
      <c r="AE254" s="446"/>
      <c r="AF254" s="446"/>
      <c r="AG254" s="446"/>
      <c r="AH254" s="446"/>
      <c r="AI254" s="446"/>
      <c r="AJ254" s="446"/>
      <c r="AK254" s="447"/>
      <c r="AL254" s="447"/>
      <c r="AM254" s="447"/>
      <c r="AN254" s="447"/>
      <c r="AO254" s="447"/>
      <c r="AP254" s="447"/>
      <c r="AQ254" s="68"/>
      <c r="AR254" s="68"/>
      <c r="AS254" s="68"/>
      <c r="AT254" s="68"/>
      <c r="AU254" s="68"/>
      <c r="AV254" s="68"/>
      <c r="AW254" s="68"/>
      <c r="AX254" s="68"/>
      <c r="AY254" s="68"/>
      <c r="AZ254" s="68"/>
      <c r="BA254" s="68"/>
      <c r="BB254" s="68"/>
      <c r="BC254" s="68"/>
      <c r="BD254" s="68"/>
      <c r="BE254" s="68"/>
      <c r="BF254" s="68"/>
      <c r="BG254" s="68"/>
      <c r="BH254" s="68"/>
      <c r="BI254" s="68"/>
      <c r="BJ254" s="68"/>
      <c r="BK254" s="446"/>
      <c r="BL254" s="390"/>
      <c r="BM254" s="446"/>
      <c r="BN254" s="390"/>
      <c r="BO254" s="446"/>
      <c r="BP254" s="390"/>
      <c r="BQ254" s="68"/>
      <c r="BR254" s="68"/>
      <c r="BS254" s="446"/>
      <c r="BT254" s="446"/>
      <c r="BU254" s="446"/>
      <c r="BV254" s="446"/>
      <c r="BW254" s="446"/>
      <c r="BX254" s="446"/>
      <c r="BY254" s="446"/>
      <c r="BZ254" s="446"/>
      <c r="CA254" s="446"/>
      <c r="CB254" s="446"/>
      <c r="CC254" s="446"/>
      <c r="CD254" s="446"/>
      <c r="CE254" s="446"/>
      <c r="CF254" s="68"/>
      <c r="CG254" s="448"/>
      <c r="CH254" s="448"/>
      <c r="CI254" s="448"/>
      <c r="CJ254" s="83" t="str">
        <f t="shared" si="63"/>
        <v>No aplica</v>
      </c>
      <c r="CK254" s="83" t="str">
        <f t="shared" si="64"/>
        <v>No aplica</v>
      </c>
      <c r="CL254" s="83" t="str">
        <f t="shared" si="53"/>
        <v>No requiere reporte</v>
      </c>
      <c r="CM254" s="89" t="str">
        <f t="shared" si="54"/>
        <v>No requiere reporte</v>
      </c>
      <c r="CN254" s="89" t="str">
        <f t="shared" si="55"/>
        <v>No requiere reporte</v>
      </c>
      <c r="CO254" s="394" t="s">
        <v>2311</v>
      </c>
      <c r="CP254" s="394" t="s">
        <v>2312</v>
      </c>
      <c r="CQ254" s="658" t="s">
        <v>1963</v>
      </c>
      <c r="CR254" s="658" t="s">
        <v>2313</v>
      </c>
      <c r="CS254" s="658" t="s">
        <v>2314</v>
      </c>
      <c r="CT254" s="394" t="s">
        <v>200</v>
      </c>
      <c r="CU254" s="394" t="s">
        <v>233</v>
      </c>
      <c r="CV254" s="394" t="s">
        <v>182</v>
      </c>
      <c r="CW254" s="394" t="s">
        <v>234</v>
      </c>
      <c r="CX254" s="395">
        <v>46037</v>
      </c>
      <c r="CY254" s="395">
        <v>46387</v>
      </c>
      <c r="CZ254" s="396">
        <v>1</v>
      </c>
      <c r="DA254" s="396">
        <v>3</v>
      </c>
      <c r="DB254" s="396">
        <v>4</v>
      </c>
      <c r="DC254" s="661">
        <v>3</v>
      </c>
      <c r="DD254" s="391">
        <f t="shared" si="67"/>
        <v>11</v>
      </c>
      <c r="DE254" s="394" t="s">
        <v>514</v>
      </c>
      <c r="DF254" s="394" t="s">
        <v>1743</v>
      </c>
      <c r="DG254" s="394" t="s">
        <v>1744</v>
      </c>
      <c r="DH254" s="397">
        <v>183000000</v>
      </c>
      <c r="DI254" s="394" t="s">
        <v>182</v>
      </c>
      <c r="DJ254" s="643" t="s">
        <v>628</v>
      </c>
      <c r="DK254" s="643" t="s">
        <v>1745</v>
      </c>
      <c r="DL254" s="394" t="s">
        <v>279</v>
      </c>
      <c r="DM254" s="394" t="s">
        <v>2111</v>
      </c>
      <c r="DN254" s="449"/>
      <c r="DO254" s="654"/>
      <c r="DP254" s="830"/>
      <c r="DQ254" s="390"/>
      <c r="DR254" s="390"/>
      <c r="DS254" s="449"/>
      <c r="DT254" s="646"/>
      <c r="DU254" s="406"/>
      <c r="DV254" s="390"/>
      <c r="DW254" s="390"/>
      <c r="DX254" s="449"/>
      <c r="DY254" s="646"/>
      <c r="DZ254" s="829"/>
      <c r="EA254" s="390"/>
      <c r="EB254" s="390"/>
      <c r="EC254" s="656"/>
      <c r="ED254" s="68"/>
      <c r="EE254" s="68"/>
      <c r="EF254" s="68"/>
      <c r="EG254" s="68"/>
      <c r="EH254" s="398"/>
      <c r="EI254" s="68"/>
      <c r="EJ254" s="68"/>
      <c r="EK254" s="68"/>
      <c r="EL254" s="91" t="str">
        <f t="shared" si="56"/>
        <v>No se reportó avance</v>
      </c>
      <c r="EM254" s="83" t="str">
        <f t="shared" si="57"/>
        <v>No se reportó avance</v>
      </c>
      <c r="EN254" s="646"/>
      <c r="EO254" s="69" t="str">
        <f t="shared" si="65"/>
        <v>Gestión</v>
      </c>
      <c r="EP254" s="69" t="str">
        <f t="shared" si="66"/>
        <v>6</v>
      </c>
    </row>
    <row r="255" spans="1:146" ht="150" customHeight="1">
      <c r="A255" s="377" t="s">
        <v>1718</v>
      </c>
      <c r="B255" s="378" t="s">
        <v>1719</v>
      </c>
      <c r="C255" s="379" t="s">
        <v>2315</v>
      </c>
      <c r="D255" s="380" t="s">
        <v>1721</v>
      </c>
      <c r="E255" s="381" t="s">
        <v>2238</v>
      </c>
      <c r="F255" s="377" t="s">
        <v>182</v>
      </c>
      <c r="G255" s="377" t="s">
        <v>182</v>
      </c>
      <c r="H255" s="377" t="s">
        <v>2316</v>
      </c>
      <c r="I255" s="377" t="s">
        <v>728</v>
      </c>
      <c r="J255" s="377" t="s">
        <v>1723</v>
      </c>
      <c r="K255" s="377" t="s">
        <v>182</v>
      </c>
      <c r="L255" s="382">
        <v>15</v>
      </c>
      <c r="M255" s="382" t="s">
        <v>2317</v>
      </c>
      <c r="N255" s="382" t="s">
        <v>2318</v>
      </c>
      <c r="O255" s="382" t="s">
        <v>2319</v>
      </c>
      <c r="P255" s="382" t="s">
        <v>161</v>
      </c>
      <c r="Q255" s="382" t="s">
        <v>233</v>
      </c>
      <c r="R255" s="382">
        <v>487</v>
      </c>
      <c r="S255" s="382" t="s">
        <v>234</v>
      </c>
      <c r="T255" s="436">
        <v>44927</v>
      </c>
      <c r="U255" s="384">
        <v>46387</v>
      </c>
      <c r="V255" s="452">
        <v>0</v>
      </c>
      <c r="W255" s="452">
        <v>0</v>
      </c>
      <c r="X255" s="452">
        <v>0</v>
      </c>
      <c r="Y255" s="452">
        <v>1691</v>
      </c>
      <c r="Z255" s="452">
        <f>+SUM(V255:Y255)</f>
        <v>1691</v>
      </c>
      <c r="AA255" s="453">
        <v>0</v>
      </c>
      <c r="AB255" s="453">
        <v>97</v>
      </c>
      <c r="AC255" s="453">
        <v>0</v>
      </c>
      <c r="AD255" s="453">
        <v>3404</v>
      </c>
      <c r="AE255" s="453">
        <f>+SUM(AA255:AD255)</f>
        <v>3501</v>
      </c>
      <c r="AF255" s="453">
        <v>0</v>
      </c>
      <c r="AG255" s="453">
        <v>0</v>
      </c>
      <c r="AH255" s="453">
        <v>0</v>
      </c>
      <c r="AI255" s="453">
        <v>1604</v>
      </c>
      <c r="AJ255" s="453">
        <f>+SUM(AF255:AI255)</f>
        <v>1604</v>
      </c>
      <c r="AK255" s="454">
        <f>SUM(CZ258:CZ262)</f>
        <v>0</v>
      </c>
      <c r="AL255" s="454">
        <f>SUM(DA258:DA262)</f>
        <v>5</v>
      </c>
      <c r="AM255" s="454">
        <f>SUM(DB258:DB262)</f>
        <v>1205</v>
      </c>
      <c r="AN255" s="454">
        <f>SUM(DC258:DC262)</f>
        <v>202</v>
      </c>
      <c r="AO255" s="454">
        <f>SUM(AK255:AN255)</f>
        <v>1412</v>
      </c>
      <c r="AP255" s="454">
        <f>+AO255+AJ255+AE255+Z255</f>
        <v>8208</v>
      </c>
      <c r="AQ255" s="662" t="s">
        <v>182</v>
      </c>
      <c r="AR255" s="389" t="s">
        <v>2320</v>
      </c>
      <c r="AS255" s="662" t="s">
        <v>201</v>
      </c>
      <c r="AT255" s="389" t="s">
        <v>253</v>
      </c>
      <c r="AU255" s="662" t="s">
        <v>201</v>
      </c>
      <c r="AV255" s="389" t="s">
        <v>2321</v>
      </c>
      <c r="AW255" s="390">
        <v>0</v>
      </c>
      <c r="AX255" s="644" t="s">
        <v>2322</v>
      </c>
      <c r="AY255" s="390">
        <v>0</v>
      </c>
      <c r="AZ255" s="644" t="s">
        <v>2323</v>
      </c>
      <c r="BA255" s="662" t="s">
        <v>182</v>
      </c>
      <c r="BB255" s="646" t="s">
        <v>2324</v>
      </c>
      <c r="BC255" s="391">
        <v>103</v>
      </c>
      <c r="BD255" s="646" t="s">
        <v>2325</v>
      </c>
      <c r="BE255" s="662" t="s">
        <v>182</v>
      </c>
      <c r="BF255" s="390" t="s">
        <v>2326</v>
      </c>
      <c r="BG255" s="391">
        <v>619</v>
      </c>
      <c r="BH255" s="390" t="s">
        <v>2327</v>
      </c>
      <c r="BI255" s="391">
        <f>+BG255+BC255</f>
        <v>722</v>
      </c>
      <c r="BJ255" s="390" t="s">
        <v>2328</v>
      </c>
      <c r="BK255" s="446" t="s">
        <v>182</v>
      </c>
      <c r="BL255" s="390" t="s">
        <v>2329</v>
      </c>
      <c r="BM255" s="446" t="s">
        <v>182</v>
      </c>
      <c r="BN255" s="390" t="s">
        <v>2329</v>
      </c>
      <c r="BO255" s="446">
        <v>44</v>
      </c>
      <c r="BP255" s="390" t="s">
        <v>2330</v>
      </c>
      <c r="BQ255" s="68"/>
      <c r="BR255" s="68"/>
      <c r="BS255" s="390">
        <f>+BO255</f>
        <v>44</v>
      </c>
      <c r="BT255" s="446"/>
      <c r="BU255" s="446"/>
      <c r="BV255" s="446"/>
      <c r="BW255" s="446"/>
      <c r="BX255" s="446"/>
      <c r="BY255" s="446"/>
      <c r="BZ255" s="446"/>
      <c r="CA255" s="446"/>
      <c r="CB255" s="446"/>
      <c r="CC255" s="390"/>
      <c r="CD255" s="446"/>
      <c r="CE255" s="391">
        <v>766</v>
      </c>
      <c r="CF255" s="68"/>
      <c r="CG255" s="450">
        <f>SUM(DH255:DH262)</f>
        <v>15000000000</v>
      </c>
      <c r="CH255" s="448"/>
      <c r="CI255" s="448"/>
      <c r="CJ255" s="83">
        <f t="shared" si="63"/>
        <v>0</v>
      </c>
      <c r="CK255" s="83">
        <f t="shared" si="64"/>
        <v>0</v>
      </c>
      <c r="CL255" s="83" t="str">
        <f t="shared" si="53"/>
        <v>No aplica, no hay meta</v>
      </c>
      <c r="CM255" s="89" t="str">
        <f t="shared" si="54"/>
        <v>No se reportó avance</v>
      </c>
      <c r="CN255" s="89">
        <f t="shared" si="55"/>
        <v>9.3323586744639378E-2</v>
      </c>
      <c r="CO255" s="394" t="s">
        <v>2331</v>
      </c>
      <c r="CP255" s="394" t="s">
        <v>2332</v>
      </c>
      <c r="CQ255" s="658" t="s">
        <v>2333</v>
      </c>
      <c r="CR255" s="658" t="s">
        <v>2334</v>
      </c>
      <c r="CS255" s="658" t="s">
        <v>2335</v>
      </c>
      <c r="CT255" s="394" t="s">
        <v>161</v>
      </c>
      <c r="CU255" s="394" t="s">
        <v>233</v>
      </c>
      <c r="CV255" s="658" t="s">
        <v>182</v>
      </c>
      <c r="CW255" s="394" t="s">
        <v>234</v>
      </c>
      <c r="CX255" s="395">
        <v>46037</v>
      </c>
      <c r="CY255" s="395">
        <v>46387</v>
      </c>
      <c r="CZ255" s="396">
        <v>1</v>
      </c>
      <c r="DA255" s="396">
        <v>0</v>
      </c>
      <c r="DB255" s="396">
        <v>0</v>
      </c>
      <c r="DC255" s="396">
        <v>43</v>
      </c>
      <c r="DD255" s="391">
        <f>SUM(CZ255:DC255)</f>
        <v>44</v>
      </c>
      <c r="DE255" s="394" t="s">
        <v>265</v>
      </c>
      <c r="DF255" s="394" t="s">
        <v>2336</v>
      </c>
      <c r="DG255" s="394" t="s">
        <v>2337</v>
      </c>
      <c r="DH255" s="397">
        <v>739700000</v>
      </c>
      <c r="DI255" s="394" t="s">
        <v>182</v>
      </c>
      <c r="DJ255" s="643" t="s">
        <v>628</v>
      </c>
      <c r="DK255" s="643" t="s">
        <v>1745</v>
      </c>
      <c r="DL255" s="394" t="s">
        <v>279</v>
      </c>
      <c r="DM255" s="394" t="s">
        <v>2275</v>
      </c>
      <c r="DN255" s="446"/>
      <c r="DO255" s="654"/>
      <c r="DP255" s="446"/>
      <c r="DQ255" s="390"/>
      <c r="DR255" s="390"/>
      <c r="DS255" s="446"/>
      <c r="DT255" s="646"/>
      <c r="DU255" s="390"/>
      <c r="DV255" s="390"/>
      <c r="DW255" s="390"/>
      <c r="DX255" s="446"/>
      <c r="DY255" s="646"/>
      <c r="DZ255" s="390"/>
      <c r="EA255" s="390"/>
      <c r="EB255" s="390"/>
      <c r="EC255" s="68"/>
      <c r="ED255" s="68"/>
      <c r="EE255" s="68"/>
      <c r="EF255" s="68"/>
      <c r="EG255" s="68"/>
      <c r="EH255" s="390"/>
      <c r="EI255" s="68"/>
      <c r="EJ255" s="68"/>
      <c r="EK255" s="68"/>
      <c r="EL255" s="91" t="str">
        <f t="shared" si="56"/>
        <v>No se reportó avance</v>
      </c>
      <c r="EM255" s="83" t="str">
        <f t="shared" si="57"/>
        <v>No se reportó avance</v>
      </c>
      <c r="EN255" s="646"/>
      <c r="EO255" s="69" t="str">
        <f t="shared" si="65"/>
        <v>Producto</v>
      </c>
      <c r="EP255" s="69" t="str">
        <f t="shared" si="66"/>
        <v>6</v>
      </c>
    </row>
    <row r="256" spans="1:146" ht="150" customHeight="1">
      <c r="A256" s="390" t="s">
        <v>1718</v>
      </c>
      <c r="B256" s="398" t="s">
        <v>1719</v>
      </c>
      <c r="C256" s="399" t="s">
        <v>2233</v>
      </c>
      <c r="D256" s="400" t="s">
        <v>1721</v>
      </c>
      <c r="E256" s="401" t="s">
        <v>2338</v>
      </c>
      <c r="F256" s="390" t="s">
        <v>182</v>
      </c>
      <c r="G256" s="390" t="s">
        <v>182</v>
      </c>
      <c r="H256" s="390" t="s">
        <v>2269</v>
      </c>
      <c r="I256" s="390" t="s">
        <v>728</v>
      </c>
      <c r="J256" s="390" t="s">
        <v>1723</v>
      </c>
      <c r="K256" s="390" t="s">
        <v>182</v>
      </c>
      <c r="L256" s="402">
        <v>15</v>
      </c>
      <c r="M256" s="390" t="s">
        <v>2317</v>
      </c>
      <c r="N256" s="390" t="s">
        <v>2318</v>
      </c>
      <c r="O256" s="390" t="s">
        <v>2319</v>
      </c>
      <c r="P256" s="390" t="s">
        <v>161</v>
      </c>
      <c r="Q256" s="390" t="s">
        <v>233</v>
      </c>
      <c r="R256" s="390">
        <v>487</v>
      </c>
      <c r="S256" s="390" t="s">
        <v>234</v>
      </c>
      <c r="T256" s="437">
        <v>44927</v>
      </c>
      <c r="U256" s="403">
        <v>46387</v>
      </c>
      <c r="V256" s="68"/>
      <c r="W256" s="68"/>
      <c r="X256" s="68"/>
      <c r="Y256" s="68"/>
      <c r="Z256" s="446"/>
      <c r="AA256" s="446"/>
      <c r="AB256" s="446"/>
      <c r="AC256" s="446"/>
      <c r="AD256" s="446"/>
      <c r="AE256" s="446"/>
      <c r="AF256" s="446"/>
      <c r="AG256" s="446"/>
      <c r="AH256" s="446"/>
      <c r="AI256" s="446"/>
      <c r="AJ256" s="446"/>
      <c r="AK256" s="447"/>
      <c r="AL256" s="447"/>
      <c r="AM256" s="447"/>
      <c r="AN256" s="447"/>
      <c r="AO256" s="447"/>
      <c r="AP256" s="447"/>
      <c r="AQ256" s="68"/>
      <c r="AR256" s="68"/>
      <c r="AS256" s="68"/>
      <c r="AT256" s="68"/>
      <c r="AU256" s="68"/>
      <c r="AV256" s="68"/>
      <c r="AW256" s="68"/>
      <c r="AX256" s="68"/>
      <c r="AY256" s="68"/>
      <c r="AZ256" s="68"/>
      <c r="BA256" s="68"/>
      <c r="BB256" s="68"/>
      <c r="BC256" s="68"/>
      <c r="BD256" s="68"/>
      <c r="BE256" s="68"/>
      <c r="BF256" s="68"/>
      <c r="BG256" s="68"/>
      <c r="BH256" s="68"/>
      <c r="BI256" s="68"/>
      <c r="BJ256" s="68"/>
      <c r="BK256" s="446"/>
      <c r="BL256" s="390"/>
      <c r="BM256" s="446"/>
      <c r="BN256" s="390"/>
      <c r="BO256" s="446"/>
      <c r="BP256" s="390"/>
      <c r="BQ256" s="68"/>
      <c r="BR256" s="68"/>
      <c r="BS256" s="446"/>
      <c r="BT256" s="446"/>
      <c r="BU256" s="446"/>
      <c r="BV256" s="446"/>
      <c r="BW256" s="446"/>
      <c r="BX256" s="446"/>
      <c r="BY256" s="446"/>
      <c r="BZ256" s="446"/>
      <c r="CA256" s="446"/>
      <c r="CB256" s="446"/>
      <c r="CC256" s="446"/>
      <c r="CD256" s="446"/>
      <c r="CE256" s="446"/>
      <c r="CF256" s="68"/>
      <c r="CG256" s="448"/>
      <c r="CH256" s="448"/>
      <c r="CI256" s="448"/>
      <c r="CJ256" s="83" t="str">
        <f t="shared" si="63"/>
        <v>No aplica</v>
      </c>
      <c r="CK256" s="83" t="str">
        <f t="shared" si="64"/>
        <v>No aplica</v>
      </c>
      <c r="CL256" s="83" t="str">
        <f t="shared" si="53"/>
        <v>No requiere reporte</v>
      </c>
      <c r="CM256" s="89" t="str">
        <f t="shared" si="54"/>
        <v>No requiere reporte</v>
      </c>
      <c r="CN256" s="89" t="str">
        <f t="shared" si="55"/>
        <v>No requiere reporte</v>
      </c>
      <c r="CO256" s="394" t="s">
        <v>2339</v>
      </c>
      <c r="CP256" s="394" t="s">
        <v>2340</v>
      </c>
      <c r="CQ256" s="658" t="s">
        <v>2029</v>
      </c>
      <c r="CR256" s="658" t="s">
        <v>2341</v>
      </c>
      <c r="CS256" s="658" t="s">
        <v>2342</v>
      </c>
      <c r="CT256" s="394" t="s">
        <v>161</v>
      </c>
      <c r="CU256" s="394" t="s">
        <v>233</v>
      </c>
      <c r="CV256" s="658" t="s">
        <v>182</v>
      </c>
      <c r="CW256" s="394" t="s">
        <v>234</v>
      </c>
      <c r="CX256" s="395">
        <v>46037</v>
      </c>
      <c r="CY256" s="395">
        <v>46387</v>
      </c>
      <c r="CZ256" s="396">
        <v>0</v>
      </c>
      <c r="DA256" s="396">
        <v>342</v>
      </c>
      <c r="DB256" s="396">
        <v>0</v>
      </c>
      <c r="DC256" s="396">
        <v>0</v>
      </c>
      <c r="DD256" s="391">
        <f>SUM(CZ256:DC256)</f>
        <v>342</v>
      </c>
      <c r="DE256" s="394" t="s">
        <v>265</v>
      </c>
      <c r="DF256" s="394" t="s">
        <v>2336</v>
      </c>
      <c r="DG256" s="394" t="s">
        <v>2337</v>
      </c>
      <c r="DH256" s="397">
        <v>1200000000</v>
      </c>
      <c r="DI256" s="394" t="s">
        <v>182</v>
      </c>
      <c r="DJ256" s="643" t="s">
        <v>628</v>
      </c>
      <c r="DK256" s="643" t="s">
        <v>1745</v>
      </c>
      <c r="DL256" s="394" t="s">
        <v>279</v>
      </c>
      <c r="DM256" s="394" t="s">
        <v>2343</v>
      </c>
      <c r="DN256" s="446"/>
      <c r="DO256" s="654"/>
      <c r="DP256" s="446"/>
      <c r="DQ256" s="390"/>
      <c r="DR256" s="390"/>
      <c r="DS256" s="446"/>
      <c r="DT256" s="646"/>
      <c r="DU256" s="390"/>
      <c r="DV256" s="390"/>
      <c r="DW256" s="390"/>
      <c r="DX256" s="446"/>
      <c r="DY256" s="646"/>
      <c r="DZ256" s="829"/>
      <c r="EA256" s="390"/>
      <c r="EB256" s="390"/>
      <c r="EC256" s="68"/>
      <c r="ED256" s="68"/>
      <c r="EE256" s="68"/>
      <c r="EF256" s="68"/>
      <c r="EG256" s="68"/>
      <c r="EH256" s="390"/>
      <c r="EI256" s="68"/>
      <c r="EJ256" s="68"/>
      <c r="EK256" s="68"/>
      <c r="EL256" s="91" t="str">
        <f t="shared" si="56"/>
        <v>No aplica, no hay meta</v>
      </c>
      <c r="EM256" s="83" t="str">
        <f t="shared" si="57"/>
        <v>No se reportó avance</v>
      </c>
      <c r="EN256" s="646"/>
      <c r="EO256" s="69" t="str">
        <f t="shared" si="65"/>
        <v>Producto</v>
      </c>
      <c r="EP256" s="69" t="str">
        <f t="shared" si="66"/>
        <v>6</v>
      </c>
    </row>
    <row r="257" spans="1:146" ht="150" customHeight="1">
      <c r="A257" s="390" t="s">
        <v>1718</v>
      </c>
      <c r="B257" s="398" t="s">
        <v>1719</v>
      </c>
      <c r="C257" s="399" t="s">
        <v>2233</v>
      </c>
      <c r="D257" s="400" t="s">
        <v>1721</v>
      </c>
      <c r="E257" s="401" t="s">
        <v>2338</v>
      </c>
      <c r="F257" s="390" t="s">
        <v>182</v>
      </c>
      <c r="G257" s="390" t="s">
        <v>182</v>
      </c>
      <c r="H257" s="390" t="s">
        <v>2269</v>
      </c>
      <c r="I257" s="390" t="s">
        <v>728</v>
      </c>
      <c r="J257" s="390" t="s">
        <v>1723</v>
      </c>
      <c r="K257" s="390" t="s">
        <v>182</v>
      </c>
      <c r="L257" s="402">
        <v>15</v>
      </c>
      <c r="M257" s="390" t="s">
        <v>2317</v>
      </c>
      <c r="N257" s="390" t="s">
        <v>2318</v>
      </c>
      <c r="O257" s="390" t="s">
        <v>2319</v>
      </c>
      <c r="P257" s="390" t="s">
        <v>161</v>
      </c>
      <c r="Q257" s="390" t="s">
        <v>233</v>
      </c>
      <c r="R257" s="390">
        <v>487</v>
      </c>
      <c r="S257" s="390" t="s">
        <v>234</v>
      </c>
      <c r="T257" s="437">
        <v>44927</v>
      </c>
      <c r="U257" s="403">
        <v>46387</v>
      </c>
      <c r="V257" s="68"/>
      <c r="W257" s="68"/>
      <c r="X257" s="68"/>
      <c r="Y257" s="68"/>
      <c r="Z257" s="446"/>
      <c r="AA257" s="446"/>
      <c r="AB257" s="446"/>
      <c r="AC257" s="446"/>
      <c r="AD257" s="446"/>
      <c r="AE257" s="446"/>
      <c r="AF257" s="446"/>
      <c r="AG257" s="446"/>
      <c r="AH257" s="446"/>
      <c r="AI257" s="446"/>
      <c r="AJ257" s="446"/>
      <c r="AK257" s="447"/>
      <c r="AL257" s="447"/>
      <c r="AM257" s="447"/>
      <c r="AN257" s="447"/>
      <c r="AO257" s="447"/>
      <c r="AP257" s="447"/>
      <c r="AQ257" s="68"/>
      <c r="AR257" s="68"/>
      <c r="AS257" s="68"/>
      <c r="AT257" s="68"/>
      <c r="AU257" s="68"/>
      <c r="AV257" s="68"/>
      <c r="AW257" s="68"/>
      <c r="AX257" s="68"/>
      <c r="AY257" s="68"/>
      <c r="AZ257" s="68"/>
      <c r="BA257" s="68"/>
      <c r="BB257" s="68"/>
      <c r="BC257" s="68"/>
      <c r="BD257" s="68"/>
      <c r="BE257" s="68"/>
      <c r="BF257" s="68"/>
      <c r="BG257" s="68"/>
      <c r="BH257" s="68"/>
      <c r="BI257" s="68"/>
      <c r="BJ257" s="68"/>
      <c r="BK257" s="446"/>
      <c r="BL257" s="390"/>
      <c r="BM257" s="446"/>
      <c r="BN257" s="390"/>
      <c r="BO257" s="446"/>
      <c r="BP257" s="390"/>
      <c r="BQ257" s="68"/>
      <c r="BR257" s="68"/>
      <c r="BS257" s="446"/>
      <c r="BT257" s="446"/>
      <c r="BU257" s="446"/>
      <c r="BV257" s="446"/>
      <c r="BW257" s="446"/>
      <c r="BX257" s="446"/>
      <c r="BY257" s="446"/>
      <c r="BZ257" s="446"/>
      <c r="CA257" s="446"/>
      <c r="CB257" s="446"/>
      <c r="CC257" s="446"/>
      <c r="CD257" s="446"/>
      <c r="CE257" s="446"/>
      <c r="CF257" s="68"/>
      <c r="CG257" s="448"/>
      <c r="CH257" s="448"/>
      <c r="CI257" s="448"/>
      <c r="CJ257" s="83" t="str">
        <f>+IFERROR(CH257/CG257,"No aplica")</f>
        <v>No aplica</v>
      </c>
      <c r="CK257" s="83" t="str">
        <f>+IFERROR(CI257/CG257,"No aplica")</f>
        <v>No aplica</v>
      </c>
      <c r="CL257" s="83" t="str">
        <f t="shared" si="53"/>
        <v>No requiere reporte</v>
      </c>
      <c r="CM257" s="89" t="str">
        <f t="shared" si="54"/>
        <v>No requiere reporte</v>
      </c>
      <c r="CN257" s="89" t="str">
        <f t="shared" si="55"/>
        <v>No requiere reporte</v>
      </c>
      <c r="CO257" s="394" t="s">
        <v>2344</v>
      </c>
      <c r="CP257" s="394" t="s">
        <v>2345</v>
      </c>
      <c r="CQ257" s="658" t="s">
        <v>2029</v>
      </c>
      <c r="CR257" s="658" t="s">
        <v>283</v>
      </c>
      <c r="CS257" s="658" t="s">
        <v>2346</v>
      </c>
      <c r="CT257" s="394" t="s">
        <v>161</v>
      </c>
      <c r="CU257" s="394" t="s">
        <v>233</v>
      </c>
      <c r="CV257" s="658" t="s">
        <v>182</v>
      </c>
      <c r="CW257" s="394" t="s">
        <v>234</v>
      </c>
      <c r="CX257" s="395">
        <v>46037</v>
      </c>
      <c r="CY257" s="395">
        <v>46387</v>
      </c>
      <c r="CZ257" s="396">
        <v>0</v>
      </c>
      <c r="DA257" s="396">
        <v>0</v>
      </c>
      <c r="DB257" s="396">
        <v>1200</v>
      </c>
      <c r="DC257" s="661">
        <v>0</v>
      </c>
      <c r="DD257" s="391">
        <f>SUM(CZ257:DC257)</f>
        <v>1200</v>
      </c>
      <c r="DE257" s="394" t="s">
        <v>265</v>
      </c>
      <c r="DF257" s="394" t="s">
        <v>2336</v>
      </c>
      <c r="DG257" s="394" t="s">
        <v>2337</v>
      </c>
      <c r="DH257" s="397">
        <v>5175870000</v>
      </c>
      <c r="DI257" s="394" t="s">
        <v>182</v>
      </c>
      <c r="DJ257" s="643" t="s">
        <v>628</v>
      </c>
      <c r="DK257" s="643" t="s">
        <v>1745</v>
      </c>
      <c r="DL257" s="394" t="s">
        <v>279</v>
      </c>
      <c r="DM257" s="394" t="s">
        <v>2275</v>
      </c>
      <c r="DN257" s="446"/>
      <c r="DO257" s="654"/>
      <c r="DP257" s="446"/>
      <c r="DQ257" s="390"/>
      <c r="DR257" s="390"/>
      <c r="DS257" s="446"/>
      <c r="DT257" s="646"/>
      <c r="DU257" s="390"/>
      <c r="DV257" s="390"/>
      <c r="DW257" s="390"/>
      <c r="DX257" s="446"/>
      <c r="DY257" s="646"/>
      <c r="DZ257" s="829"/>
      <c r="EA257" s="390"/>
      <c r="EB257" s="390"/>
      <c r="EC257" s="68"/>
      <c r="ED257" s="68"/>
      <c r="EE257" s="68"/>
      <c r="EF257" s="68"/>
      <c r="EG257" s="68"/>
      <c r="EH257" s="390"/>
      <c r="EI257" s="68"/>
      <c r="EJ257" s="68"/>
      <c r="EK257" s="68"/>
      <c r="EL257" s="91" t="str">
        <f t="shared" si="56"/>
        <v>No aplica, no hay meta</v>
      </c>
      <c r="EM257" s="83" t="str">
        <f t="shared" si="57"/>
        <v>No se reportó avance</v>
      </c>
      <c r="EN257" s="646"/>
      <c r="EO257" s="69" t="str">
        <f>+IF(OR(P257="Producto",P257="Resultado",P257="Impacto"),"Producto",P257)</f>
        <v>Producto</v>
      </c>
      <c r="EP257" s="69" t="str">
        <f>+MID(J257,1,1)</f>
        <v>6</v>
      </c>
    </row>
    <row r="258" spans="1:146" ht="150" customHeight="1">
      <c r="A258" s="390" t="s">
        <v>1718</v>
      </c>
      <c r="B258" s="398" t="s">
        <v>1719</v>
      </c>
      <c r="C258" s="399" t="s">
        <v>2233</v>
      </c>
      <c r="D258" s="400" t="s">
        <v>1721</v>
      </c>
      <c r="E258" s="401" t="s">
        <v>2338</v>
      </c>
      <c r="F258" s="390" t="s">
        <v>182</v>
      </c>
      <c r="G258" s="390" t="s">
        <v>182</v>
      </c>
      <c r="H258" s="390" t="s">
        <v>2347</v>
      </c>
      <c r="I258" s="390" t="s">
        <v>728</v>
      </c>
      <c r="J258" s="390" t="s">
        <v>1723</v>
      </c>
      <c r="K258" s="390" t="s">
        <v>182</v>
      </c>
      <c r="L258" s="402">
        <v>15</v>
      </c>
      <c r="M258" s="390" t="s">
        <v>2317</v>
      </c>
      <c r="N258" s="390" t="s">
        <v>2318</v>
      </c>
      <c r="O258" s="390" t="s">
        <v>2319</v>
      </c>
      <c r="P258" s="390" t="s">
        <v>161</v>
      </c>
      <c r="Q258" s="390" t="s">
        <v>233</v>
      </c>
      <c r="R258" s="390">
        <v>487</v>
      </c>
      <c r="S258" s="390" t="s">
        <v>234</v>
      </c>
      <c r="T258" s="437">
        <v>44927</v>
      </c>
      <c r="U258" s="403">
        <v>46387</v>
      </c>
      <c r="V258" s="68"/>
      <c r="W258" s="68"/>
      <c r="X258" s="68"/>
      <c r="Y258" s="68"/>
      <c r="Z258" s="446"/>
      <c r="AA258" s="446"/>
      <c r="AB258" s="446"/>
      <c r="AC258" s="446"/>
      <c r="AD258" s="446"/>
      <c r="AE258" s="446"/>
      <c r="AF258" s="446"/>
      <c r="AG258" s="446"/>
      <c r="AH258" s="446"/>
      <c r="AI258" s="446"/>
      <c r="AJ258" s="446"/>
      <c r="AK258" s="447"/>
      <c r="AL258" s="447"/>
      <c r="AM258" s="447"/>
      <c r="AN258" s="447"/>
      <c r="AO258" s="447"/>
      <c r="AP258" s="447"/>
      <c r="AQ258" s="662"/>
      <c r="AR258" s="389"/>
      <c r="AS258" s="662"/>
      <c r="AT258" s="389"/>
      <c r="AU258" s="662"/>
      <c r="AV258" s="389"/>
      <c r="AW258" s="390"/>
      <c r="AX258" s="644"/>
      <c r="AY258" s="390"/>
      <c r="AZ258" s="644"/>
      <c r="BA258" s="662"/>
      <c r="BB258" s="646"/>
      <c r="BC258" s="391"/>
      <c r="BD258" s="646"/>
      <c r="BE258" s="662"/>
      <c r="BF258" s="390"/>
      <c r="BG258" s="391"/>
      <c r="BH258" s="390"/>
      <c r="BI258" s="391"/>
      <c r="BJ258" s="390"/>
      <c r="BK258" s="446"/>
      <c r="BL258" s="390"/>
      <c r="BM258" s="446"/>
      <c r="BN258" s="390"/>
      <c r="BO258" s="446"/>
      <c r="BP258" s="390"/>
      <c r="BQ258" s="68"/>
      <c r="BR258" s="68"/>
      <c r="BS258" s="390"/>
      <c r="BT258" s="446"/>
      <c r="BU258" s="446"/>
      <c r="BV258" s="446"/>
      <c r="BW258" s="446"/>
      <c r="BX258" s="446"/>
      <c r="BY258" s="446"/>
      <c r="BZ258" s="446"/>
      <c r="CA258" s="446"/>
      <c r="CB258" s="446"/>
      <c r="CC258" s="390"/>
      <c r="CD258" s="446"/>
      <c r="CE258" s="391"/>
      <c r="CF258" s="68"/>
      <c r="CG258" s="450"/>
      <c r="CH258" s="448"/>
      <c r="CI258" s="448"/>
      <c r="CJ258" s="83"/>
      <c r="CK258" s="83"/>
      <c r="CL258" s="83" t="str">
        <f t="shared" si="53"/>
        <v>No requiere reporte</v>
      </c>
      <c r="CM258" s="89" t="str">
        <f t="shared" si="54"/>
        <v>No requiere reporte</v>
      </c>
      <c r="CN258" s="89" t="str">
        <f t="shared" si="55"/>
        <v>No requiere reporte</v>
      </c>
      <c r="CO258" s="394" t="s">
        <v>2348</v>
      </c>
      <c r="CP258" s="394" t="s">
        <v>2349</v>
      </c>
      <c r="CQ258" s="658" t="s">
        <v>2029</v>
      </c>
      <c r="CR258" s="658" t="s">
        <v>283</v>
      </c>
      <c r="CS258" s="658" t="s">
        <v>2346</v>
      </c>
      <c r="CT258" s="394" t="s">
        <v>161</v>
      </c>
      <c r="CU258" s="394" t="s">
        <v>233</v>
      </c>
      <c r="CV258" s="658" t="s">
        <v>182</v>
      </c>
      <c r="CW258" s="394" t="s">
        <v>234</v>
      </c>
      <c r="CX258" s="395">
        <v>46037</v>
      </c>
      <c r="CY258" s="395">
        <v>46387</v>
      </c>
      <c r="CZ258" s="396">
        <v>0</v>
      </c>
      <c r="DA258" s="396">
        <v>0</v>
      </c>
      <c r="DB258" s="396">
        <v>1200</v>
      </c>
      <c r="DC258" s="661">
        <v>0</v>
      </c>
      <c r="DD258" s="391">
        <f>SUM(CZ258:DC258)</f>
        <v>1200</v>
      </c>
      <c r="DE258" s="394" t="s">
        <v>265</v>
      </c>
      <c r="DF258" s="394" t="s">
        <v>2336</v>
      </c>
      <c r="DG258" s="394" t="s">
        <v>2337</v>
      </c>
      <c r="DH258" s="397">
        <v>403500000</v>
      </c>
      <c r="DI258" s="394" t="s">
        <v>182</v>
      </c>
      <c r="DJ258" s="643" t="s">
        <v>628</v>
      </c>
      <c r="DK258" s="643" t="s">
        <v>1745</v>
      </c>
      <c r="DL258" s="394" t="s">
        <v>279</v>
      </c>
      <c r="DM258" s="394" t="s">
        <v>2275</v>
      </c>
      <c r="DN258" s="446"/>
      <c r="DO258" s="654"/>
      <c r="DP258" s="446"/>
      <c r="DQ258" s="390"/>
      <c r="DR258" s="390"/>
      <c r="DS258" s="446"/>
      <c r="DT258" s="646"/>
      <c r="DU258" s="390"/>
      <c r="DV258" s="390"/>
      <c r="DW258" s="390"/>
      <c r="DX258" s="446"/>
      <c r="DY258" s="646"/>
      <c r="DZ258" s="390"/>
      <c r="EA258" s="390"/>
      <c r="EB258" s="390"/>
      <c r="EC258" s="68"/>
      <c r="ED258" s="68"/>
      <c r="EE258" s="68"/>
      <c r="EF258" s="68"/>
      <c r="EG258" s="68"/>
      <c r="EH258" s="390"/>
      <c r="EI258" s="68"/>
      <c r="EJ258" s="68"/>
      <c r="EK258" s="68"/>
      <c r="EL258" s="91" t="str">
        <f t="shared" si="56"/>
        <v>No aplica, no hay meta</v>
      </c>
      <c r="EM258" s="83" t="str">
        <f t="shared" si="57"/>
        <v>No se reportó avance</v>
      </c>
      <c r="EN258" s="646"/>
      <c r="EO258" s="69"/>
      <c r="EP258" s="69"/>
    </row>
    <row r="259" spans="1:146" ht="150" customHeight="1">
      <c r="A259" s="390" t="s">
        <v>1718</v>
      </c>
      <c r="B259" s="398" t="s">
        <v>1719</v>
      </c>
      <c r="C259" s="399" t="s">
        <v>2233</v>
      </c>
      <c r="D259" s="400" t="s">
        <v>1721</v>
      </c>
      <c r="E259" s="401" t="s">
        <v>2338</v>
      </c>
      <c r="F259" s="390" t="s">
        <v>182</v>
      </c>
      <c r="G259" s="390" t="s">
        <v>182</v>
      </c>
      <c r="H259" s="390" t="s">
        <v>2269</v>
      </c>
      <c r="I259" s="390" t="s">
        <v>728</v>
      </c>
      <c r="J259" s="390" t="s">
        <v>1723</v>
      </c>
      <c r="K259" s="390" t="s">
        <v>182</v>
      </c>
      <c r="L259" s="402">
        <v>15</v>
      </c>
      <c r="M259" s="390" t="s">
        <v>2317</v>
      </c>
      <c r="N259" s="390" t="s">
        <v>2318</v>
      </c>
      <c r="O259" s="390" t="s">
        <v>2319</v>
      </c>
      <c r="P259" s="390" t="s">
        <v>161</v>
      </c>
      <c r="Q259" s="390" t="s">
        <v>233</v>
      </c>
      <c r="R259" s="390">
        <v>487</v>
      </c>
      <c r="S259" s="390" t="s">
        <v>234</v>
      </c>
      <c r="T259" s="437">
        <v>44927</v>
      </c>
      <c r="U259" s="403">
        <v>46387</v>
      </c>
      <c r="V259" s="68"/>
      <c r="W259" s="68"/>
      <c r="X259" s="68"/>
      <c r="Y259" s="68"/>
      <c r="Z259" s="446"/>
      <c r="AA259" s="446"/>
      <c r="AB259" s="446"/>
      <c r="AC259" s="446"/>
      <c r="AD259" s="446"/>
      <c r="AE259" s="446"/>
      <c r="AF259" s="446"/>
      <c r="AG259" s="446"/>
      <c r="AH259" s="446"/>
      <c r="AI259" s="446"/>
      <c r="AJ259" s="446"/>
      <c r="AK259" s="447"/>
      <c r="AL259" s="447"/>
      <c r="AM259" s="447"/>
      <c r="AN259" s="447"/>
      <c r="AO259" s="447"/>
      <c r="AP259" s="447"/>
      <c r="AQ259" s="68"/>
      <c r="AR259" s="68"/>
      <c r="AS259" s="68"/>
      <c r="AT259" s="68"/>
      <c r="AU259" s="68"/>
      <c r="AV259" s="68"/>
      <c r="AW259" s="68"/>
      <c r="AX259" s="68"/>
      <c r="AY259" s="68"/>
      <c r="AZ259" s="68"/>
      <c r="BA259" s="68"/>
      <c r="BB259" s="68"/>
      <c r="BC259" s="68"/>
      <c r="BD259" s="68"/>
      <c r="BE259" s="68"/>
      <c r="BF259" s="68"/>
      <c r="BG259" s="68"/>
      <c r="BH259" s="68"/>
      <c r="BI259" s="68"/>
      <c r="BJ259" s="68"/>
      <c r="BK259" s="446"/>
      <c r="BL259" s="390"/>
      <c r="BM259" s="446"/>
      <c r="BN259" s="390"/>
      <c r="BO259" s="446"/>
      <c r="BP259" s="390"/>
      <c r="BQ259" s="68"/>
      <c r="BR259" s="68"/>
      <c r="BS259" s="446"/>
      <c r="BT259" s="446"/>
      <c r="BU259" s="446"/>
      <c r="BV259" s="446"/>
      <c r="BW259" s="446"/>
      <c r="BX259" s="446"/>
      <c r="BY259" s="446"/>
      <c r="BZ259" s="446"/>
      <c r="CA259" s="446"/>
      <c r="CB259" s="446"/>
      <c r="CC259" s="446"/>
      <c r="CD259" s="446"/>
      <c r="CE259" s="446"/>
      <c r="CF259" s="68"/>
      <c r="CG259" s="448"/>
      <c r="CH259" s="448"/>
      <c r="CI259" s="448"/>
      <c r="CJ259" s="83" t="str">
        <f t="shared" ref="CJ259:CJ262" si="69">+IFERROR(CH259/CG259,"No aplica")</f>
        <v>No aplica</v>
      </c>
      <c r="CK259" s="83" t="str">
        <f t="shared" ref="CK259:CK262" si="70">+IFERROR(CI259/CG259,"No aplica")</f>
        <v>No aplica</v>
      </c>
      <c r="CL259" s="83" t="str">
        <f t="shared" si="53"/>
        <v>No requiere reporte</v>
      </c>
      <c r="CM259" s="89" t="str">
        <f t="shared" si="54"/>
        <v>No requiere reporte</v>
      </c>
      <c r="CN259" s="89" t="str">
        <f t="shared" si="55"/>
        <v>No requiere reporte</v>
      </c>
      <c r="CO259" s="394" t="s">
        <v>2350</v>
      </c>
      <c r="CP259" s="394" t="s">
        <v>2351</v>
      </c>
      <c r="CQ259" s="658" t="s">
        <v>2029</v>
      </c>
      <c r="CR259" s="658" t="s">
        <v>2017</v>
      </c>
      <c r="CS259" s="658" t="s">
        <v>2018</v>
      </c>
      <c r="CT259" s="394" t="s">
        <v>161</v>
      </c>
      <c r="CU259" s="394" t="s">
        <v>233</v>
      </c>
      <c r="CV259" s="658">
        <v>1</v>
      </c>
      <c r="CW259" s="394" t="s">
        <v>234</v>
      </c>
      <c r="CX259" s="395">
        <v>46037</v>
      </c>
      <c r="CY259" s="395">
        <v>46387</v>
      </c>
      <c r="CZ259" s="396">
        <v>0</v>
      </c>
      <c r="DA259" s="396">
        <v>5</v>
      </c>
      <c r="DB259" s="396">
        <v>5</v>
      </c>
      <c r="DC259" s="396">
        <v>2</v>
      </c>
      <c r="DD259" s="391">
        <f t="shared" ref="DD259:DD262" si="71">SUM(CZ259:DC259)</f>
        <v>12</v>
      </c>
      <c r="DE259" s="394" t="s">
        <v>265</v>
      </c>
      <c r="DF259" s="394" t="s">
        <v>2336</v>
      </c>
      <c r="DG259" s="394" t="s">
        <v>2337</v>
      </c>
      <c r="DH259" s="397">
        <v>3480930000</v>
      </c>
      <c r="DI259" s="394" t="s">
        <v>182</v>
      </c>
      <c r="DJ259" s="643" t="s">
        <v>628</v>
      </c>
      <c r="DK259" s="643" t="s">
        <v>1745</v>
      </c>
      <c r="DL259" s="394" t="s">
        <v>279</v>
      </c>
      <c r="DM259" s="394" t="s">
        <v>2275</v>
      </c>
      <c r="DN259" s="446"/>
      <c r="DO259" s="654"/>
      <c r="DP259" s="446"/>
      <c r="DQ259" s="390"/>
      <c r="DR259" s="390"/>
      <c r="DS259" s="446"/>
      <c r="DT259" s="646"/>
      <c r="DU259" s="390"/>
      <c r="DV259" s="390"/>
      <c r="DW259" s="390"/>
      <c r="DX259" s="446"/>
      <c r="DY259" s="646"/>
      <c r="DZ259" s="829"/>
      <c r="EA259" s="390"/>
      <c r="EB259" s="390"/>
      <c r="EC259" s="68"/>
      <c r="ED259" s="68"/>
      <c r="EE259" s="68"/>
      <c r="EF259" s="68"/>
      <c r="EG259" s="68"/>
      <c r="EH259" s="390"/>
      <c r="EI259" s="68"/>
      <c r="EJ259" s="68"/>
      <c r="EK259" s="68"/>
      <c r="EL259" s="91" t="str">
        <f t="shared" si="56"/>
        <v>No aplica, no hay meta</v>
      </c>
      <c r="EM259" s="83" t="str">
        <f t="shared" si="57"/>
        <v>No se reportó avance</v>
      </c>
      <c r="EN259" s="646"/>
      <c r="EO259" s="69" t="str">
        <f t="shared" ref="EO259:EO262" si="72">+IF(OR(P259="Producto",P259="Resultado",P259="Impacto"),"Producto",P259)</f>
        <v>Producto</v>
      </c>
      <c r="EP259" s="69" t="str">
        <f t="shared" ref="EP259:EP262" si="73">+MID(J259,1,1)</f>
        <v>6</v>
      </c>
    </row>
    <row r="260" spans="1:146" ht="150" customHeight="1">
      <c r="A260" s="390" t="s">
        <v>1718</v>
      </c>
      <c r="B260" s="398" t="s">
        <v>1719</v>
      </c>
      <c r="C260" s="399" t="s">
        <v>2233</v>
      </c>
      <c r="D260" s="400" t="s">
        <v>1721</v>
      </c>
      <c r="E260" s="401" t="s">
        <v>2338</v>
      </c>
      <c r="F260" s="390" t="s">
        <v>182</v>
      </c>
      <c r="G260" s="390" t="s">
        <v>182</v>
      </c>
      <c r="H260" s="390" t="s">
        <v>2316</v>
      </c>
      <c r="I260" s="390" t="s">
        <v>728</v>
      </c>
      <c r="J260" s="390" t="s">
        <v>1723</v>
      </c>
      <c r="K260" s="390" t="s">
        <v>182</v>
      </c>
      <c r="L260" s="402">
        <v>15</v>
      </c>
      <c r="M260" s="390" t="s">
        <v>2317</v>
      </c>
      <c r="N260" s="390" t="s">
        <v>2318</v>
      </c>
      <c r="O260" s="390" t="s">
        <v>2319</v>
      </c>
      <c r="P260" s="390" t="s">
        <v>161</v>
      </c>
      <c r="Q260" s="390" t="s">
        <v>233</v>
      </c>
      <c r="R260" s="390">
        <v>487</v>
      </c>
      <c r="S260" s="390" t="s">
        <v>234</v>
      </c>
      <c r="T260" s="437">
        <v>44927</v>
      </c>
      <c r="U260" s="403">
        <v>46387</v>
      </c>
      <c r="V260" s="68"/>
      <c r="W260" s="68"/>
      <c r="X260" s="68"/>
      <c r="Y260" s="68"/>
      <c r="Z260" s="446"/>
      <c r="AA260" s="446"/>
      <c r="AB260" s="446"/>
      <c r="AC260" s="446"/>
      <c r="AD260" s="446"/>
      <c r="AE260" s="446"/>
      <c r="AF260" s="446"/>
      <c r="AG260" s="446"/>
      <c r="AH260" s="446"/>
      <c r="AI260" s="446"/>
      <c r="AJ260" s="446"/>
      <c r="AK260" s="447"/>
      <c r="AL260" s="447"/>
      <c r="AM260" s="447"/>
      <c r="AN260" s="447"/>
      <c r="AO260" s="447"/>
      <c r="AP260" s="447"/>
      <c r="AQ260" s="68"/>
      <c r="AR260" s="68"/>
      <c r="AS260" s="68"/>
      <c r="AT260" s="68"/>
      <c r="AU260" s="68"/>
      <c r="AV260" s="68"/>
      <c r="AW260" s="68"/>
      <c r="AX260" s="68"/>
      <c r="AY260" s="68"/>
      <c r="AZ260" s="68"/>
      <c r="BA260" s="68"/>
      <c r="BB260" s="68"/>
      <c r="BC260" s="68"/>
      <c r="BD260" s="68"/>
      <c r="BE260" s="68"/>
      <c r="BF260" s="68"/>
      <c r="BG260" s="68"/>
      <c r="BH260" s="68"/>
      <c r="BI260" s="68"/>
      <c r="BJ260" s="68"/>
      <c r="BK260" s="446"/>
      <c r="BL260" s="390"/>
      <c r="BM260" s="446"/>
      <c r="BN260" s="390"/>
      <c r="BO260" s="446"/>
      <c r="BP260" s="390"/>
      <c r="BQ260" s="68"/>
      <c r="BR260" s="68"/>
      <c r="BS260" s="446"/>
      <c r="BT260" s="446"/>
      <c r="BU260" s="446"/>
      <c r="BV260" s="446"/>
      <c r="BW260" s="446"/>
      <c r="BX260" s="446"/>
      <c r="BY260" s="446"/>
      <c r="BZ260" s="446"/>
      <c r="CA260" s="446"/>
      <c r="CB260" s="446"/>
      <c r="CC260" s="446"/>
      <c r="CD260" s="446"/>
      <c r="CE260" s="446"/>
      <c r="CF260" s="68"/>
      <c r="CG260" s="448"/>
      <c r="CH260" s="448"/>
      <c r="CI260" s="448"/>
      <c r="CJ260" s="83" t="str">
        <f>+IFERROR(CH260/CG260,"No aplica")</f>
        <v>No aplica</v>
      </c>
      <c r="CK260" s="83" t="str">
        <f>+IFERROR(CI260/CG260,"No aplica")</f>
        <v>No aplica</v>
      </c>
      <c r="CL260" s="83" t="str">
        <f t="shared" si="53"/>
        <v>No requiere reporte</v>
      </c>
      <c r="CM260" s="89" t="str">
        <f t="shared" si="54"/>
        <v>No requiere reporte</v>
      </c>
      <c r="CN260" s="89" t="str">
        <f t="shared" si="55"/>
        <v>No requiere reporte</v>
      </c>
      <c r="CO260" s="394" t="s">
        <v>2352</v>
      </c>
      <c r="CP260" s="394" t="s">
        <v>2353</v>
      </c>
      <c r="CQ260" s="658" t="s">
        <v>1881</v>
      </c>
      <c r="CR260" s="658" t="s">
        <v>2354</v>
      </c>
      <c r="CS260" s="658" t="s">
        <v>2355</v>
      </c>
      <c r="CT260" s="394" t="s">
        <v>161</v>
      </c>
      <c r="CU260" s="394" t="s">
        <v>233</v>
      </c>
      <c r="CV260" s="658" t="s">
        <v>182</v>
      </c>
      <c r="CW260" s="394" t="s">
        <v>234</v>
      </c>
      <c r="CX260" s="395">
        <v>46037</v>
      </c>
      <c r="CY260" s="395">
        <v>46387</v>
      </c>
      <c r="CZ260" s="396">
        <v>0</v>
      </c>
      <c r="DA260" s="396">
        <v>0</v>
      </c>
      <c r="DB260" s="396">
        <v>0</v>
      </c>
      <c r="DC260" s="396">
        <v>50</v>
      </c>
      <c r="DD260" s="391">
        <f>SUM(CZ260:DC260)</f>
        <v>50</v>
      </c>
      <c r="DE260" s="394" t="s">
        <v>265</v>
      </c>
      <c r="DF260" s="394" t="s">
        <v>2336</v>
      </c>
      <c r="DG260" s="394" t="s">
        <v>2337</v>
      </c>
      <c r="DH260" s="397">
        <v>1000000000</v>
      </c>
      <c r="DI260" s="394" t="s">
        <v>182</v>
      </c>
      <c r="DJ260" s="643" t="s">
        <v>628</v>
      </c>
      <c r="DK260" s="643" t="s">
        <v>1745</v>
      </c>
      <c r="DL260" s="394" t="s">
        <v>279</v>
      </c>
      <c r="DM260" s="394" t="s">
        <v>2356</v>
      </c>
      <c r="DN260" s="446"/>
      <c r="DO260" s="654"/>
      <c r="DP260" s="446"/>
      <c r="DQ260" s="390"/>
      <c r="DR260" s="390"/>
      <c r="DS260" s="446"/>
      <c r="DT260" s="646"/>
      <c r="DU260" s="390"/>
      <c r="DV260" s="390"/>
      <c r="DW260" s="390"/>
      <c r="DX260" s="446"/>
      <c r="DY260" s="646"/>
      <c r="DZ260" s="829"/>
      <c r="EA260" s="390"/>
      <c r="EB260" s="390"/>
      <c r="EC260" s="68"/>
      <c r="ED260" s="68"/>
      <c r="EE260" s="68"/>
      <c r="EF260" s="68"/>
      <c r="EG260" s="68"/>
      <c r="EH260" s="390"/>
      <c r="EI260" s="68"/>
      <c r="EJ260" s="68"/>
      <c r="EK260" s="68"/>
      <c r="EL260" s="91" t="str">
        <f t="shared" si="56"/>
        <v>No aplica, no hay meta</v>
      </c>
      <c r="EM260" s="83" t="str">
        <f t="shared" si="57"/>
        <v>No se reportó avance</v>
      </c>
      <c r="EN260" s="646"/>
      <c r="EO260" s="69" t="str">
        <f>+IF(OR(P260="Producto",P260="Resultado",P260="Impacto"),"Producto",P260)</f>
        <v>Producto</v>
      </c>
      <c r="EP260" s="69" t="str">
        <f>+MID(J260,1,1)</f>
        <v>6</v>
      </c>
    </row>
    <row r="261" spans="1:146" ht="150" customHeight="1">
      <c r="A261" s="390" t="s">
        <v>1718</v>
      </c>
      <c r="B261" s="398" t="s">
        <v>1719</v>
      </c>
      <c r="C261" s="399" t="s">
        <v>2233</v>
      </c>
      <c r="D261" s="400" t="s">
        <v>1721</v>
      </c>
      <c r="E261" s="401" t="s">
        <v>2338</v>
      </c>
      <c r="F261" s="390" t="s">
        <v>182</v>
      </c>
      <c r="G261" s="390" t="s">
        <v>182</v>
      </c>
      <c r="H261" s="390" t="s">
        <v>2269</v>
      </c>
      <c r="I261" s="390" t="s">
        <v>728</v>
      </c>
      <c r="J261" s="390" t="s">
        <v>1723</v>
      </c>
      <c r="K261" s="390" t="s">
        <v>182</v>
      </c>
      <c r="L261" s="402">
        <v>15</v>
      </c>
      <c r="M261" s="390" t="s">
        <v>2317</v>
      </c>
      <c r="N261" s="390" t="s">
        <v>2318</v>
      </c>
      <c r="O261" s="390" t="s">
        <v>2319</v>
      </c>
      <c r="P261" s="390" t="s">
        <v>161</v>
      </c>
      <c r="Q261" s="390" t="s">
        <v>233</v>
      </c>
      <c r="R261" s="390">
        <v>487</v>
      </c>
      <c r="S261" s="390" t="s">
        <v>234</v>
      </c>
      <c r="T261" s="437">
        <v>44927</v>
      </c>
      <c r="U261" s="403">
        <v>46387</v>
      </c>
      <c r="V261" s="68"/>
      <c r="W261" s="68"/>
      <c r="X261" s="68"/>
      <c r="Y261" s="68"/>
      <c r="Z261" s="446"/>
      <c r="AA261" s="446"/>
      <c r="AB261" s="446"/>
      <c r="AC261" s="446"/>
      <c r="AD261" s="446"/>
      <c r="AE261" s="446"/>
      <c r="AF261" s="446"/>
      <c r="AG261" s="446"/>
      <c r="AH261" s="446"/>
      <c r="AI261" s="446"/>
      <c r="AJ261" s="446"/>
      <c r="AK261" s="447"/>
      <c r="AL261" s="447"/>
      <c r="AM261" s="447"/>
      <c r="AN261" s="447"/>
      <c r="AO261" s="447"/>
      <c r="AP261" s="447"/>
      <c r="AQ261" s="68"/>
      <c r="AR261" s="68"/>
      <c r="AS261" s="68"/>
      <c r="AT261" s="68"/>
      <c r="AU261" s="68"/>
      <c r="AV261" s="68"/>
      <c r="AW261" s="68"/>
      <c r="AX261" s="68"/>
      <c r="AY261" s="68"/>
      <c r="AZ261" s="68"/>
      <c r="BA261" s="68"/>
      <c r="BB261" s="68"/>
      <c r="BC261" s="68"/>
      <c r="BD261" s="68"/>
      <c r="BE261" s="68"/>
      <c r="BF261" s="68"/>
      <c r="BG261" s="68"/>
      <c r="BH261" s="68"/>
      <c r="BI261" s="68"/>
      <c r="BJ261" s="68"/>
      <c r="BK261" s="446"/>
      <c r="BL261" s="390"/>
      <c r="BM261" s="446"/>
      <c r="BN261" s="390"/>
      <c r="BO261" s="446"/>
      <c r="BP261" s="390"/>
      <c r="BQ261" s="68"/>
      <c r="BR261" s="68"/>
      <c r="BS261" s="446"/>
      <c r="BT261" s="446"/>
      <c r="BU261" s="446"/>
      <c r="BV261" s="446"/>
      <c r="BW261" s="446"/>
      <c r="BX261" s="446"/>
      <c r="BY261" s="446"/>
      <c r="BZ261" s="446"/>
      <c r="CA261" s="446"/>
      <c r="CB261" s="446"/>
      <c r="CC261" s="446"/>
      <c r="CD261" s="446"/>
      <c r="CE261" s="446"/>
      <c r="CF261" s="68"/>
      <c r="CG261" s="448"/>
      <c r="CH261" s="448"/>
      <c r="CI261" s="448"/>
      <c r="CJ261" s="83" t="str">
        <f t="shared" si="69"/>
        <v>No aplica</v>
      </c>
      <c r="CK261" s="83" t="str">
        <f t="shared" si="70"/>
        <v>No aplica</v>
      </c>
      <c r="CL261" s="83" t="str">
        <f t="shared" si="53"/>
        <v>No requiere reporte</v>
      </c>
      <c r="CM261" s="89" t="str">
        <f t="shared" si="54"/>
        <v>No requiere reporte</v>
      </c>
      <c r="CN261" s="89" t="str">
        <f t="shared" si="55"/>
        <v>No requiere reporte</v>
      </c>
      <c r="CO261" s="394" t="s">
        <v>2357</v>
      </c>
      <c r="CP261" s="394" t="s">
        <v>2358</v>
      </c>
      <c r="CQ261" s="658" t="s">
        <v>1881</v>
      </c>
      <c r="CR261" s="658" t="s">
        <v>2359</v>
      </c>
      <c r="CS261" s="658" t="s">
        <v>2360</v>
      </c>
      <c r="CT261" s="394" t="s">
        <v>161</v>
      </c>
      <c r="CU261" s="394" t="s">
        <v>233</v>
      </c>
      <c r="CV261" s="658" t="s">
        <v>182</v>
      </c>
      <c r="CW261" s="394" t="s">
        <v>234</v>
      </c>
      <c r="CX261" s="395">
        <v>46037</v>
      </c>
      <c r="CY261" s="395">
        <v>46387</v>
      </c>
      <c r="CZ261" s="396">
        <v>0</v>
      </c>
      <c r="DA261" s="396">
        <v>0</v>
      </c>
      <c r="DB261" s="396">
        <v>0</v>
      </c>
      <c r="DC261" s="396">
        <v>50</v>
      </c>
      <c r="DD261" s="391">
        <f t="shared" si="71"/>
        <v>50</v>
      </c>
      <c r="DE261" s="394" t="s">
        <v>265</v>
      </c>
      <c r="DF261" s="394" t="s">
        <v>2336</v>
      </c>
      <c r="DG261" s="394" t="s">
        <v>2337</v>
      </c>
      <c r="DH261" s="397">
        <v>1000000000</v>
      </c>
      <c r="DI261" s="394" t="s">
        <v>182</v>
      </c>
      <c r="DJ261" s="643" t="s">
        <v>628</v>
      </c>
      <c r="DK261" s="643" t="s">
        <v>1745</v>
      </c>
      <c r="DL261" s="394" t="s">
        <v>279</v>
      </c>
      <c r="DM261" s="394" t="s">
        <v>2361</v>
      </c>
      <c r="DN261" s="446"/>
      <c r="DO261" s="654"/>
      <c r="DP261" s="446"/>
      <c r="DQ261" s="390"/>
      <c r="DR261" s="390"/>
      <c r="DS261" s="446"/>
      <c r="DT261" s="646"/>
      <c r="DU261" s="390"/>
      <c r="DV261" s="390"/>
      <c r="DW261" s="390"/>
      <c r="DX261" s="446"/>
      <c r="DY261" s="646"/>
      <c r="DZ261" s="829"/>
      <c r="EA261" s="390"/>
      <c r="EB261" s="390"/>
      <c r="EC261" s="68"/>
      <c r="ED261" s="68"/>
      <c r="EE261" s="68"/>
      <c r="EF261" s="68"/>
      <c r="EG261" s="68"/>
      <c r="EH261" s="390"/>
      <c r="EI261" s="68"/>
      <c r="EJ261" s="68"/>
      <c r="EK261" s="68"/>
      <c r="EL261" s="91" t="str">
        <f t="shared" si="56"/>
        <v>No aplica, no hay meta</v>
      </c>
      <c r="EM261" s="83" t="str">
        <f t="shared" si="57"/>
        <v>No se reportó avance</v>
      </c>
      <c r="EN261" s="646"/>
      <c r="EO261" s="69" t="str">
        <f t="shared" si="72"/>
        <v>Producto</v>
      </c>
      <c r="EP261" s="69" t="str">
        <f t="shared" si="73"/>
        <v>6</v>
      </c>
    </row>
    <row r="262" spans="1:146" ht="150" customHeight="1">
      <c r="A262" s="390" t="s">
        <v>1718</v>
      </c>
      <c r="B262" s="398" t="s">
        <v>1719</v>
      </c>
      <c r="C262" s="399" t="s">
        <v>2233</v>
      </c>
      <c r="D262" s="400" t="s">
        <v>1721</v>
      </c>
      <c r="E262" s="401" t="s">
        <v>2338</v>
      </c>
      <c r="F262" s="390" t="s">
        <v>182</v>
      </c>
      <c r="G262" s="390" t="s">
        <v>182</v>
      </c>
      <c r="H262" s="390" t="s">
        <v>2269</v>
      </c>
      <c r="I262" s="390" t="s">
        <v>728</v>
      </c>
      <c r="J262" s="390" t="s">
        <v>1723</v>
      </c>
      <c r="K262" s="390" t="s">
        <v>182</v>
      </c>
      <c r="L262" s="402">
        <v>15</v>
      </c>
      <c r="M262" s="390" t="s">
        <v>2317</v>
      </c>
      <c r="N262" s="390" t="s">
        <v>2318</v>
      </c>
      <c r="O262" s="390" t="s">
        <v>2319</v>
      </c>
      <c r="P262" s="390" t="s">
        <v>161</v>
      </c>
      <c r="Q262" s="390" t="s">
        <v>233</v>
      </c>
      <c r="R262" s="390">
        <v>487</v>
      </c>
      <c r="S262" s="390" t="s">
        <v>234</v>
      </c>
      <c r="T262" s="437">
        <v>44927</v>
      </c>
      <c r="U262" s="403">
        <v>46387</v>
      </c>
      <c r="V262" s="68"/>
      <c r="W262" s="68"/>
      <c r="X262" s="68"/>
      <c r="Y262" s="68"/>
      <c r="Z262" s="446"/>
      <c r="AA262" s="446"/>
      <c r="AB262" s="446"/>
      <c r="AC262" s="446"/>
      <c r="AD262" s="446"/>
      <c r="AE262" s="446"/>
      <c r="AF262" s="446"/>
      <c r="AG262" s="446"/>
      <c r="AH262" s="446"/>
      <c r="AI262" s="446"/>
      <c r="AJ262" s="446"/>
      <c r="AK262" s="447"/>
      <c r="AL262" s="447"/>
      <c r="AM262" s="447"/>
      <c r="AN262" s="447"/>
      <c r="AO262" s="447"/>
      <c r="AP262" s="447"/>
      <c r="AQ262" s="68"/>
      <c r="AR262" s="68"/>
      <c r="AS262" s="68"/>
      <c r="AT262" s="68"/>
      <c r="AU262" s="68"/>
      <c r="AV262" s="68"/>
      <c r="AW262" s="68"/>
      <c r="AX262" s="68"/>
      <c r="AY262" s="68"/>
      <c r="AZ262" s="68"/>
      <c r="BA262" s="68"/>
      <c r="BB262" s="68"/>
      <c r="BC262" s="68"/>
      <c r="BD262" s="68"/>
      <c r="BE262" s="68"/>
      <c r="BF262" s="68"/>
      <c r="BG262" s="68"/>
      <c r="BH262" s="68"/>
      <c r="BI262" s="68"/>
      <c r="BJ262" s="68"/>
      <c r="BK262" s="446"/>
      <c r="BL262" s="390"/>
      <c r="BM262" s="446"/>
      <c r="BN262" s="390"/>
      <c r="BO262" s="446"/>
      <c r="BP262" s="390"/>
      <c r="BQ262" s="68"/>
      <c r="BR262" s="68"/>
      <c r="BS262" s="446"/>
      <c r="BT262" s="446"/>
      <c r="BU262" s="446"/>
      <c r="BV262" s="446"/>
      <c r="BW262" s="446"/>
      <c r="BX262" s="446"/>
      <c r="BY262" s="446"/>
      <c r="BZ262" s="446"/>
      <c r="CA262" s="446"/>
      <c r="CB262" s="446"/>
      <c r="CC262" s="446"/>
      <c r="CD262" s="446"/>
      <c r="CE262" s="446"/>
      <c r="CF262" s="68"/>
      <c r="CG262" s="448"/>
      <c r="CH262" s="448"/>
      <c r="CI262" s="448"/>
      <c r="CJ262" s="83" t="str">
        <f t="shared" si="69"/>
        <v>No aplica</v>
      </c>
      <c r="CK262" s="83" t="str">
        <f t="shared" si="70"/>
        <v>No aplica</v>
      </c>
      <c r="CL262" s="83" t="str">
        <f t="shared" si="53"/>
        <v>No requiere reporte</v>
      </c>
      <c r="CM262" s="89" t="str">
        <f t="shared" si="54"/>
        <v>No requiere reporte</v>
      </c>
      <c r="CN262" s="89" t="str">
        <f t="shared" si="55"/>
        <v>No requiere reporte</v>
      </c>
      <c r="CO262" s="394" t="s">
        <v>2362</v>
      </c>
      <c r="CP262" s="394" t="s">
        <v>2363</v>
      </c>
      <c r="CQ262" s="658" t="s">
        <v>1881</v>
      </c>
      <c r="CR262" s="658" t="s">
        <v>2364</v>
      </c>
      <c r="CS262" s="658" t="s">
        <v>2365</v>
      </c>
      <c r="CT262" s="394" t="s">
        <v>161</v>
      </c>
      <c r="CU262" s="394" t="s">
        <v>233</v>
      </c>
      <c r="CV262" s="658">
        <v>43</v>
      </c>
      <c r="CW262" s="394" t="s">
        <v>234</v>
      </c>
      <c r="CX262" s="395">
        <v>46037</v>
      </c>
      <c r="CY262" s="395">
        <v>46387</v>
      </c>
      <c r="CZ262" s="396">
        <v>0</v>
      </c>
      <c r="DA262" s="396">
        <v>0</v>
      </c>
      <c r="DB262" s="396">
        <v>0</v>
      </c>
      <c r="DC262" s="396">
        <v>100</v>
      </c>
      <c r="DD262" s="391">
        <f t="shared" si="71"/>
        <v>100</v>
      </c>
      <c r="DE262" s="394" t="s">
        <v>265</v>
      </c>
      <c r="DF262" s="394" t="s">
        <v>2336</v>
      </c>
      <c r="DG262" s="394" t="s">
        <v>2337</v>
      </c>
      <c r="DH262" s="397">
        <v>2000000000</v>
      </c>
      <c r="DI262" s="394" t="s">
        <v>182</v>
      </c>
      <c r="DJ262" s="643" t="s">
        <v>628</v>
      </c>
      <c r="DK262" s="643" t="s">
        <v>1745</v>
      </c>
      <c r="DL262" s="394" t="s">
        <v>279</v>
      </c>
      <c r="DM262" s="394" t="s">
        <v>2275</v>
      </c>
      <c r="DN262" s="446"/>
      <c r="DO262" s="654"/>
      <c r="DP262" s="446"/>
      <c r="DQ262" s="390"/>
      <c r="DR262" s="390"/>
      <c r="DS262" s="446"/>
      <c r="DT262" s="646"/>
      <c r="DU262" s="390"/>
      <c r="DV262" s="390"/>
      <c r="DW262" s="390"/>
      <c r="DX262" s="446"/>
      <c r="DY262" s="646"/>
      <c r="DZ262" s="829"/>
      <c r="EA262" s="390"/>
      <c r="EB262" s="390"/>
      <c r="EC262" s="68"/>
      <c r="ED262" s="68"/>
      <c r="EE262" s="68"/>
      <c r="EF262" s="68"/>
      <c r="EG262" s="68"/>
      <c r="EH262" s="390"/>
      <c r="EI262" s="68"/>
      <c r="EJ262" s="68"/>
      <c r="EK262" s="68"/>
      <c r="EL262" s="91" t="str">
        <f t="shared" si="56"/>
        <v>No aplica, no hay meta</v>
      </c>
      <c r="EM262" s="83" t="str">
        <f t="shared" si="57"/>
        <v>No se reportó avance</v>
      </c>
      <c r="EN262" s="646"/>
      <c r="EO262" s="69" t="str">
        <f t="shared" si="72"/>
        <v>Producto</v>
      </c>
      <c r="EP262" s="69" t="str">
        <f t="shared" si="73"/>
        <v>6</v>
      </c>
    </row>
    <row r="263" spans="1:146" s="69" customFormat="1" ht="150" hidden="1" customHeight="1">
      <c r="A263" s="241" t="s">
        <v>1718</v>
      </c>
      <c r="B263" s="240" t="s">
        <v>1719</v>
      </c>
      <c r="C263" s="241" t="s">
        <v>2366</v>
      </c>
      <c r="D263" s="416" t="s">
        <v>2367</v>
      </c>
      <c r="E263" s="416" t="s">
        <v>2368</v>
      </c>
      <c r="F263" s="241" t="s">
        <v>2369</v>
      </c>
      <c r="G263" s="241" t="s">
        <v>2370</v>
      </c>
      <c r="H263" s="241" t="s">
        <v>2371</v>
      </c>
      <c r="I263" s="241" t="s">
        <v>728</v>
      </c>
      <c r="J263" s="241" t="s">
        <v>1723</v>
      </c>
      <c r="K263" s="241"/>
      <c r="L263" s="244">
        <v>16</v>
      </c>
      <c r="M263" s="244" t="s">
        <v>2372</v>
      </c>
      <c r="N263" s="244" t="s">
        <v>2373</v>
      </c>
      <c r="O263" s="244" t="s">
        <v>2374</v>
      </c>
      <c r="P263" s="244" t="s">
        <v>161</v>
      </c>
      <c r="Q263" s="244" t="s">
        <v>233</v>
      </c>
      <c r="R263" s="244">
        <v>1</v>
      </c>
      <c r="S263" s="244" t="s">
        <v>234</v>
      </c>
      <c r="T263" s="456">
        <v>44927</v>
      </c>
      <c r="U263" s="245">
        <v>46387</v>
      </c>
      <c r="V263" s="250">
        <v>0</v>
      </c>
      <c r="W263" s="250">
        <v>0</v>
      </c>
      <c r="X263" s="250">
        <v>0</v>
      </c>
      <c r="Y263" s="250">
        <v>1</v>
      </c>
      <c r="Z263" s="250">
        <v>1</v>
      </c>
      <c r="AA263" s="418"/>
      <c r="AB263" s="418"/>
      <c r="AC263" s="418"/>
      <c r="AD263" s="418"/>
      <c r="AE263" s="418"/>
      <c r="AF263" s="418"/>
      <c r="AG263" s="418"/>
      <c r="AH263" s="418"/>
      <c r="AI263" s="418"/>
      <c r="AJ263" s="418"/>
      <c r="AK263" s="457"/>
      <c r="AL263" s="457"/>
      <c r="AM263" s="457"/>
      <c r="AN263" s="457"/>
      <c r="AO263" s="457"/>
      <c r="AP263" s="457"/>
      <c r="AQ263" s="458" t="s">
        <v>201</v>
      </c>
      <c r="AR263" s="423" t="s">
        <v>2375</v>
      </c>
      <c r="AS263" s="418" t="s">
        <v>201</v>
      </c>
      <c r="AT263" s="423" t="s">
        <v>2376</v>
      </c>
      <c r="AU263" s="418" t="s">
        <v>201</v>
      </c>
      <c r="AV263" s="423" t="s">
        <v>2377</v>
      </c>
      <c r="AW263" s="459">
        <v>1</v>
      </c>
      <c r="AX263" s="424" t="s">
        <v>2378</v>
      </c>
      <c r="AY263" s="459">
        <v>1</v>
      </c>
      <c r="AZ263" s="424" t="s">
        <v>2379</v>
      </c>
      <c r="BA263" s="434"/>
      <c r="BB263" s="434"/>
      <c r="BC263" s="434"/>
      <c r="BD263" s="434"/>
      <c r="BE263" s="434"/>
      <c r="BF263" s="434"/>
      <c r="BG263" s="434"/>
      <c r="BH263" s="434"/>
      <c r="BI263" s="434"/>
      <c r="BJ263" s="434"/>
      <c r="BK263" s="418"/>
      <c r="BL263" s="241"/>
      <c r="BM263" s="418"/>
      <c r="BN263" s="241"/>
      <c r="BO263" s="418"/>
      <c r="BP263" s="241"/>
      <c r="BQ263" s="434"/>
      <c r="BR263" s="434"/>
      <c r="BS263" s="418"/>
      <c r="BT263" s="418"/>
      <c r="BU263" s="418"/>
      <c r="BV263" s="418"/>
      <c r="BW263" s="418"/>
      <c r="BX263" s="418"/>
      <c r="BY263" s="418"/>
      <c r="BZ263" s="418"/>
      <c r="CA263" s="418"/>
      <c r="CB263" s="418"/>
      <c r="CC263" s="418"/>
      <c r="CD263" s="418"/>
      <c r="CE263" s="418"/>
      <c r="CF263" s="434"/>
      <c r="CG263" s="460"/>
      <c r="CH263" s="460"/>
      <c r="CI263" s="460"/>
      <c r="CJ263" s="160" t="str">
        <f t="shared" si="63"/>
        <v>No aplica</v>
      </c>
      <c r="CK263" s="160" t="str">
        <f t="shared" si="64"/>
        <v>No aplica</v>
      </c>
      <c r="CL263" s="83" t="str">
        <f t="shared" si="53"/>
        <v>No aplica, no hay meta</v>
      </c>
      <c r="CM263" s="89" t="str">
        <f t="shared" si="54"/>
        <v>No aplica, no hay meta</v>
      </c>
      <c r="CN263" s="89" t="str">
        <f t="shared" si="55"/>
        <v>No aplica, no hay meta</v>
      </c>
      <c r="CO263" s="428"/>
      <c r="CP263" s="461"/>
      <c r="CQ263" s="461"/>
      <c r="CR263" s="461"/>
      <c r="CS263" s="461"/>
      <c r="CT263" s="461"/>
      <c r="CU263" s="461"/>
      <c r="CV263" s="461"/>
      <c r="CW263" s="461"/>
      <c r="CX263" s="461"/>
      <c r="CY263" s="461"/>
      <c r="CZ263" s="461"/>
      <c r="DA263" s="461"/>
      <c r="DB263" s="461"/>
      <c r="DC263" s="461"/>
      <c r="DD263" s="250">
        <f t="shared" si="67"/>
        <v>0</v>
      </c>
      <c r="DE263" s="461"/>
      <c r="DF263" s="461"/>
      <c r="DG263" s="461"/>
      <c r="DH263" s="461"/>
      <c r="DI263" s="422" t="s">
        <v>182</v>
      </c>
      <c r="DJ263" s="636" t="s">
        <v>628</v>
      </c>
      <c r="DK263" s="636" t="s">
        <v>1745</v>
      </c>
      <c r="DL263" s="422" t="s">
        <v>279</v>
      </c>
      <c r="DM263" s="422"/>
      <c r="DN263" s="418"/>
      <c r="DO263" s="416"/>
      <c r="DP263" s="418"/>
      <c r="DQ263" s="241"/>
      <c r="DR263" s="241"/>
      <c r="DS263" s="418"/>
      <c r="DT263" s="416"/>
      <c r="DU263" s="241"/>
      <c r="DV263" s="241"/>
      <c r="DW263" s="241"/>
      <c r="DX263" s="418"/>
      <c r="DY263" s="416"/>
      <c r="DZ263" s="241"/>
      <c r="EA263" s="241"/>
      <c r="EB263" s="241"/>
      <c r="EC263" s="434"/>
      <c r="ED263" s="434"/>
      <c r="EE263" s="434"/>
      <c r="EF263" s="434"/>
      <c r="EG263" s="434"/>
      <c r="EH263" s="418"/>
      <c r="EI263" s="434"/>
      <c r="EJ263" s="434"/>
      <c r="EK263" s="434"/>
      <c r="EL263" s="91" t="str">
        <f t="shared" si="56"/>
        <v>No aplica, no hay meta</v>
      </c>
      <c r="EM263" s="83" t="str">
        <f t="shared" si="57"/>
        <v>No aplica, no hay meta</v>
      </c>
      <c r="EN263" s="416"/>
      <c r="EO263" s="69" t="str">
        <f t="shared" si="65"/>
        <v>Producto</v>
      </c>
      <c r="EP263" s="69" t="str">
        <f t="shared" si="66"/>
        <v>6</v>
      </c>
    </row>
    <row r="264" spans="1:146" s="69" customFormat="1" ht="150" hidden="1" customHeight="1">
      <c r="A264" s="241" t="s">
        <v>1718</v>
      </c>
      <c r="B264" s="240" t="s">
        <v>1719</v>
      </c>
      <c r="C264" s="241" t="s">
        <v>2366</v>
      </c>
      <c r="D264" s="416" t="s">
        <v>2367</v>
      </c>
      <c r="E264" s="416" t="s">
        <v>2368</v>
      </c>
      <c r="F264" s="241" t="s">
        <v>2369</v>
      </c>
      <c r="G264" s="241" t="s">
        <v>2369</v>
      </c>
      <c r="H264" s="241" t="s">
        <v>2371</v>
      </c>
      <c r="I264" s="241" t="s">
        <v>728</v>
      </c>
      <c r="J264" s="241" t="s">
        <v>1723</v>
      </c>
      <c r="K264" s="241"/>
      <c r="L264" s="244">
        <v>17</v>
      </c>
      <c r="M264" s="244" t="s">
        <v>2380</v>
      </c>
      <c r="N264" s="244" t="s">
        <v>2381</v>
      </c>
      <c r="O264" s="244" t="s">
        <v>2382</v>
      </c>
      <c r="P264" s="244" t="s">
        <v>161</v>
      </c>
      <c r="Q264" s="244" t="s">
        <v>233</v>
      </c>
      <c r="R264" s="244">
        <v>1</v>
      </c>
      <c r="S264" s="244" t="s">
        <v>234</v>
      </c>
      <c r="T264" s="456">
        <v>44927</v>
      </c>
      <c r="U264" s="245">
        <v>46387</v>
      </c>
      <c r="V264" s="250">
        <v>0</v>
      </c>
      <c r="W264" s="250">
        <v>0</v>
      </c>
      <c r="X264" s="250">
        <v>0</v>
      </c>
      <c r="Y264" s="418">
        <v>1000</v>
      </c>
      <c r="Z264" s="418">
        <v>1000</v>
      </c>
      <c r="AA264" s="418"/>
      <c r="AB264" s="418"/>
      <c r="AC264" s="418"/>
      <c r="AD264" s="418"/>
      <c r="AE264" s="418"/>
      <c r="AF264" s="418"/>
      <c r="AG264" s="418"/>
      <c r="AH264" s="418"/>
      <c r="AI264" s="418"/>
      <c r="AJ264" s="418"/>
      <c r="AK264" s="457"/>
      <c r="AL264" s="457"/>
      <c r="AM264" s="457"/>
      <c r="AN264" s="457"/>
      <c r="AO264" s="457"/>
      <c r="AP264" s="457"/>
      <c r="AQ264" s="458" t="s">
        <v>201</v>
      </c>
      <c r="AR264" s="462" t="s">
        <v>2383</v>
      </c>
      <c r="AS264" s="418" t="s">
        <v>201</v>
      </c>
      <c r="AT264" s="423" t="s">
        <v>2384</v>
      </c>
      <c r="AU264" s="418" t="s">
        <v>201</v>
      </c>
      <c r="AV264" s="423" t="s">
        <v>2385</v>
      </c>
      <c r="AW264" s="459">
        <v>0</v>
      </c>
      <c r="AX264" s="424" t="s">
        <v>2386</v>
      </c>
      <c r="AY264" s="459">
        <v>0</v>
      </c>
      <c r="AZ264" s="424" t="s">
        <v>2387</v>
      </c>
      <c r="BA264" s="434"/>
      <c r="BB264" s="434"/>
      <c r="BC264" s="434"/>
      <c r="BD264" s="434"/>
      <c r="BE264" s="434"/>
      <c r="BF264" s="434"/>
      <c r="BG264" s="434"/>
      <c r="BH264" s="434"/>
      <c r="BI264" s="434"/>
      <c r="BJ264" s="434"/>
      <c r="BK264" s="418"/>
      <c r="BL264" s="241"/>
      <c r="BM264" s="418"/>
      <c r="BN264" s="241"/>
      <c r="BO264" s="418"/>
      <c r="BP264" s="241"/>
      <c r="BQ264" s="434"/>
      <c r="BR264" s="434"/>
      <c r="BS264" s="418"/>
      <c r="BT264" s="418"/>
      <c r="BU264" s="418"/>
      <c r="BV264" s="418"/>
      <c r="BW264" s="418"/>
      <c r="BX264" s="418"/>
      <c r="BY264" s="418"/>
      <c r="BZ264" s="418"/>
      <c r="CA264" s="418"/>
      <c r="CB264" s="418"/>
      <c r="CC264" s="418"/>
      <c r="CD264" s="418"/>
      <c r="CE264" s="418"/>
      <c r="CF264" s="434"/>
      <c r="CG264" s="460"/>
      <c r="CH264" s="460"/>
      <c r="CI264" s="460"/>
      <c r="CJ264" s="160" t="str">
        <f t="shared" si="63"/>
        <v>No aplica</v>
      </c>
      <c r="CK264" s="160" t="str">
        <f t="shared" si="64"/>
        <v>No aplica</v>
      </c>
      <c r="CL264" s="83" t="str">
        <f t="shared" si="53"/>
        <v>No aplica, no hay meta</v>
      </c>
      <c r="CM264" s="89" t="str">
        <f t="shared" si="54"/>
        <v>No aplica, no hay meta</v>
      </c>
      <c r="CN264" s="89" t="str">
        <f t="shared" si="55"/>
        <v>No aplica, no hay meta</v>
      </c>
      <c r="CO264" s="428"/>
      <c r="CP264" s="461"/>
      <c r="CQ264" s="461"/>
      <c r="CR264" s="461"/>
      <c r="CS264" s="461"/>
      <c r="CT264" s="461"/>
      <c r="CU264" s="461"/>
      <c r="CV264" s="461"/>
      <c r="CW264" s="461"/>
      <c r="CX264" s="461"/>
      <c r="CY264" s="461"/>
      <c r="CZ264" s="461"/>
      <c r="DA264" s="461"/>
      <c r="DB264" s="461"/>
      <c r="DC264" s="461"/>
      <c r="DD264" s="250">
        <f t="shared" si="67"/>
        <v>0</v>
      </c>
      <c r="DE264" s="461"/>
      <c r="DF264" s="461"/>
      <c r="DG264" s="461"/>
      <c r="DH264" s="461"/>
      <c r="DI264" s="422" t="s">
        <v>182</v>
      </c>
      <c r="DJ264" s="636" t="s">
        <v>628</v>
      </c>
      <c r="DK264" s="636" t="s">
        <v>1745</v>
      </c>
      <c r="DL264" s="422" t="s">
        <v>279</v>
      </c>
      <c r="DM264" s="422"/>
      <c r="DN264" s="418"/>
      <c r="DO264" s="416"/>
      <c r="DP264" s="418"/>
      <c r="DQ264" s="241"/>
      <c r="DR264" s="241"/>
      <c r="DS264" s="418"/>
      <c r="DT264" s="416"/>
      <c r="DU264" s="241"/>
      <c r="DV264" s="241"/>
      <c r="DW264" s="241"/>
      <c r="DX264" s="418"/>
      <c r="DY264" s="416"/>
      <c r="DZ264" s="241"/>
      <c r="EA264" s="241"/>
      <c r="EB264" s="241"/>
      <c r="EC264" s="434"/>
      <c r="ED264" s="434"/>
      <c r="EE264" s="434"/>
      <c r="EF264" s="434"/>
      <c r="EG264" s="434"/>
      <c r="EH264" s="418"/>
      <c r="EI264" s="434"/>
      <c r="EJ264" s="434"/>
      <c r="EK264" s="434"/>
      <c r="EL264" s="91" t="str">
        <f t="shared" si="56"/>
        <v>No requiere reporte</v>
      </c>
      <c r="EM264" s="83" t="str">
        <f t="shared" si="57"/>
        <v>No requiere reporte</v>
      </c>
      <c r="EN264" s="416"/>
      <c r="EO264" s="69" t="str">
        <f t="shared" si="65"/>
        <v>Producto</v>
      </c>
      <c r="EP264" s="69" t="str">
        <f t="shared" si="66"/>
        <v>6</v>
      </c>
    </row>
    <row r="265" spans="1:146" s="69" customFormat="1" ht="150" hidden="1" customHeight="1">
      <c r="A265" s="241" t="s">
        <v>1718</v>
      </c>
      <c r="B265" s="240" t="s">
        <v>1719</v>
      </c>
      <c r="C265" s="241" t="s">
        <v>2388</v>
      </c>
      <c r="D265" s="416" t="s">
        <v>2389</v>
      </c>
      <c r="E265" s="416" t="s">
        <v>2390</v>
      </c>
      <c r="F265" s="241" t="s">
        <v>2369</v>
      </c>
      <c r="G265" s="241" t="s">
        <v>2369</v>
      </c>
      <c r="H265" s="241" t="s">
        <v>2371</v>
      </c>
      <c r="I265" s="241" t="s">
        <v>728</v>
      </c>
      <c r="J265" s="241" t="s">
        <v>1723</v>
      </c>
      <c r="K265" s="241"/>
      <c r="L265" s="244">
        <v>18</v>
      </c>
      <c r="M265" s="244" t="s">
        <v>2391</v>
      </c>
      <c r="N265" s="244" t="s">
        <v>2392</v>
      </c>
      <c r="O265" s="244" t="s">
        <v>2393</v>
      </c>
      <c r="P265" s="244" t="s">
        <v>161</v>
      </c>
      <c r="Q265" s="244" t="s">
        <v>233</v>
      </c>
      <c r="R265" s="244" t="s">
        <v>182</v>
      </c>
      <c r="S265" s="244" t="s">
        <v>234</v>
      </c>
      <c r="T265" s="456">
        <v>44927</v>
      </c>
      <c r="U265" s="245">
        <v>46387</v>
      </c>
      <c r="V265" s="250">
        <v>0</v>
      </c>
      <c r="W265" s="250">
        <v>0</v>
      </c>
      <c r="X265" s="250">
        <v>1</v>
      </c>
      <c r="Y265" s="418">
        <v>2</v>
      </c>
      <c r="Z265" s="418">
        <v>3</v>
      </c>
      <c r="AA265" s="418"/>
      <c r="AB265" s="418"/>
      <c r="AC265" s="418"/>
      <c r="AD265" s="418"/>
      <c r="AE265" s="418"/>
      <c r="AF265" s="418"/>
      <c r="AG265" s="418"/>
      <c r="AH265" s="418"/>
      <c r="AI265" s="418"/>
      <c r="AJ265" s="418"/>
      <c r="AK265" s="457"/>
      <c r="AL265" s="457"/>
      <c r="AM265" s="457"/>
      <c r="AN265" s="457"/>
      <c r="AO265" s="457"/>
      <c r="AP265" s="457"/>
      <c r="AQ265" s="463">
        <v>3</v>
      </c>
      <c r="AR265" s="423" t="s">
        <v>2394</v>
      </c>
      <c r="AS265" s="418" t="s">
        <v>201</v>
      </c>
      <c r="AT265" s="423" t="s">
        <v>2395</v>
      </c>
      <c r="AU265" s="418" t="s">
        <v>201</v>
      </c>
      <c r="AV265" s="423" t="s">
        <v>2396</v>
      </c>
      <c r="AW265" s="459">
        <v>0</v>
      </c>
      <c r="AX265" s="424" t="s">
        <v>2397</v>
      </c>
      <c r="AY265" s="459">
        <v>3</v>
      </c>
      <c r="AZ265" s="424" t="s">
        <v>2398</v>
      </c>
      <c r="BA265" s="434"/>
      <c r="BB265" s="434"/>
      <c r="BC265" s="434"/>
      <c r="BD265" s="434"/>
      <c r="BE265" s="434"/>
      <c r="BF265" s="434"/>
      <c r="BG265" s="434"/>
      <c r="BH265" s="434"/>
      <c r="BI265" s="434"/>
      <c r="BJ265" s="434"/>
      <c r="BK265" s="418"/>
      <c r="BL265" s="241"/>
      <c r="BM265" s="418"/>
      <c r="BN265" s="241"/>
      <c r="BO265" s="418"/>
      <c r="BP265" s="241"/>
      <c r="BQ265" s="434"/>
      <c r="BR265" s="434"/>
      <c r="BS265" s="418"/>
      <c r="BT265" s="418"/>
      <c r="BU265" s="418"/>
      <c r="BV265" s="418"/>
      <c r="BW265" s="418"/>
      <c r="BX265" s="418"/>
      <c r="BY265" s="418"/>
      <c r="BZ265" s="418"/>
      <c r="CA265" s="418"/>
      <c r="CB265" s="418"/>
      <c r="CC265" s="418"/>
      <c r="CD265" s="418"/>
      <c r="CE265" s="418"/>
      <c r="CF265" s="434"/>
      <c r="CG265" s="460"/>
      <c r="CH265" s="460"/>
      <c r="CI265" s="460"/>
      <c r="CJ265" s="160" t="str">
        <f t="shared" si="63"/>
        <v>No aplica</v>
      </c>
      <c r="CK265" s="160" t="str">
        <f t="shared" si="64"/>
        <v>No aplica</v>
      </c>
      <c r="CL265" s="83" t="str">
        <f t="shared" si="53"/>
        <v>No aplica, no hay meta</v>
      </c>
      <c r="CM265" s="89" t="str">
        <f t="shared" si="54"/>
        <v>No aplica, no hay meta</v>
      </c>
      <c r="CN265" s="89" t="str">
        <f t="shared" si="55"/>
        <v>No aplica, no hay meta</v>
      </c>
      <c r="CO265" s="428"/>
      <c r="CP265" s="461"/>
      <c r="CQ265" s="461"/>
      <c r="CR265" s="461"/>
      <c r="CS265" s="461"/>
      <c r="CT265" s="461"/>
      <c r="CU265" s="461"/>
      <c r="CV265" s="461"/>
      <c r="CW265" s="461"/>
      <c r="CX265" s="461"/>
      <c r="CY265" s="461"/>
      <c r="CZ265" s="461"/>
      <c r="DA265" s="461"/>
      <c r="DB265" s="461"/>
      <c r="DC265" s="461"/>
      <c r="DD265" s="250">
        <f t="shared" si="67"/>
        <v>0</v>
      </c>
      <c r="DE265" s="461"/>
      <c r="DF265" s="461"/>
      <c r="DG265" s="461"/>
      <c r="DH265" s="461"/>
      <c r="DI265" s="422" t="s">
        <v>182</v>
      </c>
      <c r="DJ265" s="636" t="s">
        <v>628</v>
      </c>
      <c r="DK265" s="636" t="s">
        <v>1745</v>
      </c>
      <c r="DL265" s="422" t="s">
        <v>279</v>
      </c>
      <c r="DM265" s="422"/>
      <c r="DN265" s="418"/>
      <c r="DO265" s="416"/>
      <c r="DP265" s="418"/>
      <c r="DQ265" s="241"/>
      <c r="DR265" s="241"/>
      <c r="DS265" s="418"/>
      <c r="DT265" s="416"/>
      <c r="DU265" s="241"/>
      <c r="DV265" s="241"/>
      <c r="DW265" s="241"/>
      <c r="DX265" s="418"/>
      <c r="DY265" s="416"/>
      <c r="DZ265" s="241"/>
      <c r="EA265" s="241"/>
      <c r="EB265" s="241"/>
      <c r="EC265" s="434"/>
      <c r="ED265" s="434"/>
      <c r="EE265" s="434"/>
      <c r="EF265" s="434"/>
      <c r="EG265" s="434"/>
      <c r="EH265" s="418"/>
      <c r="EI265" s="434"/>
      <c r="EJ265" s="434"/>
      <c r="EK265" s="434"/>
      <c r="EL265" s="91" t="str">
        <f t="shared" si="56"/>
        <v>No requiere reporte</v>
      </c>
      <c r="EM265" s="83" t="str">
        <f t="shared" si="57"/>
        <v>No requiere reporte</v>
      </c>
      <c r="EN265" s="416"/>
      <c r="EO265" s="69" t="str">
        <f t="shared" si="65"/>
        <v>Producto</v>
      </c>
      <c r="EP265" s="69" t="str">
        <f t="shared" si="66"/>
        <v>6</v>
      </c>
    </row>
    <row r="266" spans="1:146" s="69" customFormat="1" ht="150" customHeight="1">
      <c r="A266" s="377" t="s">
        <v>1718</v>
      </c>
      <c r="B266" s="378" t="s">
        <v>1719</v>
      </c>
      <c r="C266" s="379" t="s">
        <v>2315</v>
      </c>
      <c r="D266" s="380" t="s">
        <v>1721</v>
      </c>
      <c r="E266" s="381" t="s">
        <v>2238</v>
      </c>
      <c r="F266" s="377" t="s">
        <v>182</v>
      </c>
      <c r="G266" s="377" t="s">
        <v>182</v>
      </c>
      <c r="H266" s="377" t="s">
        <v>182</v>
      </c>
      <c r="I266" s="377" t="s">
        <v>728</v>
      </c>
      <c r="J266" s="377" t="s">
        <v>1723</v>
      </c>
      <c r="K266" s="377" t="s">
        <v>182</v>
      </c>
      <c r="L266" s="382">
        <v>19</v>
      </c>
      <c r="M266" s="382" t="s">
        <v>2399</v>
      </c>
      <c r="N266" s="382" t="s">
        <v>2400</v>
      </c>
      <c r="O266" s="382" t="s">
        <v>2401</v>
      </c>
      <c r="P266" s="382" t="s">
        <v>161</v>
      </c>
      <c r="Q266" s="382" t="s">
        <v>233</v>
      </c>
      <c r="R266" s="382" t="s">
        <v>182</v>
      </c>
      <c r="S266" s="382" t="s">
        <v>234</v>
      </c>
      <c r="T266" s="436">
        <v>45292</v>
      </c>
      <c r="U266" s="384">
        <v>46387</v>
      </c>
      <c r="V266" s="386">
        <v>0</v>
      </c>
      <c r="W266" s="386">
        <v>0</v>
      </c>
      <c r="X266" s="386">
        <v>0</v>
      </c>
      <c r="Y266" s="386">
        <v>0</v>
      </c>
      <c r="Z266" s="453" t="s">
        <v>182</v>
      </c>
      <c r="AA266" s="453">
        <v>0</v>
      </c>
      <c r="AB266" s="453">
        <v>0</v>
      </c>
      <c r="AC266" s="453">
        <v>35</v>
      </c>
      <c r="AD266" s="453">
        <v>232</v>
      </c>
      <c r="AE266" s="453">
        <f>+SUM(AA266:AD266)</f>
        <v>267</v>
      </c>
      <c r="AF266" s="453">
        <v>0</v>
      </c>
      <c r="AG266" s="453">
        <v>0</v>
      </c>
      <c r="AH266" s="453">
        <v>0</v>
      </c>
      <c r="AI266" s="453">
        <v>363</v>
      </c>
      <c r="AJ266" s="453">
        <f>+SUM(AF266:AI266)</f>
        <v>363</v>
      </c>
      <c r="AK266" s="454">
        <f>SUM(CZ266:CZ267)</f>
        <v>1</v>
      </c>
      <c r="AL266" s="454">
        <f t="shared" ref="AL266:AN266" si="74">SUM(DA266:DA267)</f>
        <v>1</v>
      </c>
      <c r="AM266" s="454">
        <f t="shared" si="74"/>
        <v>201</v>
      </c>
      <c r="AN266" s="454">
        <f t="shared" si="74"/>
        <v>1</v>
      </c>
      <c r="AO266" s="454">
        <f>SUM(AK266:AN266)</f>
        <v>204</v>
      </c>
      <c r="AP266" s="454">
        <f>+AO266+AJ266+AE266</f>
        <v>834</v>
      </c>
      <c r="AQ266" s="662" t="s">
        <v>182</v>
      </c>
      <c r="AR266" s="662" t="s">
        <v>182</v>
      </c>
      <c r="AS266" s="662" t="s">
        <v>182</v>
      </c>
      <c r="AT266" s="662" t="s">
        <v>182</v>
      </c>
      <c r="AU266" s="662" t="s">
        <v>182</v>
      </c>
      <c r="AV266" s="662" t="s">
        <v>182</v>
      </c>
      <c r="AW266" s="662" t="s">
        <v>182</v>
      </c>
      <c r="AX266" s="662" t="s">
        <v>182</v>
      </c>
      <c r="AY266" s="662" t="s">
        <v>182</v>
      </c>
      <c r="AZ266" s="390" t="s">
        <v>182</v>
      </c>
      <c r="BA266" s="662" t="s">
        <v>182</v>
      </c>
      <c r="BB266" s="646" t="s">
        <v>2402</v>
      </c>
      <c r="BC266" s="390" t="s">
        <v>182</v>
      </c>
      <c r="BD266" s="646" t="s">
        <v>2403</v>
      </c>
      <c r="BE266" s="391">
        <v>0</v>
      </c>
      <c r="BF266" s="390" t="s">
        <v>2404</v>
      </c>
      <c r="BG266" s="391">
        <v>0</v>
      </c>
      <c r="BH266" s="662" t="s">
        <v>2405</v>
      </c>
      <c r="BI266" s="391">
        <v>0</v>
      </c>
      <c r="BJ266" s="391" t="s">
        <v>2406</v>
      </c>
      <c r="BK266" s="446" t="s">
        <v>182</v>
      </c>
      <c r="BL266" s="390" t="s">
        <v>2329</v>
      </c>
      <c r="BM266" s="446" t="s">
        <v>182</v>
      </c>
      <c r="BN266" s="390" t="s">
        <v>2329</v>
      </c>
      <c r="BO266" s="446" t="s">
        <v>182</v>
      </c>
      <c r="BP266" s="390" t="s">
        <v>2329</v>
      </c>
      <c r="BQ266" s="68"/>
      <c r="BR266" s="68"/>
      <c r="BS266" s="390">
        <v>0</v>
      </c>
      <c r="BT266" s="446"/>
      <c r="BU266" s="446"/>
      <c r="BV266" s="446"/>
      <c r="BW266" s="446"/>
      <c r="BX266" s="446"/>
      <c r="BY266" s="446"/>
      <c r="BZ266" s="446"/>
      <c r="CA266" s="446"/>
      <c r="CB266" s="446"/>
      <c r="CC266" s="390"/>
      <c r="CD266" s="446"/>
      <c r="CE266" s="391">
        <v>0</v>
      </c>
      <c r="CF266" s="68"/>
      <c r="CG266" s="450">
        <f>SUM(DH266:DH267)</f>
        <v>400000000</v>
      </c>
      <c r="CH266" s="448"/>
      <c r="CI266" s="448"/>
      <c r="CJ266" s="83">
        <f t="shared" si="63"/>
        <v>0</v>
      </c>
      <c r="CK266" s="83">
        <f t="shared" si="64"/>
        <v>0</v>
      </c>
      <c r="CL266" s="83" t="str">
        <f t="shared" si="53"/>
        <v>No se reportó avance</v>
      </c>
      <c r="CM266" s="89" t="str">
        <f t="shared" si="54"/>
        <v>No se reportó avance</v>
      </c>
      <c r="CN266" s="89">
        <f t="shared" si="55"/>
        <v>0</v>
      </c>
      <c r="CO266" s="394" t="s">
        <v>2407</v>
      </c>
      <c r="CP266" s="394" t="s">
        <v>2408</v>
      </c>
      <c r="CQ266" s="394" t="s">
        <v>2409</v>
      </c>
      <c r="CR266" s="394" t="s">
        <v>2410</v>
      </c>
      <c r="CS266" s="394" t="s">
        <v>2411</v>
      </c>
      <c r="CT266" s="394" t="s">
        <v>161</v>
      </c>
      <c r="CU266" s="394" t="s">
        <v>233</v>
      </c>
      <c r="CV266" s="394" t="s">
        <v>182</v>
      </c>
      <c r="CW266" s="394" t="s">
        <v>234</v>
      </c>
      <c r="CX266" s="395">
        <v>46037</v>
      </c>
      <c r="CY266" s="395">
        <v>46387</v>
      </c>
      <c r="CZ266" s="396">
        <v>1</v>
      </c>
      <c r="DA266" s="396">
        <v>1</v>
      </c>
      <c r="DB266" s="396">
        <v>1</v>
      </c>
      <c r="DC266" s="396">
        <v>1</v>
      </c>
      <c r="DD266" s="391">
        <f t="shared" si="67"/>
        <v>4</v>
      </c>
      <c r="DE266" s="394" t="s">
        <v>265</v>
      </c>
      <c r="DF266" s="394" t="s">
        <v>2412</v>
      </c>
      <c r="DG266" s="394" t="s">
        <v>2413</v>
      </c>
      <c r="DH266" s="397">
        <v>100000000</v>
      </c>
      <c r="DI266" s="394" t="s">
        <v>182</v>
      </c>
      <c r="DJ266" s="643" t="s">
        <v>628</v>
      </c>
      <c r="DK266" s="643" t="s">
        <v>1745</v>
      </c>
      <c r="DL266" s="394" t="s">
        <v>279</v>
      </c>
      <c r="DM266" s="394" t="s">
        <v>2414</v>
      </c>
      <c r="DN266" s="446"/>
      <c r="DO266" s="654"/>
      <c r="DP266" s="446"/>
      <c r="DQ266" s="390"/>
      <c r="DR266" s="390"/>
      <c r="DS266" s="446"/>
      <c r="DT266" s="646"/>
      <c r="DU266" s="390"/>
      <c r="DV266" s="390"/>
      <c r="DW266" s="390"/>
      <c r="DX266" s="446"/>
      <c r="DY266" s="646"/>
      <c r="DZ266" s="829"/>
      <c r="EA266" s="390"/>
      <c r="EB266" s="390"/>
      <c r="EC266" s="68"/>
      <c r="ED266" s="68"/>
      <c r="EE266" s="68"/>
      <c r="EF266" s="68"/>
      <c r="EG266" s="68"/>
      <c r="EH266" s="390"/>
      <c r="EI266" s="68"/>
      <c r="EJ266" s="68"/>
      <c r="EK266" s="68"/>
      <c r="EL266" s="91" t="str">
        <f t="shared" si="56"/>
        <v>No se reportó avance</v>
      </c>
      <c r="EM266" s="83" t="str">
        <f t="shared" si="57"/>
        <v>No se reportó avance</v>
      </c>
      <c r="EN266" s="646"/>
      <c r="EO266" s="69" t="str">
        <f t="shared" si="65"/>
        <v>Producto</v>
      </c>
      <c r="EP266" s="69" t="str">
        <f t="shared" si="66"/>
        <v>6</v>
      </c>
    </row>
    <row r="267" spans="1:146" ht="150" customHeight="1">
      <c r="A267" s="390" t="s">
        <v>1718</v>
      </c>
      <c r="B267" s="398" t="s">
        <v>1719</v>
      </c>
      <c r="C267" s="399" t="s">
        <v>2315</v>
      </c>
      <c r="D267" s="400" t="s">
        <v>1721</v>
      </c>
      <c r="E267" s="401" t="s">
        <v>2238</v>
      </c>
      <c r="F267" s="390" t="s">
        <v>182</v>
      </c>
      <c r="G267" s="390" t="s">
        <v>182</v>
      </c>
      <c r="H267" s="390" t="s">
        <v>182</v>
      </c>
      <c r="I267" s="390" t="s">
        <v>728</v>
      </c>
      <c r="J267" s="390" t="s">
        <v>1723</v>
      </c>
      <c r="K267" s="390" t="s">
        <v>182</v>
      </c>
      <c r="L267" s="402">
        <v>19</v>
      </c>
      <c r="M267" s="390" t="s">
        <v>2399</v>
      </c>
      <c r="N267" s="390" t="s">
        <v>2400</v>
      </c>
      <c r="O267" s="390" t="s">
        <v>2401</v>
      </c>
      <c r="P267" s="390" t="s">
        <v>161</v>
      </c>
      <c r="Q267" s="390" t="s">
        <v>233</v>
      </c>
      <c r="R267" s="390" t="s">
        <v>182</v>
      </c>
      <c r="S267" s="390" t="s">
        <v>234</v>
      </c>
      <c r="T267" s="437">
        <v>45292</v>
      </c>
      <c r="U267" s="403">
        <v>46387</v>
      </c>
      <c r="V267" s="68"/>
      <c r="W267" s="68"/>
      <c r="X267" s="68"/>
      <c r="Y267" s="68"/>
      <c r="Z267" s="446"/>
      <c r="AA267" s="446"/>
      <c r="AB267" s="446"/>
      <c r="AC267" s="446"/>
      <c r="AD267" s="446"/>
      <c r="AE267" s="446"/>
      <c r="AF267" s="446"/>
      <c r="AG267" s="446"/>
      <c r="AH267" s="446"/>
      <c r="AI267" s="446"/>
      <c r="AJ267" s="446"/>
      <c r="AK267" s="447"/>
      <c r="AL267" s="447"/>
      <c r="AM267" s="447"/>
      <c r="AN267" s="447"/>
      <c r="AO267" s="447"/>
      <c r="AP267" s="447"/>
      <c r="AQ267" s="68"/>
      <c r="AR267" s="68"/>
      <c r="AS267" s="68"/>
      <c r="AT267" s="68"/>
      <c r="AU267" s="68"/>
      <c r="AV267" s="68"/>
      <c r="AW267" s="68"/>
      <c r="AX267" s="68"/>
      <c r="AY267" s="68"/>
      <c r="AZ267" s="68"/>
      <c r="BA267" s="68"/>
      <c r="BB267" s="68"/>
      <c r="BC267" s="68"/>
      <c r="BD267" s="68"/>
      <c r="BE267" s="68"/>
      <c r="BF267" s="68"/>
      <c r="BG267" s="68"/>
      <c r="BH267" s="68"/>
      <c r="BI267" s="68"/>
      <c r="BJ267" s="68"/>
      <c r="BK267" s="446"/>
      <c r="BL267" s="390"/>
      <c r="BM267" s="446"/>
      <c r="BN267" s="390"/>
      <c r="BO267" s="446"/>
      <c r="BP267" s="390"/>
      <c r="BQ267" s="68"/>
      <c r="BR267" s="68"/>
      <c r="BS267" s="446"/>
      <c r="BT267" s="446"/>
      <c r="BU267" s="446"/>
      <c r="BV267" s="446"/>
      <c r="BW267" s="446"/>
      <c r="BX267" s="446"/>
      <c r="BY267" s="446"/>
      <c r="BZ267" s="446"/>
      <c r="CA267" s="446"/>
      <c r="CB267" s="446"/>
      <c r="CC267" s="446"/>
      <c r="CD267" s="446"/>
      <c r="CE267" s="446"/>
      <c r="CF267" s="68"/>
      <c r="CG267" s="448"/>
      <c r="CH267" s="448"/>
      <c r="CI267" s="448"/>
      <c r="CJ267" s="83" t="str">
        <f t="shared" si="63"/>
        <v>No aplica</v>
      </c>
      <c r="CK267" s="83" t="str">
        <f t="shared" si="64"/>
        <v>No aplica</v>
      </c>
      <c r="CL267" s="83" t="str">
        <f t="shared" si="53"/>
        <v>No requiere reporte</v>
      </c>
      <c r="CM267" s="89" t="str">
        <f t="shared" si="54"/>
        <v>No requiere reporte</v>
      </c>
      <c r="CN267" s="89" t="str">
        <f t="shared" si="55"/>
        <v>No requiere reporte</v>
      </c>
      <c r="CO267" s="394" t="s">
        <v>2415</v>
      </c>
      <c r="CP267" s="394" t="s">
        <v>2416</v>
      </c>
      <c r="CQ267" s="394" t="s">
        <v>2075</v>
      </c>
      <c r="CR267" s="394" t="s">
        <v>2417</v>
      </c>
      <c r="CS267" s="394" t="s">
        <v>2418</v>
      </c>
      <c r="CT267" s="394" t="s">
        <v>161</v>
      </c>
      <c r="CU267" s="394" t="s">
        <v>233</v>
      </c>
      <c r="CV267" s="394" t="s">
        <v>182</v>
      </c>
      <c r="CW267" s="394" t="s">
        <v>234</v>
      </c>
      <c r="CX267" s="395">
        <v>46037</v>
      </c>
      <c r="CY267" s="395">
        <v>46387</v>
      </c>
      <c r="CZ267" s="396">
        <v>0</v>
      </c>
      <c r="DA267" s="396">
        <v>0</v>
      </c>
      <c r="DB267" s="396">
        <v>200</v>
      </c>
      <c r="DC267" s="396">
        <v>0</v>
      </c>
      <c r="DD267" s="391">
        <f t="shared" si="67"/>
        <v>200</v>
      </c>
      <c r="DE267" s="394" t="s">
        <v>265</v>
      </c>
      <c r="DF267" s="394" t="s">
        <v>2412</v>
      </c>
      <c r="DG267" s="394" t="s">
        <v>2413</v>
      </c>
      <c r="DH267" s="397">
        <v>300000000</v>
      </c>
      <c r="DI267" s="394" t="s">
        <v>182</v>
      </c>
      <c r="DJ267" s="643" t="s">
        <v>628</v>
      </c>
      <c r="DK267" s="643" t="s">
        <v>1745</v>
      </c>
      <c r="DL267" s="394" t="s">
        <v>279</v>
      </c>
      <c r="DM267" s="394" t="s">
        <v>2419</v>
      </c>
      <c r="DN267" s="446"/>
      <c r="DO267" s="654"/>
      <c r="DP267" s="446"/>
      <c r="DQ267" s="390"/>
      <c r="DR267" s="390"/>
      <c r="DS267" s="446"/>
      <c r="DT267" s="646"/>
      <c r="DU267" s="390"/>
      <c r="DV267" s="390"/>
      <c r="DW267" s="390"/>
      <c r="DX267" s="446"/>
      <c r="DY267" s="646"/>
      <c r="DZ267" s="390"/>
      <c r="EA267" s="390"/>
      <c r="EB267" s="390"/>
      <c r="EC267" s="68"/>
      <c r="ED267" s="68"/>
      <c r="EE267" s="68"/>
      <c r="EF267" s="68"/>
      <c r="EG267" s="68"/>
      <c r="EH267" s="390"/>
      <c r="EI267" s="68"/>
      <c r="EJ267" s="68"/>
      <c r="EK267" s="68"/>
      <c r="EL267" s="91" t="str">
        <f t="shared" si="56"/>
        <v>No aplica, no hay meta</v>
      </c>
      <c r="EM267" s="83" t="str">
        <f t="shared" si="57"/>
        <v>No se reportó avance</v>
      </c>
      <c r="EN267" s="646"/>
      <c r="EO267" s="69" t="str">
        <f t="shared" si="65"/>
        <v>Producto</v>
      </c>
      <c r="EP267" s="69" t="str">
        <f t="shared" si="66"/>
        <v>6</v>
      </c>
    </row>
    <row r="268" spans="1:146" s="93" customFormat="1" ht="163.5" customHeight="1">
      <c r="A268" s="74" t="s">
        <v>2420</v>
      </c>
      <c r="B268" s="75" t="s">
        <v>2421</v>
      </c>
      <c r="C268" s="75" t="s">
        <v>2422</v>
      </c>
      <c r="D268" s="75" t="s">
        <v>2423</v>
      </c>
      <c r="E268" s="75" t="s">
        <v>2424</v>
      </c>
      <c r="F268" s="75" t="s">
        <v>2425</v>
      </c>
      <c r="G268" s="75" t="s">
        <v>280</v>
      </c>
      <c r="H268" s="75" t="s">
        <v>280</v>
      </c>
      <c r="I268" s="74" t="s">
        <v>2426</v>
      </c>
      <c r="J268" s="74" t="s">
        <v>2427</v>
      </c>
      <c r="K268" s="74" t="s">
        <v>2428</v>
      </c>
      <c r="L268" s="176">
        <v>1</v>
      </c>
      <c r="M268" s="78" t="s">
        <v>2429</v>
      </c>
      <c r="N268" s="78" t="s">
        <v>2430</v>
      </c>
      <c r="O268" s="78" t="s">
        <v>2431</v>
      </c>
      <c r="P268" s="78" t="s">
        <v>200</v>
      </c>
      <c r="Q268" s="78" t="s">
        <v>233</v>
      </c>
      <c r="R268" s="78" t="s">
        <v>182</v>
      </c>
      <c r="S268" s="78" t="s">
        <v>163</v>
      </c>
      <c r="T268" s="80">
        <v>45292</v>
      </c>
      <c r="U268" s="80">
        <v>46387</v>
      </c>
      <c r="V268" s="121"/>
      <c r="W268" s="121"/>
      <c r="X268" s="121"/>
      <c r="Y268" s="121"/>
      <c r="Z268" s="82">
        <v>0.2</v>
      </c>
      <c r="AA268" s="121">
        <v>0.05</v>
      </c>
      <c r="AB268" s="121">
        <v>0.1</v>
      </c>
      <c r="AC268" s="121">
        <v>0.1</v>
      </c>
      <c r="AD268" s="121">
        <v>0.05</v>
      </c>
      <c r="AE268" s="82">
        <f>SUM(AA268:AD268)</f>
        <v>0.3</v>
      </c>
      <c r="AF268" s="82">
        <v>0.05</v>
      </c>
      <c r="AG268" s="82">
        <v>0.1</v>
      </c>
      <c r="AH268" s="82">
        <v>0.1</v>
      </c>
      <c r="AI268" s="82">
        <v>0.05</v>
      </c>
      <c r="AJ268" s="82">
        <v>0.3</v>
      </c>
      <c r="AK268" s="289">
        <v>0.05</v>
      </c>
      <c r="AL268" s="289">
        <v>0.05</v>
      </c>
      <c r="AM268" s="289">
        <v>0.05</v>
      </c>
      <c r="AN268" s="289">
        <v>0.05</v>
      </c>
      <c r="AO268" s="361">
        <v>0.2</v>
      </c>
      <c r="AP268" s="82">
        <f>AO268+AJ268+AE268+Z268</f>
        <v>1</v>
      </c>
      <c r="AQ268" s="84"/>
      <c r="AR268" s="84"/>
      <c r="AS268" s="84"/>
      <c r="AT268" s="84"/>
      <c r="AU268" s="84"/>
      <c r="AV268" s="84"/>
      <c r="AW268" s="84"/>
      <c r="AX268" s="84"/>
      <c r="AY268" s="83">
        <v>0.15</v>
      </c>
      <c r="AZ268" s="86" t="s">
        <v>2432</v>
      </c>
      <c r="BA268" s="83">
        <f>(2/2)*AA268</f>
        <v>0.05</v>
      </c>
      <c r="BB268" s="83" t="s">
        <v>2433</v>
      </c>
      <c r="BC268" s="83">
        <v>0.1</v>
      </c>
      <c r="BD268" s="83" t="s">
        <v>2434</v>
      </c>
      <c r="BE268" s="83">
        <v>0.2</v>
      </c>
      <c r="BF268" s="84" t="s">
        <v>2435</v>
      </c>
      <c r="BG268" s="83">
        <f>+(1)*AD268</f>
        <v>0.05</v>
      </c>
      <c r="BH268" s="83" t="s">
        <v>2436</v>
      </c>
      <c r="BI268" s="83">
        <f>+BA268+BC268+BE268+BG268</f>
        <v>0.4</v>
      </c>
      <c r="BJ268" s="87" t="s">
        <v>2437</v>
      </c>
      <c r="BK268" s="83">
        <f>(9/9)*AF268</f>
        <v>0.05</v>
      </c>
      <c r="BL268" s="87" t="s">
        <v>2438</v>
      </c>
      <c r="BM268" s="83">
        <f>(2/2)*AH268</f>
        <v>0.1</v>
      </c>
      <c r="BN268" s="87" t="s">
        <v>2439</v>
      </c>
      <c r="BO268" s="117">
        <f>((1+0.93)/2)*AH268</f>
        <v>9.6500000000000016E-2</v>
      </c>
      <c r="BP268" s="464" t="s">
        <v>2440</v>
      </c>
      <c r="BQ268" s="83"/>
      <c r="BR268" s="83"/>
      <c r="BS268" s="83">
        <f>+BK268+BM268+BO268</f>
        <v>0.24650000000000005</v>
      </c>
      <c r="BT268" s="83"/>
      <c r="BU268" s="83"/>
      <c r="BV268" s="83"/>
      <c r="BW268" s="83"/>
      <c r="BX268" s="83"/>
      <c r="BY268" s="83"/>
      <c r="BZ268" s="83"/>
      <c r="CA268" s="83"/>
      <c r="CB268" s="83"/>
      <c r="CC268" s="83"/>
      <c r="CD268" s="83"/>
      <c r="CE268" s="83">
        <f>+AY268+BI268+BS268</f>
        <v>0.7965000000000001</v>
      </c>
      <c r="CF268" s="84"/>
      <c r="CG268" s="465">
        <f>SUM(DH268:DH270)</f>
        <v>9000000000</v>
      </c>
      <c r="CH268" s="372"/>
      <c r="CI268" s="372"/>
      <c r="CJ268" s="83">
        <f t="shared" ref="CJ268:CJ300" si="75">+IFERROR(CH268/CG268,"No aplica")</f>
        <v>0</v>
      </c>
      <c r="CK268" s="83">
        <f t="shared" ref="CK268:CK300" si="76">+IFERROR(CI268/CG268,"No aplica")</f>
        <v>0</v>
      </c>
      <c r="CL268" s="83" t="str">
        <f t="shared" si="53"/>
        <v>No se reportó avance</v>
      </c>
      <c r="CM268" s="89" t="str">
        <f t="shared" si="54"/>
        <v>No se reportó avance</v>
      </c>
      <c r="CN268" s="89">
        <f t="shared" si="55"/>
        <v>0.7965000000000001</v>
      </c>
      <c r="CO268" s="145" t="s">
        <v>177</v>
      </c>
      <c r="CP268" s="145" t="s">
        <v>2441</v>
      </c>
      <c r="CQ268" s="145" t="s">
        <v>2442</v>
      </c>
      <c r="CR268" s="145" t="s">
        <v>2443</v>
      </c>
      <c r="CS268" s="145" t="s">
        <v>2444</v>
      </c>
      <c r="CT268" s="145" t="s">
        <v>953</v>
      </c>
      <c r="CU268" s="145" t="s">
        <v>233</v>
      </c>
      <c r="CV268" s="145">
        <v>398</v>
      </c>
      <c r="CW268" s="145" t="s">
        <v>402</v>
      </c>
      <c r="CX268" s="663">
        <v>46023</v>
      </c>
      <c r="CY268" s="663">
        <v>46387</v>
      </c>
      <c r="CZ268" s="154">
        <v>50</v>
      </c>
      <c r="DA268" s="154">
        <v>94</v>
      </c>
      <c r="DB268" s="154">
        <v>130</v>
      </c>
      <c r="DC268" s="154">
        <v>30</v>
      </c>
      <c r="DD268" s="154">
        <f>+CZ268+DA268+DB268+DC268</f>
        <v>304</v>
      </c>
      <c r="DE268" s="145" t="s">
        <v>265</v>
      </c>
      <c r="DF268" s="145" t="s">
        <v>2445</v>
      </c>
      <c r="DG268" s="145" t="s">
        <v>2446</v>
      </c>
      <c r="DH268" s="466">
        <v>4500000000</v>
      </c>
      <c r="DI268" s="664" t="s">
        <v>753</v>
      </c>
      <c r="DJ268" s="145" t="s">
        <v>754</v>
      </c>
      <c r="DK268" s="145" t="s">
        <v>755</v>
      </c>
      <c r="DL268" s="145" t="s">
        <v>279</v>
      </c>
      <c r="DM268" s="145" t="s">
        <v>201</v>
      </c>
      <c r="DN268" s="84"/>
      <c r="DO268" s="86"/>
      <c r="DP268" s="467"/>
      <c r="DQ268" s="86"/>
      <c r="DR268" s="86"/>
      <c r="DS268" s="84"/>
      <c r="DT268" s="86"/>
      <c r="DU268" s="84"/>
      <c r="DV268" s="86"/>
      <c r="DW268" s="86"/>
      <c r="DX268" s="84"/>
      <c r="DY268" s="670"/>
      <c r="DZ268" s="84"/>
      <c r="EA268" s="86"/>
      <c r="EB268" s="86"/>
      <c r="EC268" s="84"/>
      <c r="ED268" s="84"/>
      <c r="EE268" s="84"/>
      <c r="EF268" s="84"/>
      <c r="EG268" s="84"/>
      <c r="EH268" s="84"/>
      <c r="EI268" s="84"/>
      <c r="EJ268" s="84"/>
      <c r="EK268" s="84"/>
      <c r="EL268" s="91" t="str">
        <f t="shared" si="56"/>
        <v>No se reportó avance</v>
      </c>
      <c r="EM268" s="83" t="str">
        <f t="shared" si="57"/>
        <v>No se reportó avance</v>
      </c>
      <c r="EN268" s="86" t="s">
        <v>2447</v>
      </c>
      <c r="EO268" s="93" t="str">
        <f t="shared" ref="EO268:EO277" si="77">+IF(OR(P268="Producto",P268="Resultado",P268="Impacto"),"Producto",P268)</f>
        <v>Gestión</v>
      </c>
      <c r="EP268" s="93" t="str">
        <f t="shared" ref="EP268:EP277" si="78">+MID(J268,1,1)</f>
        <v>3</v>
      </c>
    </row>
    <row r="269" spans="1:146" s="179" customFormat="1" ht="150" customHeight="1">
      <c r="A269" s="84" t="s">
        <v>2420</v>
      </c>
      <c r="B269" s="85" t="s">
        <v>2421</v>
      </c>
      <c r="C269" s="85" t="s">
        <v>2422</v>
      </c>
      <c r="D269" s="85" t="s">
        <v>2423</v>
      </c>
      <c r="E269" s="85" t="s">
        <v>2424</v>
      </c>
      <c r="F269" s="85" t="s">
        <v>2425</v>
      </c>
      <c r="G269" s="85" t="s">
        <v>280</v>
      </c>
      <c r="H269" s="85" t="s">
        <v>280</v>
      </c>
      <c r="I269" s="84" t="s">
        <v>2426</v>
      </c>
      <c r="J269" s="84" t="s">
        <v>2427</v>
      </c>
      <c r="K269" s="84" t="s">
        <v>2428</v>
      </c>
      <c r="L269" s="122">
        <v>1</v>
      </c>
      <c r="M269" s="84" t="s">
        <v>2448</v>
      </c>
      <c r="N269" s="84" t="s">
        <v>2449</v>
      </c>
      <c r="O269" s="84" t="s">
        <v>2450</v>
      </c>
      <c r="P269" s="84" t="s">
        <v>200</v>
      </c>
      <c r="Q269" s="84" t="s">
        <v>233</v>
      </c>
      <c r="R269" s="84" t="s">
        <v>182</v>
      </c>
      <c r="S269" s="84" t="s">
        <v>163</v>
      </c>
      <c r="T269" s="90">
        <v>45292</v>
      </c>
      <c r="U269" s="90">
        <v>46387</v>
      </c>
      <c r="V269" s="83"/>
      <c r="W269" s="83"/>
      <c r="X269" s="83"/>
      <c r="Y269" s="83"/>
      <c r="Z269" s="83"/>
      <c r="AA269" s="83"/>
      <c r="AB269" s="83"/>
      <c r="AC269" s="83"/>
      <c r="AD269" s="83"/>
      <c r="AE269" s="83"/>
      <c r="AF269" s="83"/>
      <c r="AG269" s="83"/>
      <c r="AH269" s="83"/>
      <c r="AI269" s="83"/>
      <c r="AJ269" s="83"/>
      <c r="AK269" s="83"/>
      <c r="AL269" s="83"/>
      <c r="AM269" s="83"/>
      <c r="AN269" s="83"/>
      <c r="AO269" s="83"/>
      <c r="AP269" s="83"/>
      <c r="AQ269" s="84"/>
      <c r="AR269" s="84"/>
      <c r="AS269" s="84"/>
      <c r="AT269" s="84"/>
      <c r="AU269" s="84"/>
      <c r="AV269" s="84"/>
      <c r="AW269" s="84"/>
      <c r="AX269" s="84"/>
      <c r="AY269" s="84"/>
      <c r="AZ269" s="86"/>
      <c r="BA269" s="84"/>
      <c r="BB269" s="84"/>
      <c r="BC269" s="84"/>
      <c r="BD269" s="84"/>
      <c r="BE269" s="84"/>
      <c r="BF269" s="84"/>
      <c r="BG269" s="84"/>
      <c r="BH269" s="84"/>
      <c r="BI269" s="84"/>
      <c r="BJ269" s="86"/>
      <c r="BK269" s="84"/>
      <c r="BL269" s="86"/>
      <c r="BM269" s="84"/>
      <c r="BN269" s="86"/>
      <c r="BO269" s="84"/>
      <c r="BP269" s="86"/>
      <c r="BQ269" s="84"/>
      <c r="BR269" s="84"/>
      <c r="BS269" s="84"/>
      <c r="BT269" s="84"/>
      <c r="BU269" s="84"/>
      <c r="BV269" s="84"/>
      <c r="BW269" s="84"/>
      <c r="BX269" s="84"/>
      <c r="BY269" s="84"/>
      <c r="BZ269" s="84"/>
      <c r="CA269" s="84"/>
      <c r="CB269" s="84"/>
      <c r="CC269" s="84"/>
      <c r="CD269" s="84"/>
      <c r="CE269" s="84"/>
      <c r="CF269" s="84"/>
      <c r="CG269" s="468"/>
      <c r="CH269" s="372"/>
      <c r="CI269" s="372"/>
      <c r="CJ269" s="83" t="str">
        <f t="shared" si="75"/>
        <v>No aplica</v>
      </c>
      <c r="CK269" s="83" t="str">
        <f t="shared" si="76"/>
        <v>No aplica</v>
      </c>
      <c r="CL269" s="83" t="str">
        <f t="shared" si="53"/>
        <v>No requiere reporte</v>
      </c>
      <c r="CM269" s="89" t="str">
        <f t="shared" si="54"/>
        <v>No requiere reporte</v>
      </c>
      <c r="CN269" s="89" t="str">
        <f t="shared" si="55"/>
        <v>No requiere reporte</v>
      </c>
      <c r="CO269" s="145" t="s">
        <v>185</v>
      </c>
      <c r="CP269" s="145" t="s">
        <v>2451</v>
      </c>
      <c r="CQ269" s="145" t="s">
        <v>2442</v>
      </c>
      <c r="CR269" s="145" t="s">
        <v>2452</v>
      </c>
      <c r="CS269" s="145" t="s">
        <v>2453</v>
      </c>
      <c r="CT269" s="145" t="s">
        <v>953</v>
      </c>
      <c r="CU269" s="145" t="s">
        <v>233</v>
      </c>
      <c r="CV269" s="83" t="s">
        <v>182</v>
      </c>
      <c r="CW269" s="145" t="s">
        <v>402</v>
      </c>
      <c r="CX269" s="663">
        <v>46023</v>
      </c>
      <c r="CY269" s="663">
        <v>46387</v>
      </c>
      <c r="CZ269" s="154">
        <v>70</v>
      </c>
      <c r="DA269" s="154">
        <v>120</v>
      </c>
      <c r="DB269" s="154">
        <v>120</v>
      </c>
      <c r="DC269" s="154">
        <v>34</v>
      </c>
      <c r="DD269" s="154">
        <f>+CZ269+DA269+DB269+DC269</f>
        <v>344</v>
      </c>
      <c r="DE269" s="145" t="s">
        <v>265</v>
      </c>
      <c r="DF269" s="145" t="s">
        <v>2445</v>
      </c>
      <c r="DG269" s="145" t="s">
        <v>2446</v>
      </c>
      <c r="DH269" s="466">
        <v>4500000000</v>
      </c>
      <c r="DI269" s="664" t="s">
        <v>753</v>
      </c>
      <c r="DJ269" s="145" t="s">
        <v>754</v>
      </c>
      <c r="DK269" s="145" t="s">
        <v>755</v>
      </c>
      <c r="DL269" s="145" t="s">
        <v>279</v>
      </c>
      <c r="DM269" s="145" t="s">
        <v>201</v>
      </c>
      <c r="DN269" s="84"/>
      <c r="DO269" s="86"/>
      <c r="DP269" s="467"/>
      <c r="DQ269" s="86"/>
      <c r="DR269" s="86"/>
      <c r="DS269" s="84"/>
      <c r="DT269" s="86"/>
      <c r="DU269" s="84"/>
      <c r="DV269" s="86"/>
      <c r="DW269" s="86"/>
      <c r="DX269" s="84"/>
      <c r="DY269" s="86"/>
      <c r="DZ269" s="84"/>
      <c r="EA269" s="86"/>
      <c r="EB269" s="86"/>
      <c r="EC269" s="84"/>
      <c r="ED269" s="84"/>
      <c r="EE269" s="84"/>
      <c r="EF269" s="84"/>
      <c r="EG269" s="84"/>
      <c r="EH269" s="84"/>
      <c r="EI269" s="84"/>
      <c r="EJ269" s="84"/>
      <c r="EK269" s="84"/>
      <c r="EL269" s="91" t="str">
        <f t="shared" si="56"/>
        <v>No se reportó avance</v>
      </c>
      <c r="EM269" s="83" t="str">
        <f t="shared" si="57"/>
        <v>No se reportó avance</v>
      </c>
      <c r="EN269" s="86"/>
      <c r="EO269" s="93" t="str">
        <f t="shared" si="77"/>
        <v>Gestión</v>
      </c>
      <c r="EP269" s="93" t="str">
        <f t="shared" si="78"/>
        <v>3</v>
      </c>
    </row>
    <row r="270" spans="1:146" s="179" customFormat="1" ht="150" customHeight="1">
      <c r="A270" s="84" t="s">
        <v>2420</v>
      </c>
      <c r="B270" s="85" t="s">
        <v>2421</v>
      </c>
      <c r="C270" s="85" t="s">
        <v>2422</v>
      </c>
      <c r="D270" s="85" t="s">
        <v>2423</v>
      </c>
      <c r="E270" s="85" t="s">
        <v>2424</v>
      </c>
      <c r="F270" s="85" t="s">
        <v>2425</v>
      </c>
      <c r="G270" s="85" t="s">
        <v>280</v>
      </c>
      <c r="H270" s="85" t="s">
        <v>280</v>
      </c>
      <c r="I270" s="84" t="s">
        <v>2426</v>
      </c>
      <c r="J270" s="84" t="s">
        <v>2427</v>
      </c>
      <c r="K270" s="84" t="s">
        <v>2428</v>
      </c>
      <c r="L270" s="122">
        <v>1</v>
      </c>
      <c r="M270" s="84" t="s">
        <v>2448</v>
      </c>
      <c r="N270" s="84" t="s">
        <v>2449</v>
      </c>
      <c r="O270" s="84" t="s">
        <v>2450</v>
      </c>
      <c r="P270" s="84" t="s">
        <v>200</v>
      </c>
      <c r="Q270" s="84" t="s">
        <v>233</v>
      </c>
      <c r="R270" s="84" t="s">
        <v>182</v>
      </c>
      <c r="S270" s="84" t="s">
        <v>163</v>
      </c>
      <c r="T270" s="90">
        <v>45292</v>
      </c>
      <c r="U270" s="90">
        <v>46387</v>
      </c>
      <c r="V270" s="83"/>
      <c r="W270" s="83"/>
      <c r="X270" s="83"/>
      <c r="Y270" s="83"/>
      <c r="Z270" s="83"/>
      <c r="AA270" s="83"/>
      <c r="AB270" s="83"/>
      <c r="AC270" s="83"/>
      <c r="AD270" s="83"/>
      <c r="AE270" s="83"/>
      <c r="AF270" s="83"/>
      <c r="AG270" s="83"/>
      <c r="AH270" s="83"/>
      <c r="AI270" s="83"/>
      <c r="AJ270" s="83"/>
      <c r="AK270" s="83"/>
      <c r="AL270" s="83"/>
      <c r="AM270" s="83"/>
      <c r="AN270" s="83"/>
      <c r="AO270" s="83"/>
      <c r="AP270" s="83"/>
      <c r="AQ270" s="84"/>
      <c r="AR270" s="84"/>
      <c r="AS270" s="84"/>
      <c r="AT270" s="84"/>
      <c r="AU270" s="84"/>
      <c r="AV270" s="84"/>
      <c r="AW270" s="84"/>
      <c r="AX270" s="84"/>
      <c r="AY270" s="84"/>
      <c r="AZ270" s="86"/>
      <c r="BA270" s="84"/>
      <c r="BB270" s="84"/>
      <c r="BC270" s="84"/>
      <c r="BD270" s="84"/>
      <c r="BE270" s="84"/>
      <c r="BF270" s="84"/>
      <c r="BG270" s="84"/>
      <c r="BH270" s="84"/>
      <c r="BI270" s="84"/>
      <c r="BJ270" s="86"/>
      <c r="BK270" s="84"/>
      <c r="BL270" s="86"/>
      <c r="BM270" s="84"/>
      <c r="BN270" s="86"/>
      <c r="BO270" s="84"/>
      <c r="BP270" s="86"/>
      <c r="BQ270" s="84"/>
      <c r="BR270" s="84"/>
      <c r="BS270" s="84"/>
      <c r="BT270" s="84"/>
      <c r="BU270" s="84"/>
      <c r="BV270" s="84"/>
      <c r="BW270" s="84"/>
      <c r="BX270" s="84"/>
      <c r="BY270" s="84"/>
      <c r="BZ270" s="84"/>
      <c r="CA270" s="84"/>
      <c r="CB270" s="84"/>
      <c r="CC270" s="84"/>
      <c r="CD270" s="84"/>
      <c r="CE270" s="84"/>
      <c r="CF270" s="84"/>
      <c r="CG270" s="468"/>
      <c r="CH270" s="372"/>
      <c r="CI270" s="372"/>
      <c r="CJ270" s="83" t="str">
        <f t="shared" si="75"/>
        <v>No aplica</v>
      </c>
      <c r="CK270" s="83" t="str">
        <f t="shared" si="76"/>
        <v>No aplica</v>
      </c>
      <c r="CL270" s="83" t="str">
        <f t="shared" si="53"/>
        <v>No requiere reporte</v>
      </c>
      <c r="CM270" s="89" t="str">
        <f t="shared" si="54"/>
        <v>No requiere reporte</v>
      </c>
      <c r="CN270" s="89" t="str">
        <f t="shared" si="55"/>
        <v>No requiere reporte</v>
      </c>
      <c r="CO270" s="145" t="s">
        <v>764</v>
      </c>
      <c r="CP270" s="145" t="s">
        <v>2454</v>
      </c>
      <c r="CQ270" s="145" t="s">
        <v>2442</v>
      </c>
      <c r="CR270" s="145" t="s">
        <v>2455</v>
      </c>
      <c r="CS270" s="145" t="s">
        <v>2456</v>
      </c>
      <c r="CT270" s="145" t="s">
        <v>953</v>
      </c>
      <c r="CU270" s="145" t="s">
        <v>233</v>
      </c>
      <c r="CV270" s="83" t="s">
        <v>182</v>
      </c>
      <c r="CW270" s="145" t="s">
        <v>402</v>
      </c>
      <c r="CX270" s="663">
        <v>46023</v>
      </c>
      <c r="CY270" s="663">
        <v>46387</v>
      </c>
      <c r="CZ270" s="154">
        <v>20</v>
      </c>
      <c r="DA270" s="154">
        <v>42</v>
      </c>
      <c r="DB270" s="154">
        <v>42</v>
      </c>
      <c r="DC270" s="154">
        <v>42</v>
      </c>
      <c r="DD270" s="154">
        <f>+CZ270+DA270+DB270+DC270</f>
        <v>146</v>
      </c>
      <c r="DE270" s="145" t="s">
        <v>280</v>
      </c>
      <c r="DF270" s="145" t="s">
        <v>280</v>
      </c>
      <c r="DG270" s="145" t="s">
        <v>280</v>
      </c>
      <c r="DH270" s="466">
        <v>0</v>
      </c>
      <c r="DI270" s="664" t="s">
        <v>753</v>
      </c>
      <c r="DJ270" s="145" t="s">
        <v>754</v>
      </c>
      <c r="DK270" s="145" t="s">
        <v>755</v>
      </c>
      <c r="DL270" s="145" t="s">
        <v>201</v>
      </c>
      <c r="DM270" s="145" t="s">
        <v>201</v>
      </c>
      <c r="DN270" s="84"/>
      <c r="DO270" s="86"/>
      <c r="DP270" s="467"/>
      <c r="DQ270" s="86"/>
      <c r="DR270" s="86"/>
      <c r="DS270" s="84"/>
      <c r="DT270" s="86"/>
      <c r="DU270" s="84"/>
      <c r="DV270" s="86"/>
      <c r="DW270" s="86"/>
      <c r="DX270" s="84"/>
      <c r="DY270" s="86"/>
      <c r="DZ270" s="84"/>
      <c r="EA270" s="86"/>
      <c r="EB270" s="86"/>
      <c r="EC270" s="84"/>
      <c r="ED270" s="84"/>
      <c r="EE270" s="84"/>
      <c r="EF270" s="84"/>
      <c r="EG270" s="84"/>
      <c r="EH270" s="84"/>
      <c r="EI270" s="84"/>
      <c r="EJ270" s="84"/>
      <c r="EK270" s="84"/>
      <c r="EL270" s="91" t="str">
        <f t="shared" si="56"/>
        <v>No se reportó avance</v>
      </c>
      <c r="EM270" s="83" t="str">
        <f t="shared" si="57"/>
        <v>No se reportó avance</v>
      </c>
      <c r="EN270" s="86"/>
      <c r="EO270" s="93"/>
      <c r="EP270" s="93"/>
    </row>
    <row r="271" spans="1:146" s="93" customFormat="1" ht="409.5" hidden="1">
      <c r="A271" s="159" t="s">
        <v>2420</v>
      </c>
      <c r="B271" s="158" t="s">
        <v>2457</v>
      </c>
      <c r="C271" s="158" t="s">
        <v>2458</v>
      </c>
      <c r="D271" s="158" t="s">
        <v>2459</v>
      </c>
      <c r="E271" s="158" t="s">
        <v>2460</v>
      </c>
      <c r="F271" s="158" t="s">
        <v>2425</v>
      </c>
      <c r="G271" s="158" t="s">
        <v>280</v>
      </c>
      <c r="H271" s="158" t="s">
        <v>280</v>
      </c>
      <c r="I271" s="159" t="s">
        <v>2426</v>
      </c>
      <c r="J271" s="159" t="s">
        <v>2427</v>
      </c>
      <c r="K271" s="159"/>
      <c r="L271" s="469">
        <v>2</v>
      </c>
      <c r="M271" s="159" t="s">
        <v>2461</v>
      </c>
      <c r="N271" s="159" t="s">
        <v>2462</v>
      </c>
      <c r="O271" s="159" t="s">
        <v>2463</v>
      </c>
      <c r="P271" s="159" t="s">
        <v>953</v>
      </c>
      <c r="Q271" s="159" t="s">
        <v>233</v>
      </c>
      <c r="R271" s="159" t="s">
        <v>182</v>
      </c>
      <c r="S271" s="159" t="s">
        <v>163</v>
      </c>
      <c r="T271" s="162">
        <v>44927</v>
      </c>
      <c r="U271" s="162">
        <v>45261</v>
      </c>
      <c r="V271" s="160">
        <v>0.05</v>
      </c>
      <c r="W271" s="160">
        <v>0.1</v>
      </c>
      <c r="X271" s="160">
        <v>0.15</v>
      </c>
      <c r="Y271" s="160">
        <v>0.2</v>
      </c>
      <c r="Z271" s="160">
        <v>0.2</v>
      </c>
      <c r="AA271" s="160">
        <v>0.05</v>
      </c>
      <c r="AB271" s="160">
        <v>0.1</v>
      </c>
      <c r="AC271" s="160">
        <v>0.1</v>
      </c>
      <c r="AD271" s="160">
        <v>0.05</v>
      </c>
      <c r="AE271" s="160">
        <v>0.3</v>
      </c>
      <c r="AF271" s="160"/>
      <c r="AG271" s="160"/>
      <c r="AH271" s="160"/>
      <c r="AI271" s="160"/>
      <c r="AJ271" s="160">
        <v>0.3</v>
      </c>
      <c r="AK271" s="160"/>
      <c r="AL271" s="160"/>
      <c r="AM271" s="160"/>
      <c r="AN271" s="160"/>
      <c r="AO271" s="160">
        <v>0.2</v>
      </c>
      <c r="AP271" s="160">
        <f>+Z271</f>
        <v>0.2</v>
      </c>
      <c r="AQ271" s="160">
        <f>+(3/3)*V271</f>
        <v>0.05</v>
      </c>
      <c r="AR271" s="159" t="s">
        <v>2464</v>
      </c>
      <c r="AS271" s="160">
        <f>+(2/2)*W271</f>
        <v>0.1</v>
      </c>
      <c r="AT271" s="159" t="s">
        <v>2465</v>
      </c>
      <c r="AU271" s="160">
        <f>+(1/1)*X271</f>
        <v>0.15</v>
      </c>
      <c r="AV271" s="159" t="s">
        <v>2466</v>
      </c>
      <c r="AW271" s="160">
        <f>+(7/7)*Y271</f>
        <v>0.2</v>
      </c>
      <c r="AX271" s="159" t="s">
        <v>2467</v>
      </c>
      <c r="AY271" s="160">
        <f>+(7/7)*Z271</f>
        <v>0.2</v>
      </c>
      <c r="AZ271" s="164" t="s">
        <v>2468</v>
      </c>
      <c r="BA271" s="160">
        <v>0</v>
      </c>
      <c r="BB271" s="159" t="s">
        <v>2469</v>
      </c>
      <c r="BC271" s="159"/>
      <c r="BD271" s="159"/>
      <c r="BE271" s="159"/>
      <c r="BF271" s="159"/>
      <c r="BG271" s="159"/>
      <c r="BH271" s="159"/>
      <c r="BI271" s="159"/>
      <c r="BJ271" s="164"/>
      <c r="BK271" s="159"/>
      <c r="BL271" s="164"/>
      <c r="BM271" s="159"/>
      <c r="BN271" s="164"/>
      <c r="BO271" s="159"/>
      <c r="BP271" s="164"/>
      <c r="BQ271" s="159"/>
      <c r="BR271" s="159"/>
      <c r="BS271" s="159"/>
      <c r="BT271" s="159"/>
      <c r="BU271" s="159"/>
      <c r="BV271" s="159"/>
      <c r="BW271" s="159"/>
      <c r="BX271" s="159"/>
      <c r="BY271" s="159"/>
      <c r="BZ271" s="159"/>
      <c r="CA271" s="159"/>
      <c r="CB271" s="159"/>
      <c r="CC271" s="159"/>
      <c r="CD271" s="159"/>
      <c r="CE271" s="160"/>
      <c r="CF271" s="159"/>
      <c r="CG271" s="470"/>
      <c r="CH271" s="471"/>
      <c r="CI271" s="471"/>
      <c r="CJ271" s="160" t="str">
        <f t="shared" si="75"/>
        <v>No aplica</v>
      </c>
      <c r="CK271" s="160" t="str">
        <f t="shared" si="76"/>
        <v>No aplica</v>
      </c>
      <c r="CL271" s="83" t="str">
        <f t="shared" si="53"/>
        <v>No aplica, no hay meta</v>
      </c>
      <c r="CM271" s="89" t="str">
        <f t="shared" si="54"/>
        <v>No se reportó avance</v>
      </c>
      <c r="CN271" s="89" t="str">
        <f t="shared" si="55"/>
        <v>No se reportó avance</v>
      </c>
      <c r="CO271" s="165" t="s">
        <v>225</v>
      </c>
      <c r="CP271" s="165"/>
      <c r="CQ271" s="165"/>
      <c r="CR271" s="165"/>
      <c r="CS271" s="165"/>
      <c r="CT271" s="165"/>
      <c r="CU271" s="165"/>
      <c r="CV271" s="165"/>
      <c r="CW271" s="165"/>
      <c r="CX271" s="472"/>
      <c r="CY271" s="472"/>
      <c r="CZ271" s="473"/>
      <c r="DA271" s="473"/>
      <c r="DB271" s="473"/>
      <c r="DC271" s="473"/>
      <c r="DD271" s="473"/>
      <c r="DE271" s="165"/>
      <c r="DF271" s="165"/>
      <c r="DG271" s="165"/>
      <c r="DH271" s="474"/>
      <c r="DI271" s="165"/>
      <c r="DJ271" s="165"/>
      <c r="DK271" s="165"/>
      <c r="DL271" s="165"/>
      <c r="DM271" s="165"/>
      <c r="DN271" s="159"/>
      <c r="DO271" s="164"/>
      <c r="DP271" s="159"/>
      <c r="DQ271" s="164"/>
      <c r="DR271" s="164"/>
      <c r="DS271" s="159"/>
      <c r="DT271" s="164"/>
      <c r="DU271" s="159"/>
      <c r="DV271" s="164"/>
      <c r="DW271" s="164"/>
      <c r="DX271" s="159"/>
      <c r="DY271" s="164"/>
      <c r="DZ271" s="159"/>
      <c r="EA271" s="164"/>
      <c r="EB271" s="164"/>
      <c r="EC271" s="159"/>
      <c r="ED271" s="159"/>
      <c r="EE271" s="159"/>
      <c r="EF271" s="159"/>
      <c r="EG271" s="159"/>
      <c r="EH271" s="159"/>
      <c r="EI271" s="159"/>
      <c r="EJ271" s="159"/>
      <c r="EK271" s="159"/>
      <c r="EL271" s="91" t="str">
        <f t="shared" si="56"/>
        <v>No aplica, no hay meta</v>
      </c>
      <c r="EM271" s="83" t="str">
        <f t="shared" si="57"/>
        <v>No aplica, no hay meta</v>
      </c>
      <c r="EN271" s="164" t="s">
        <v>2470</v>
      </c>
      <c r="EO271" s="93" t="str">
        <f t="shared" si="77"/>
        <v xml:space="preserve">Gestión </v>
      </c>
      <c r="EP271" s="93" t="str">
        <f t="shared" si="78"/>
        <v>3</v>
      </c>
    </row>
    <row r="272" spans="1:146" s="93" customFormat="1" ht="150" customHeight="1">
      <c r="A272" s="74" t="s">
        <v>2420</v>
      </c>
      <c r="B272" s="75" t="s">
        <v>2457</v>
      </c>
      <c r="C272" s="75" t="s">
        <v>2422</v>
      </c>
      <c r="D272" s="75" t="s">
        <v>2471</v>
      </c>
      <c r="E272" s="75" t="s">
        <v>2472</v>
      </c>
      <c r="F272" s="75" t="s">
        <v>2425</v>
      </c>
      <c r="G272" s="75" t="s">
        <v>2473</v>
      </c>
      <c r="H272" s="74" t="s">
        <v>2474</v>
      </c>
      <c r="I272" s="74" t="s">
        <v>2426</v>
      </c>
      <c r="J272" s="74" t="s">
        <v>2427</v>
      </c>
      <c r="K272" s="74" t="s">
        <v>2475</v>
      </c>
      <c r="L272" s="78">
        <v>3</v>
      </c>
      <c r="M272" s="78" t="s">
        <v>2476</v>
      </c>
      <c r="N272" s="78" t="s">
        <v>2477</v>
      </c>
      <c r="O272" s="78" t="s">
        <v>2478</v>
      </c>
      <c r="P272" s="78" t="s">
        <v>200</v>
      </c>
      <c r="Q272" s="78" t="s">
        <v>162</v>
      </c>
      <c r="R272" s="79">
        <v>1</v>
      </c>
      <c r="S272" s="78" t="s">
        <v>163</v>
      </c>
      <c r="T272" s="80">
        <v>45292</v>
      </c>
      <c r="U272" s="80">
        <v>46387</v>
      </c>
      <c r="V272" s="74"/>
      <c r="W272" s="74"/>
      <c r="X272" s="74"/>
      <c r="Y272" s="192"/>
      <c r="Z272" s="82">
        <v>1</v>
      </c>
      <c r="AA272" s="121">
        <v>1</v>
      </c>
      <c r="AB272" s="121">
        <v>1</v>
      </c>
      <c r="AC272" s="121">
        <v>1</v>
      </c>
      <c r="AD272" s="121">
        <v>1</v>
      </c>
      <c r="AE272" s="82">
        <v>1</v>
      </c>
      <c r="AF272" s="82">
        <v>1</v>
      </c>
      <c r="AG272" s="82">
        <v>1</v>
      </c>
      <c r="AH272" s="82">
        <v>1</v>
      </c>
      <c r="AI272" s="82">
        <v>1</v>
      </c>
      <c r="AJ272" s="82">
        <v>1</v>
      </c>
      <c r="AK272" s="289">
        <v>1</v>
      </c>
      <c r="AL272" s="289">
        <v>1</v>
      </c>
      <c r="AM272" s="289">
        <v>1</v>
      </c>
      <c r="AN272" s="289">
        <v>1</v>
      </c>
      <c r="AO272" s="361">
        <v>1</v>
      </c>
      <c r="AP272" s="82">
        <v>1</v>
      </c>
      <c r="AQ272" s="84"/>
      <c r="AR272" s="84"/>
      <c r="AS272" s="84"/>
      <c r="AT272" s="84"/>
      <c r="AU272" s="84"/>
      <c r="AV272" s="84"/>
      <c r="AW272" s="84"/>
      <c r="AX272" s="84"/>
      <c r="AY272" s="83">
        <f>39/39</f>
        <v>1</v>
      </c>
      <c r="AZ272" s="86" t="s">
        <v>2479</v>
      </c>
      <c r="BA272" s="83">
        <f>6/6</f>
        <v>1</v>
      </c>
      <c r="BB272" s="84" t="s">
        <v>2480</v>
      </c>
      <c r="BC272" s="83">
        <f>7/7</f>
        <v>1</v>
      </c>
      <c r="BD272" s="84" t="s">
        <v>2481</v>
      </c>
      <c r="BE272" s="144">
        <f>8/8</f>
        <v>1</v>
      </c>
      <c r="BF272" s="84" t="s">
        <v>2482</v>
      </c>
      <c r="BG272" s="83">
        <v>1</v>
      </c>
      <c r="BH272" s="83" t="s">
        <v>2483</v>
      </c>
      <c r="BI272" s="83">
        <f>21/21</f>
        <v>1</v>
      </c>
      <c r="BJ272" s="87" t="s">
        <v>2484</v>
      </c>
      <c r="BK272" s="83">
        <f>5/5</f>
        <v>1</v>
      </c>
      <c r="BL272" s="87" t="s">
        <v>2485</v>
      </c>
      <c r="BM272" s="83">
        <f>3/3</f>
        <v>1</v>
      </c>
      <c r="BN272" s="87" t="s">
        <v>2486</v>
      </c>
      <c r="BO272" s="83">
        <f>5/5</f>
        <v>1</v>
      </c>
      <c r="BP272" s="87" t="s">
        <v>2487</v>
      </c>
      <c r="BQ272" s="83"/>
      <c r="BR272" s="83"/>
      <c r="BS272" s="83">
        <f>13/13</f>
        <v>1</v>
      </c>
      <c r="BT272" s="83"/>
      <c r="BU272" s="83"/>
      <c r="BV272" s="83"/>
      <c r="BW272" s="83"/>
      <c r="BX272" s="83"/>
      <c r="BY272" s="83"/>
      <c r="BZ272" s="83"/>
      <c r="CA272" s="83"/>
      <c r="CB272" s="83"/>
      <c r="CC272" s="83"/>
      <c r="CD272" s="83"/>
      <c r="CE272" s="83">
        <v>1</v>
      </c>
      <c r="CF272" s="84"/>
      <c r="CG272" s="465">
        <f>SUM(DH272:DH273)</f>
        <v>8822518000</v>
      </c>
      <c r="CH272" s="372"/>
      <c r="CI272" s="372"/>
      <c r="CJ272" s="83">
        <f t="shared" si="75"/>
        <v>0</v>
      </c>
      <c r="CK272" s="83">
        <f t="shared" si="76"/>
        <v>0</v>
      </c>
      <c r="CL272" s="83" t="str">
        <f t="shared" si="53"/>
        <v>No se reportó avance</v>
      </c>
      <c r="CM272" s="89" t="str">
        <f t="shared" si="54"/>
        <v>No se reportó avance</v>
      </c>
      <c r="CN272" s="89">
        <f t="shared" si="55"/>
        <v>1</v>
      </c>
      <c r="CO272" s="145" t="s">
        <v>236</v>
      </c>
      <c r="CP272" s="145" t="s">
        <v>2488</v>
      </c>
      <c r="CQ272" s="145" t="s">
        <v>2489</v>
      </c>
      <c r="CR272" s="145" t="s">
        <v>2490</v>
      </c>
      <c r="CS272" s="145" t="s">
        <v>2491</v>
      </c>
      <c r="CT272" s="665" t="s">
        <v>953</v>
      </c>
      <c r="CU272" s="665" t="s">
        <v>162</v>
      </c>
      <c r="CV272" s="666">
        <v>1</v>
      </c>
      <c r="CW272" s="665" t="s">
        <v>252</v>
      </c>
      <c r="CX272" s="663">
        <v>46023</v>
      </c>
      <c r="CY272" s="663">
        <v>46387</v>
      </c>
      <c r="CZ272" s="146">
        <v>1</v>
      </c>
      <c r="DA272" s="146">
        <v>1</v>
      </c>
      <c r="DB272" s="146">
        <v>1</v>
      </c>
      <c r="DC272" s="146">
        <v>1</v>
      </c>
      <c r="DD272" s="146">
        <v>1</v>
      </c>
      <c r="DE272" s="145" t="s">
        <v>761</v>
      </c>
      <c r="DF272" s="145" t="s">
        <v>2492</v>
      </c>
      <c r="DG272" s="145" t="s">
        <v>2493</v>
      </c>
      <c r="DH272" s="475">
        <f>5000000000</f>
        <v>5000000000</v>
      </c>
      <c r="DI272" s="664" t="s">
        <v>753</v>
      </c>
      <c r="DJ272" s="145" t="s">
        <v>754</v>
      </c>
      <c r="DK272" s="145" t="s">
        <v>755</v>
      </c>
      <c r="DL272" s="145" t="s">
        <v>279</v>
      </c>
      <c r="DM272" s="145" t="s">
        <v>201</v>
      </c>
      <c r="DN272" s="83"/>
      <c r="DO272" s="86"/>
      <c r="DP272" s="467"/>
      <c r="DQ272" s="86"/>
      <c r="DR272" s="86"/>
      <c r="DS272" s="83"/>
      <c r="DT272" s="86"/>
      <c r="DU272" s="467"/>
      <c r="DV272" s="86"/>
      <c r="DW272" s="86"/>
      <c r="DX272" s="83"/>
      <c r="DY272" s="86"/>
      <c r="DZ272" s="467"/>
      <c r="EA272" s="86"/>
      <c r="EB272" s="86"/>
      <c r="EC272" s="84"/>
      <c r="ED272" s="84"/>
      <c r="EE272" s="84"/>
      <c r="EF272" s="84"/>
      <c r="EG272" s="84"/>
      <c r="EH272" s="83"/>
      <c r="EI272" s="84"/>
      <c r="EJ272" s="84"/>
      <c r="EK272" s="84"/>
      <c r="EL272" s="91" t="str">
        <f t="shared" si="56"/>
        <v>No se reportó avance</v>
      </c>
      <c r="EM272" s="83" t="str">
        <f t="shared" si="57"/>
        <v>No se reportó avance</v>
      </c>
      <c r="EN272" s="86"/>
      <c r="EO272" s="93" t="str">
        <f t="shared" si="77"/>
        <v>Gestión</v>
      </c>
      <c r="EP272" s="93" t="str">
        <f t="shared" si="78"/>
        <v>3</v>
      </c>
    </row>
    <row r="273" spans="1:146" s="179" customFormat="1" ht="150" customHeight="1">
      <c r="A273" s="84" t="s">
        <v>2420</v>
      </c>
      <c r="B273" s="85" t="s">
        <v>2457</v>
      </c>
      <c r="C273" s="85" t="s">
        <v>2422</v>
      </c>
      <c r="D273" s="85" t="s">
        <v>2471</v>
      </c>
      <c r="E273" s="85" t="s">
        <v>2472</v>
      </c>
      <c r="F273" s="85" t="s">
        <v>2425</v>
      </c>
      <c r="G273" s="85" t="s">
        <v>2473</v>
      </c>
      <c r="H273" s="84" t="s">
        <v>2474</v>
      </c>
      <c r="I273" s="84" t="s">
        <v>2426</v>
      </c>
      <c r="J273" s="84" t="s">
        <v>2427</v>
      </c>
      <c r="K273" s="84" t="s">
        <v>2475</v>
      </c>
      <c r="L273" s="84">
        <v>3</v>
      </c>
      <c r="M273" s="84" t="s">
        <v>2476</v>
      </c>
      <c r="N273" s="84" t="s">
        <v>2477</v>
      </c>
      <c r="O273" s="84" t="s">
        <v>2478</v>
      </c>
      <c r="P273" s="84" t="s">
        <v>200</v>
      </c>
      <c r="Q273" s="84" t="s">
        <v>162</v>
      </c>
      <c r="R273" s="85">
        <v>1</v>
      </c>
      <c r="S273" s="84" t="s">
        <v>163</v>
      </c>
      <c r="T273" s="90">
        <v>45292</v>
      </c>
      <c r="U273" s="90">
        <v>46387</v>
      </c>
      <c r="V273" s="84"/>
      <c r="W273" s="84"/>
      <c r="X273" s="84"/>
      <c r="Y273" s="122"/>
      <c r="Z273" s="83"/>
      <c r="AA273" s="83"/>
      <c r="AB273" s="83"/>
      <c r="AC273" s="83"/>
      <c r="AD273" s="83"/>
      <c r="AE273" s="83"/>
      <c r="AF273" s="83"/>
      <c r="AG273" s="83"/>
      <c r="AH273" s="83"/>
      <c r="AI273" s="83"/>
      <c r="AJ273" s="83"/>
      <c r="AK273" s="83"/>
      <c r="AL273" s="83"/>
      <c r="AM273" s="83"/>
      <c r="AN273" s="83"/>
      <c r="AO273" s="83"/>
      <c r="AP273" s="83"/>
      <c r="AQ273" s="84"/>
      <c r="AR273" s="84"/>
      <c r="AS273" s="84"/>
      <c r="AT273" s="84"/>
      <c r="AU273" s="84"/>
      <c r="AV273" s="84"/>
      <c r="AW273" s="84"/>
      <c r="AX273" s="84"/>
      <c r="AY273" s="84"/>
      <c r="AZ273" s="86"/>
      <c r="BA273" s="84"/>
      <c r="BB273" s="84"/>
      <c r="BC273" s="84"/>
      <c r="BD273" s="84"/>
      <c r="BE273" s="84"/>
      <c r="BF273" s="84"/>
      <c r="BG273" s="84"/>
      <c r="BH273" s="84"/>
      <c r="BI273" s="84"/>
      <c r="BJ273" s="86"/>
      <c r="BK273" s="84"/>
      <c r="BL273" s="86"/>
      <c r="BM273" s="84"/>
      <c r="BN273" s="86"/>
      <c r="BO273" s="84"/>
      <c r="BP273" s="86"/>
      <c r="BQ273" s="84"/>
      <c r="BR273" s="84"/>
      <c r="BS273" s="84"/>
      <c r="BT273" s="84"/>
      <c r="BU273" s="84"/>
      <c r="BV273" s="84"/>
      <c r="BW273" s="84"/>
      <c r="BX273" s="84"/>
      <c r="BY273" s="84"/>
      <c r="BZ273" s="84"/>
      <c r="CA273" s="84"/>
      <c r="CB273" s="84"/>
      <c r="CC273" s="84"/>
      <c r="CD273" s="84"/>
      <c r="CE273" s="84"/>
      <c r="CF273" s="84"/>
      <c r="CG273" s="468"/>
      <c r="CH273" s="372"/>
      <c r="CI273" s="372"/>
      <c r="CJ273" s="83" t="str">
        <f t="shared" si="75"/>
        <v>No aplica</v>
      </c>
      <c r="CK273" s="83" t="str">
        <f t="shared" si="76"/>
        <v>No aplica</v>
      </c>
      <c r="CL273" s="83" t="str">
        <f t="shared" ref="CL273:CL336" si="79">+IFERROR(IF(M273=M272,"No requiere reporte",IF(OR(AK273=0,AK273=""),"No aplica, no hay meta",IF(AK273="NA","No aplica, no hay meta",IF(BU273="","No se reportó avance",IF(OR(AND(Q273="Capacidad",OR(R273="",R273=0,R273="NA")),AND(Q273="Reducción",OR(R273="",R273=0,R273="NA"))),"Se requiere valor de línea base para este tipo de acumulación",IF(OR(AND(Q273="Flujo",OR(R273&lt;&gt;"",R273&lt;&gt;0,R273&lt;&gt;"NA"),BU273="NA"),AND(Q273="Stock",OR(R273&lt;&gt;"",R273&lt;&gt;0,R273&lt;&gt;"NA"),BU273="NA")),"No aplica",IF(Q273="Flujo",IF(BU273/AK273&gt;1,1.00001,BU273/AK273),IF(Q273="Stock",IF(BU273/AK273&gt;1,1.00001,BU273/AK273),IF(Q273="Acumulado",IF((BU273)/AK273&gt;1,1.00001,(BU273)/AK273),IF(Q273="Capacidad",IF(((BU273-R273)/(AK273-R273))&gt;1,1.00001,((BU273-R273)/(AK273-R273))),IF(Q273="Reducción",IF(((R273-BU273)/(R273-BU273))&gt;1,1.00001,((R273-BU273)/(R273-BU273))),"Revisar acumulación"))))))))))),"Revisar fórmula")</f>
        <v>No requiere reporte</v>
      </c>
      <c r="CM273" s="89" t="str">
        <f t="shared" ref="CM273:CM336" si="80">+IFERROR(IF(M273=M272,"No requiere reporte",IF(OR(AO273=0,AO273=""),"No aplica, no hay meta",IF(AO273="NA","No aplica, no hay meta",IF(CC273="","No se reportó avance",IF(OR(AND(Q273="Capacidad",OR(R273="",R273=0,R273="NA")),AND(Q273="Reducción",OR(R273="",R273=0,R273="NA"))),"Se requiere valor de línea base para este tipo de acumulación",IF(OR(AND(Q273="Flujo",OR(R273&lt;&gt;"",R273&lt;&gt;0,R273&lt;&gt;"NA"),CC273="NA"),AND(Q273="Stock",OR(R273&lt;&gt;"",R273&lt;&gt;0,R273&lt;&gt;"NA"),CC273="NA")),"No aplica",IF(Q273="Flujo",IF(CC273/AO273&gt;1,1.00001,CC273/AO273),IF(Q273="Stock",IF(CC273/AO273&gt;1,1.00001,CC273/AO273),IF(Q273="Acumulado",IF((CC273)/AO273&gt;1,1.00001,(CC273)/AO273),IF(Q273="Capacidad",IF(((CC273-R273)/(AO273-R273))&gt;1,1.00001,((CC273-R273)/(AO273-R273))),IF(Q273="Reducción",IF(((R273-CC273)/(R273-CC273))&gt;1,1.00001,((R273-CC273)/(R273-CC273))),"Revisar acumulación"))))))))))),"Revisar fórmula")</f>
        <v>No requiere reporte</v>
      </c>
      <c r="CN273" s="89" t="str">
        <f t="shared" ref="CN273:CN336" si="81">+IFERROR(IF(M273=M272,"No requiere reporte",IF(OR(AP273=0,AP273=""),"No aplica, no hay meta",IF(AP273="NA","No aplica, no hay meta",IF(CE273="","No se reportó avance",IF(OR(AND(Q273="Capacidad",OR(R273="",R273=0,R273="NA")),AND(Q273="Reducción",OR(R273="",R273=0,R273="NA"))),"Se requiere valor de línea base para este tipo de acumulación",IF(OR(AND(Q273="Flujo",OR(R273&lt;&gt;"",R273&lt;&gt;0,R273&lt;&gt;"NA"),CE273="NA"),AND(Q273="Stock",OR(R273&lt;&gt;"",R273&lt;&gt;0,R273&lt;&gt;"NA"),CE273="NA")),"No aplica",IF(Q273="Flujo",IF(CE273/AP273&gt;1,1.00001,CE273/AP273),IF(Q273="Stock",IF(CE273/AP273&gt;1,1.00001,CE273/AP273),IF(Q273="Acumulado",IF((CE273)/AP273&gt;1,1.00001,(CE273)/AP273),IF(Q273="Capacidad",IF(((CE273-R273)/(AP273-R273))&gt;1,1.00001,((CE273-R273)/(AP273-R273))),IF(Q273="Reducción",IF(((R273-CE273)/(R273-CE273))&gt;1,1.00001,((R273-CE273)/(R273-CE273))),"Revisar acumulación"))))))))))),"Revisar fórmula")</f>
        <v>No requiere reporte</v>
      </c>
      <c r="CO273" s="145" t="s">
        <v>361</v>
      </c>
      <c r="CP273" s="145" t="s">
        <v>2494</v>
      </c>
      <c r="CQ273" s="145" t="s">
        <v>2489</v>
      </c>
      <c r="CR273" s="145" t="s">
        <v>2495</v>
      </c>
      <c r="CS273" s="145" t="s">
        <v>2496</v>
      </c>
      <c r="CT273" s="665" t="s">
        <v>953</v>
      </c>
      <c r="CU273" s="665" t="s">
        <v>162</v>
      </c>
      <c r="CV273" s="666">
        <v>1</v>
      </c>
      <c r="CW273" s="665" t="s">
        <v>252</v>
      </c>
      <c r="CX273" s="663">
        <v>46023</v>
      </c>
      <c r="CY273" s="663">
        <v>46387</v>
      </c>
      <c r="CZ273" s="146">
        <v>1</v>
      </c>
      <c r="DA273" s="146">
        <v>1</v>
      </c>
      <c r="DB273" s="146">
        <v>1</v>
      </c>
      <c r="DC273" s="146">
        <v>1</v>
      </c>
      <c r="DD273" s="146">
        <v>1</v>
      </c>
      <c r="DE273" s="145" t="s">
        <v>761</v>
      </c>
      <c r="DF273" s="145" t="s">
        <v>2492</v>
      </c>
      <c r="DG273" s="145" t="s">
        <v>2493</v>
      </c>
      <c r="DH273" s="475">
        <v>3822518000</v>
      </c>
      <c r="DI273" s="664" t="s">
        <v>753</v>
      </c>
      <c r="DJ273" s="145" t="s">
        <v>754</v>
      </c>
      <c r="DK273" s="145" t="s">
        <v>755</v>
      </c>
      <c r="DL273" s="145" t="s">
        <v>279</v>
      </c>
      <c r="DM273" s="145" t="s">
        <v>201</v>
      </c>
      <c r="DN273" s="83"/>
      <c r="DO273" s="86"/>
      <c r="DP273" s="467"/>
      <c r="DQ273" s="86"/>
      <c r="DR273" s="86"/>
      <c r="DS273" s="83"/>
      <c r="DT273" s="86"/>
      <c r="DU273" s="467"/>
      <c r="DV273" s="86"/>
      <c r="DW273" s="86"/>
      <c r="DX273" s="83"/>
      <c r="DY273" s="86"/>
      <c r="DZ273" s="467"/>
      <c r="EA273" s="86"/>
      <c r="EB273" s="86"/>
      <c r="EC273" s="84"/>
      <c r="ED273" s="84"/>
      <c r="EE273" s="84"/>
      <c r="EF273" s="84"/>
      <c r="EG273" s="84"/>
      <c r="EH273" s="83"/>
      <c r="EI273" s="84"/>
      <c r="EJ273" s="84"/>
      <c r="EK273" s="84"/>
      <c r="EL273" s="91" t="str">
        <f t="shared" ref="EL273:EL336" si="82">+IFERROR(IF(CP273=CP272,"No requiere reporte",IF(OR(CZ273=0,CZ273=""),"No aplica, no hay meta",IF(CZ273="NA","No aplica, no hay meta",IF(DN273="","No se reportó avance",IF(OR(AND(CU273="Capacidad",OR(CV273="",CV273=0,CV273="NA")),AND(CU273="Reducción",OR(CV273="",CV273=0,CV273="NA"))),"Se requiere valor de línea base para este tipo de acumulación",IF(OR(AND(CU273="Flujo",OR(CV273&lt;&gt;"",CV273&lt;&gt;0,CV273&lt;&gt;"NA"),DN273="NA"),AND(CU273="Stock",OR(CV273&lt;&gt;"",CV273&lt;&gt;0,CV273&lt;&gt;"NA"),DN273="NA")),"No aplica",IF(CU273="Flujo",IF(DN273/CZ273&gt;1,1.00001,DN273/CZ273),IF(CU273="Stock",IF(DN273/CZ273&gt;1,1.00001,DN273/CZ273),IF(CU273="Acumulado",IF((DN273)/CZ273&gt;1,1.00001,(DN273)/CZ273),IF(CU273="Capacidad",IF(((DN273-CV273)/(CZ273-CV273))&gt;1,1.00001,((DN273-CV273)/(CZ273-CV273))),IF(CU273="Reducción",IF(((CV273-DN273)/(CV273-DN273))&gt;1,1.00001,((CV273-DN273)/(CV273-DN273))),"Revisar acumulación"))))))))))),"Revisar fórmula")</f>
        <v>No se reportó avance</v>
      </c>
      <c r="EM273" s="83" t="str">
        <f t="shared" ref="EM273:EM336" si="83">+IFERROR(IF(CP273=CP272,"No requiere reporte",IF(OR(DD273=0,DD273=""),"No aplica, no hay meta",IF(DD273="NA","No aplica, no hay meta",IF(EH273="","No se reportó avance",IF(OR(AND(CU273="Capacidad",OR(CV273="",CV273=0,CV273="NA")),AND(CU273="Reducción",OR(CV273="",CV273=0,CV273="NA"))),"Se requiere valor de línea base para este tipo de acumulación",IF(OR(AND(CU273="Flujo",OR(CV273&lt;&gt;"",CV273&lt;&gt;0,CV273&lt;&gt;"NA"),EH273="NA"),AND(CU273="Stock",OR(CV273&lt;&gt;"",CV273&lt;&gt;0,CV273&lt;&gt;"NA"),CV273="NA")),"No aplica",IF(CU273="Flujo",IF(EH273/DD273&gt;1,1.00001,EH273/DD273),IF(CU273="Stock",IF(EH273/DD273&gt;1,1.00001,EH273/DD273),IF(CU273="Acumulado",IF((EH273)/DD273&gt;1,1.00001,(EH273)/DD273),IF(CU273="Capacidad",IF(((EH273-CV273)/(DD273-CV273))&gt;1,1.00001,((EH273-CV273)/(DD273-CV273))),IF(CU273="Reducción",IF(((CV273-EH273)/(CV273-DD273))&gt;1,1.00001,((CV273-EH273)/(CV273-DD273))),"Revisar acumulación"))))))))))),"Revisar fórmula")</f>
        <v>No se reportó avance</v>
      </c>
      <c r="EN273" s="86"/>
      <c r="EO273" s="93" t="str">
        <f t="shared" si="77"/>
        <v>Gestión</v>
      </c>
      <c r="EP273" s="93" t="str">
        <f t="shared" si="78"/>
        <v>3</v>
      </c>
    </row>
    <row r="274" spans="1:146" s="93" customFormat="1" ht="150" hidden="1" customHeight="1">
      <c r="A274" s="159" t="s">
        <v>2420</v>
      </c>
      <c r="B274" s="158" t="s">
        <v>2457</v>
      </c>
      <c r="C274" s="158" t="s">
        <v>2422</v>
      </c>
      <c r="D274" s="158" t="s">
        <v>2497</v>
      </c>
      <c r="E274" s="158" t="s">
        <v>2498</v>
      </c>
      <c r="F274" s="158" t="s">
        <v>2425</v>
      </c>
      <c r="G274" s="158" t="s">
        <v>2473</v>
      </c>
      <c r="H274" s="159"/>
      <c r="I274" s="159" t="s">
        <v>2426</v>
      </c>
      <c r="J274" s="159" t="s">
        <v>2427</v>
      </c>
      <c r="K274" s="159"/>
      <c r="L274" s="159">
        <v>4</v>
      </c>
      <c r="M274" s="159" t="s">
        <v>2499</v>
      </c>
      <c r="N274" s="159" t="s">
        <v>2500</v>
      </c>
      <c r="O274" s="159" t="s">
        <v>2501</v>
      </c>
      <c r="P274" s="159" t="s">
        <v>161</v>
      </c>
      <c r="Q274" s="159" t="s">
        <v>275</v>
      </c>
      <c r="R274" s="158" t="s">
        <v>182</v>
      </c>
      <c r="S274" s="159" t="s">
        <v>234</v>
      </c>
      <c r="T274" s="162">
        <v>44927</v>
      </c>
      <c r="U274" s="162">
        <v>45291</v>
      </c>
      <c r="V274" s="159">
        <v>11</v>
      </c>
      <c r="W274" s="159">
        <v>16</v>
      </c>
      <c r="X274" s="159">
        <v>21</v>
      </c>
      <c r="Y274" s="469">
        <v>16</v>
      </c>
      <c r="Z274" s="476">
        <v>64</v>
      </c>
      <c r="AA274" s="476"/>
      <c r="AB274" s="476"/>
      <c r="AC274" s="476"/>
      <c r="AD274" s="476"/>
      <c r="AE274" s="476">
        <v>64</v>
      </c>
      <c r="AF274" s="476"/>
      <c r="AG274" s="476"/>
      <c r="AH274" s="476"/>
      <c r="AI274" s="476"/>
      <c r="AJ274" s="476">
        <v>64</v>
      </c>
      <c r="AK274" s="476"/>
      <c r="AL274" s="476"/>
      <c r="AM274" s="476"/>
      <c r="AN274" s="476"/>
      <c r="AO274" s="476">
        <v>64</v>
      </c>
      <c r="AP274" s="476">
        <f>64*4</f>
        <v>256</v>
      </c>
      <c r="AQ274" s="159">
        <v>7</v>
      </c>
      <c r="AR274" s="159" t="s">
        <v>2502</v>
      </c>
      <c r="AS274" s="159">
        <v>14</v>
      </c>
      <c r="AT274" s="159" t="s">
        <v>2503</v>
      </c>
      <c r="AU274" s="159">
        <v>23</v>
      </c>
      <c r="AV274" s="159" t="s">
        <v>2504</v>
      </c>
      <c r="AW274" s="159">
        <v>20</v>
      </c>
      <c r="AX274" s="159" t="s">
        <v>2505</v>
      </c>
      <c r="AY274" s="159">
        <f>+AQ274+AS274+AU274+AW274</f>
        <v>64</v>
      </c>
      <c r="AZ274" s="164" t="s">
        <v>2506</v>
      </c>
      <c r="BA274" s="159"/>
      <c r="BB274" s="159"/>
      <c r="BC274" s="159"/>
      <c r="BD274" s="159"/>
      <c r="BE274" s="159"/>
      <c r="BF274" s="159"/>
      <c r="BG274" s="159"/>
      <c r="BH274" s="159"/>
      <c r="BI274" s="159"/>
      <c r="BJ274" s="164"/>
      <c r="BK274" s="159"/>
      <c r="BL274" s="164"/>
      <c r="BM274" s="159"/>
      <c r="BN274" s="164"/>
      <c r="BO274" s="159"/>
      <c r="BP274" s="164"/>
      <c r="BQ274" s="159"/>
      <c r="BR274" s="159"/>
      <c r="BS274" s="159"/>
      <c r="BT274" s="159"/>
      <c r="BU274" s="159"/>
      <c r="BV274" s="159"/>
      <c r="BW274" s="159"/>
      <c r="BX274" s="159"/>
      <c r="BY274" s="159"/>
      <c r="BZ274" s="159"/>
      <c r="CA274" s="159"/>
      <c r="CB274" s="159"/>
      <c r="CC274" s="159"/>
      <c r="CD274" s="159"/>
      <c r="CE274" s="159"/>
      <c r="CF274" s="159"/>
      <c r="CG274" s="470"/>
      <c r="CH274" s="471"/>
      <c r="CI274" s="471"/>
      <c r="CJ274" s="160" t="str">
        <f t="shared" si="75"/>
        <v>No aplica</v>
      </c>
      <c r="CK274" s="160" t="str">
        <f t="shared" si="76"/>
        <v>No aplica</v>
      </c>
      <c r="CL274" s="83" t="str">
        <f t="shared" si="79"/>
        <v>No aplica, no hay meta</v>
      </c>
      <c r="CM274" s="89" t="str">
        <f t="shared" si="80"/>
        <v>No se reportó avance</v>
      </c>
      <c r="CN274" s="89" t="str">
        <f t="shared" si="81"/>
        <v>No se reportó avance</v>
      </c>
      <c r="CO274" s="165" t="s">
        <v>391</v>
      </c>
      <c r="CP274" s="165"/>
      <c r="CQ274" s="165"/>
      <c r="CR274" s="165"/>
      <c r="CS274" s="165"/>
      <c r="CT274" s="165"/>
      <c r="CU274" s="165"/>
      <c r="CV274" s="165"/>
      <c r="CW274" s="165"/>
      <c r="CX274" s="472"/>
      <c r="CY274" s="472"/>
      <c r="CZ274" s="477"/>
      <c r="DA274" s="477"/>
      <c r="DB274" s="477"/>
      <c r="DC274" s="477"/>
      <c r="DD274" s="478"/>
      <c r="DE274" s="165"/>
      <c r="DF274" s="165"/>
      <c r="DG274" s="165"/>
      <c r="DH274" s="479"/>
      <c r="DI274" s="165"/>
      <c r="DJ274" s="165"/>
      <c r="DK274" s="165"/>
      <c r="DL274" s="165"/>
      <c r="DM274" s="165"/>
      <c r="DN274" s="159"/>
      <c r="DO274" s="164"/>
      <c r="DP274" s="159"/>
      <c r="DQ274" s="164"/>
      <c r="DR274" s="164"/>
      <c r="DS274" s="159"/>
      <c r="DT274" s="164"/>
      <c r="DU274" s="159"/>
      <c r="DV274" s="164"/>
      <c r="DW274" s="164"/>
      <c r="DX274" s="159"/>
      <c r="DY274" s="164"/>
      <c r="DZ274" s="159"/>
      <c r="EA274" s="164"/>
      <c r="EB274" s="164"/>
      <c r="EC274" s="159"/>
      <c r="ED274" s="159"/>
      <c r="EE274" s="159"/>
      <c r="EF274" s="159"/>
      <c r="EG274" s="159"/>
      <c r="EH274" s="159"/>
      <c r="EI274" s="159"/>
      <c r="EJ274" s="159"/>
      <c r="EK274" s="159"/>
      <c r="EL274" s="91" t="str">
        <f t="shared" si="82"/>
        <v>No aplica, no hay meta</v>
      </c>
      <c r="EM274" s="83" t="str">
        <f t="shared" si="83"/>
        <v>No aplica, no hay meta</v>
      </c>
      <c r="EN274" s="164"/>
      <c r="EO274" s="93" t="str">
        <f t="shared" si="77"/>
        <v>Producto</v>
      </c>
      <c r="EP274" s="93" t="str">
        <f t="shared" si="78"/>
        <v>3</v>
      </c>
    </row>
    <row r="275" spans="1:146" s="93" customFormat="1" ht="150" hidden="1" customHeight="1">
      <c r="A275" s="159" t="s">
        <v>2420</v>
      </c>
      <c r="B275" s="158" t="s">
        <v>2457</v>
      </c>
      <c r="C275" s="158" t="s">
        <v>2422</v>
      </c>
      <c r="D275" s="158" t="s">
        <v>2423</v>
      </c>
      <c r="E275" s="158" t="s">
        <v>2424</v>
      </c>
      <c r="F275" s="158" t="s">
        <v>2425</v>
      </c>
      <c r="G275" s="158" t="s">
        <v>280</v>
      </c>
      <c r="H275" s="158" t="s">
        <v>280</v>
      </c>
      <c r="I275" s="159" t="s">
        <v>2426</v>
      </c>
      <c r="J275" s="159" t="s">
        <v>2427</v>
      </c>
      <c r="K275" s="159"/>
      <c r="L275" s="159">
        <v>5</v>
      </c>
      <c r="M275" s="159" t="s">
        <v>2507</v>
      </c>
      <c r="N275" s="159" t="s">
        <v>2508</v>
      </c>
      <c r="O275" s="159" t="s">
        <v>2509</v>
      </c>
      <c r="P275" s="159" t="s">
        <v>200</v>
      </c>
      <c r="Q275" s="159" t="s">
        <v>233</v>
      </c>
      <c r="R275" s="159" t="s">
        <v>182</v>
      </c>
      <c r="S275" s="159" t="s">
        <v>163</v>
      </c>
      <c r="T275" s="162">
        <v>45108</v>
      </c>
      <c r="U275" s="162">
        <v>45657</v>
      </c>
      <c r="V275" s="160" t="s">
        <v>201</v>
      </c>
      <c r="W275" s="160" t="s">
        <v>201</v>
      </c>
      <c r="X275" s="160">
        <v>0.03</v>
      </c>
      <c r="Y275" s="160">
        <v>0.17</v>
      </c>
      <c r="Z275" s="160">
        <v>0.2</v>
      </c>
      <c r="AA275" s="160">
        <v>0.1</v>
      </c>
      <c r="AB275" s="160">
        <v>0.05</v>
      </c>
      <c r="AC275" s="160">
        <v>0.3</v>
      </c>
      <c r="AD275" s="160">
        <v>0.35</v>
      </c>
      <c r="AE275" s="160">
        <v>0.8</v>
      </c>
      <c r="AF275" s="160"/>
      <c r="AG275" s="160"/>
      <c r="AH275" s="160"/>
      <c r="AI275" s="160"/>
      <c r="AJ275" s="160"/>
      <c r="AK275" s="160"/>
      <c r="AL275" s="160"/>
      <c r="AM275" s="160"/>
      <c r="AN275" s="160"/>
      <c r="AO275" s="160"/>
      <c r="AP275" s="160">
        <v>1</v>
      </c>
      <c r="AQ275" s="160" t="s">
        <v>182</v>
      </c>
      <c r="AR275" s="159" t="s">
        <v>2510</v>
      </c>
      <c r="AS275" s="160">
        <f>+(3/3)*3%</f>
        <v>0.03</v>
      </c>
      <c r="AT275" s="159" t="s">
        <v>2511</v>
      </c>
      <c r="AU275" s="160">
        <f>+(1/1)*X275</f>
        <v>0.03</v>
      </c>
      <c r="AV275" s="159" t="s">
        <v>2512</v>
      </c>
      <c r="AW275" s="160">
        <f>+(12/15)*Z275</f>
        <v>0.16000000000000003</v>
      </c>
      <c r="AX275" s="159" t="s">
        <v>2513</v>
      </c>
      <c r="AY275" s="160">
        <v>0.16</v>
      </c>
      <c r="AZ275" s="164" t="s">
        <v>2514</v>
      </c>
      <c r="BA275" s="160">
        <v>0</v>
      </c>
      <c r="BB275" s="159" t="s">
        <v>2515</v>
      </c>
      <c r="BC275" s="160">
        <v>0</v>
      </c>
      <c r="BD275" s="159" t="s">
        <v>2516</v>
      </c>
      <c r="BE275" s="160">
        <v>0.15</v>
      </c>
      <c r="BF275" s="159" t="s">
        <v>2517</v>
      </c>
      <c r="BG275" s="160">
        <f>+(11/6)*AD275</f>
        <v>0.64166666666666661</v>
      </c>
      <c r="BH275" s="159" t="s">
        <v>2518</v>
      </c>
      <c r="BI275" s="158">
        <f>+BE275+BG275</f>
        <v>0.79166666666666663</v>
      </c>
      <c r="BJ275" s="164" t="s">
        <v>2519</v>
      </c>
      <c r="BK275" s="159" t="s">
        <v>182</v>
      </c>
      <c r="BL275" s="164" t="s">
        <v>182</v>
      </c>
      <c r="BM275" s="159" t="s">
        <v>182</v>
      </c>
      <c r="BN275" s="164" t="s">
        <v>182</v>
      </c>
      <c r="BO275" s="159"/>
      <c r="BP275" s="164"/>
      <c r="BQ275" s="159"/>
      <c r="BR275" s="159"/>
      <c r="BS275" s="159"/>
      <c r="BT275" s="159"/>
      <c r="BU275" s="159"/>
      <c r="BV275" s="159"/>
      <c r="BW275" s="159"/>
      <c r="BX275" s="159"/>
      <c r="BY275" s="159"/>
      <c r="BZ275" s="159"/>
      <c r="CA275" s="159"/>
      <c r="CB275" s="159"/>
      <c r="CC275" s="159"/>
      <c r="CD275" s="159"/>
      <c r="CE275" s="158"/>
      <c r="CF275" s="159"/>
      <c r="CG275" s="471">
        <v>0</v>
      </c>
      <c r="CH275" s="480"/>
      <c r="CI275" s="480"/>
      <c r="CJ275" s="160" t="str">
        <f t="shared" si="75"/>
        <v>No aplica</v>
      </c>
      <c r="CK275" s="160" t="str">
        <f t="shared" si="76"/>
        <v>No aplica</v>
      </c>
      <c r="CL275" s="83" t="str">
        <f t="shared" si="79"/>
        <v>No aplica, no hay meta</v>
      </c>
      <c r="CM275" s="89" t="str">
        <f t="shared" si="80"/>
        <v>No aplica, no hay meta</v>
      </c>
      <c r="CN275" s="89" t="str">
        <f t="shared" si="81"/>
        <v>No se reportó avance</v>
      </c>
      <c r="CO275" s="165" t="s">
        <v>583</v>
      </c>
      <c r="CP275" s="165"/>
      <c r="CQ275" s="165"/>
      <c r="CR275" s="165"/>
      <c r="CS275" s="165"/>
      <c r="CT275" s="165"/>
      <c r="CU275" s="165"/>
      <c r="CV275" s="165"/>
      <c r="CW275" s="165"/>
      <c r="CX275" s="472"/>
      <c r="CY275" s="472"/>
      <c r="CZ275" s="473"/>
      <c r="DA275" s="473"/>
      <c r="DB275" s="473"/>
      <c r="DC275" s="473"/>
      <c r="DD275" s="473"/>
      <c r="DE275" s="165"/>
      <c r="DF275" s="165"/>
      <c r="DG275" s="165"/>
      <c r="DH275" s="474"/>
      <c r="DI275" s="165"/>
      <c r="DJ275" s="165"/>
      <c r="DK275" s="165"/>
      <c r="DL275" s="165"/>
      <c r="DM275" s="165"/>
      <c r="DN275" s="159"/>
      <c r="DO275" s="164"/>
      <c r="DP275" s="159"/>
      <c r="DQ275" s="164"/>
      <c r="DR275" s="164"/>
      <c r="DS275" s="159"/>
      <c r="DT275" s="164"/>
      <c r="DU275" s="159"/>
      <c r="DV275" s="164"/>
      <c r="DW275" s="164"/>
      <c r="DX275" s="159"/>
      <c r="DY275" s="164"/>
      <c r="DZ275" s="159"/>
      <c r="EA275" s="164"/>
      <c r="EB275" s="164"/>
      <c r="EC275" s="159"/>
      <c r="ED275" s="159"/>
      <c r="EE275" s="159"/>
      <c r="EF275" s="159"/>
      <c r="EG275" s="159"/>
      <c r="EH275" s="159"/>
      <c r="EI275" s="159"/>
      <c r="EJ275" s="159"/>
      <c r="EK275" s="159"/>
      <c r="EL275" s="91" t="str">
        <f t="shared" si="82"/>
        <v>No requiere reporte</v>
      </c>
      <c r="EM275" s="83" t="str">
        <f t="shared" si="83"/>
        <v>No requiere reporte</v>
      </c>
      <c r="EN275" s="164" t="s">
        <v>2520</v>
      </c>
      <c r="EO275" s="93" t="str">
        <f t="shared" si="77"/>
        <v>Gestión</v>
      </c>
      <c r="EP275" s="93" t="str">
        <f t="shared" si="78"/>
        <v>3</v>
      </c>
    </row>
    <row r="276" spans="1:146" s="93" customFormat="1" ht="150" customHeight="1">
      <c r="A276" s="74" t="s">
        <v>2420</v>
      </c>
      <c r="B276" s="75" t="s">
        <v>2457</v>
      </c>
      <c r="C276" s="75" t="s">
        <v>2422</v>
      </c>
      <c r="D276" s="75" t="s">
        <v>2423</v>
      </c>
      <c r="E276" s="75" t="s">
        <v>2424</v>
      </c>
      <c r="F276" s="75" t="s">
        <v>2425</v>
      </c>
      <c r="G276" s="75" t="s">
        <v>280</v>
      </c>
      <c r="H276" s="75" t="s">
        <v>280</v>
      </c>
      <c r="I276" s="74" t="s">
        <v>2426</v>
      </c>
      <c r="J276" s="74" t="s">
        <v>2427</v>
      </c>
      <c r="K276" s="74" t="s">
        <v>2428</v>
      </c>
      <c r="L276" s="78">
        <v>6</v>
      </c>
      <c r="M276" s="78" t="s">
        <v>2521</v>
      </c>
      <c r="N276" s="78" t="s">
        <v>2522</v>
      </c>
      <c r="O276" s="78" t="s">
        <v>2523</v>
      </c>
      <c r="P276" s="78" t="s">
        <v>200</v>
      </c>
      <c r="Q276" s="78" t="s">
        <v>233</v>
      </c>
      <c r="R276" s="78" t="s">
        <v>182</v>
      </c>
      <c r="S276" s="78" t="s">
        <v>163</v>
      </c>
      <c r="T276" s="80">
        <v>45658</v>
      </c>
      <c r="U276" s="80">
        <v>46387</v>
      </c>
      <c r="V276" s="182"/>
      <c r="W276" s="198"/>
      <c r="X276" s="198"/>
      <c r="Y276" s="198"/>
      <c r="Z276" s="82"/>
      <c r="AA276" s="121"/>
      <c r="AB276" s="121"/>
      <c r="AC276" s="121"/>
      <c r="AD276" s="121"/>
      <c r="AE276" s="82"/>
      <c r="AF276" s="82">
        <v>0.1</v>
      </c>
      <c r="AG276" s="82">
        <v>0.15</v>
      </c>
      <c r="AH276" s="82">
        <v>0.15</v>
      </c>
      <c r="AI276" s="82">
        <v>0.1</v>
      </c>
      <c r="AJ276" s="82">
        <v>0.5</v>
      </c>
      <c r="AK276" s="289">
        <v>0.05</v>
      </c>
      <c r="AL276" s="289">
        <v>0.25</v>
      </c>
      <c r="AM276" s="289">
        <v>0.2</v>
      </c>
      <c r="AN276" s="289">
        <v>0</v>
      </c>
      <c r="AO276" s="361">
        <v>0.5</v>
      </c>
      <c r="AP276" s="82">
        <v>1</v>
      </c>
      <c r="AQ276" s="84"/>
      <c r="AR276" s="84"/>
      <c r="AS276" s="84"/>
      <c r="AT276" s="84"/>
      <c r="AU276" s="84"/>
      <c r="AV276" s="84"/>
      <c r="AW276" s="84"/>
      <c r="AX276" s="84"/>
      <c r="AY276" s="83" t="s">
        <v>182</v>
      </c>
      <c r="AZ276" s="86" t="s">
        <v>182</v>
      </c>
      <c r="BA276" s="83"/>
      <c r="BB276" s="84"/>
      <c r="BC276" s="83"/>
      <c r="BD276" s="84"/>
      <c r="BE276" s="83"/>
      <c r="BF276" s="84"/>
      <c r="BG276" s="83"/>
      <c r="BH276" s="83"/>
      <c r="BI276" s="83" t="s">
        <v>182</v>
      </c>
      <c r="BJ276" s="87" t="s">
        <v>182</v>
      </c>
      <c r="BK276" s="83">
        <v>0</v>
      </c>
      <c r="BL276" s="87" t="s">
        <v>2524</v>
      </c>
      <c r="BM276" s="83">
        <v>0</v>
      </c>
      <c r="BN276" s="87" t="s">
        <v>2525</v>
      </c>
      <c r="BO276" s="83">
        <v>0</v>
      </c>
      <c r="BP276" s="87" t="s">
        <v>2526</v>
      </c>
      <c r="BQ276" s="83"/>
      <c r="BR276" s="83"/>
      <c r="BS276" s="83">
        <v>0</v>
      </c>
      <c r="BT276" s="83"/>
      <c r="BU276" s="83"/>
      <c r="BV276" s="83"/>
      <c r="BW276" s="83"/>
      <c r="BX276" s="83"/>
      <c r="BY276" s="83"/>
      <c r="BZ276" s="83"/>
      <c r="CA276" s="83"/>
      <c r="CB276" s="83"/>
      <c r="CC276" s="83"/>
      <c r="CD276" s="83"/>
      <c r="CE276" s="83">
        <v>0</v>
      </c>
      <c r="CF276" s="84"/>
      <c r="CG276" s="465">
        <f>+SUM(DH276:DH278)</f>
        <v>4790000000</v>
      </c>
      <c r="CH276" s="372"/>
      <c r="CI276" s="372"/>
      <c r="CJ276" s="83">
        <f t="shared" si="75"/>
        <v>0</v>
      </c>
      <c r="CK276" s="83">
        <f t="shared" si="76"/>
        <v>0</v>
      </c>
      <c r="CL276" s="83" t="str">
        <f t="shared" si="79"/>
        <v>No se reportó avance</v>
      </c>
      <c r="CM276" s="89" t="str">
        <f t="shared" si="80"/>
        <v>No se reportó avance</v>
      </c>
      <c r="CN276" s="89">
        <f t="shared" si="81"/>
        <v>0</v>
      </c>
      <c r="CO276" s="145" t="s">
        <v>1362</v>
      </c>
      <c r="CP276" s="145" t="s">
        <v>2527</v>
      </c>
      <c r="CQ276" s="145" t="s">
        <v>2528</v>
      </c>
      <c r="CR276" s="145" t="s">
        <v>2529</v>
      </c>
      <c r="CS276" s="145" t="s">
        <v>2530</v>
      </c>
      <c r="CT276" s="145" t="s">
        <v>953</v>
      </c>
      <c r="CU276" s="145" t="s">
        <v>233</v>
      </c>
      <c r="CV276" s="83" t="s">
        <v>182</v>
      </c>
      <c r="CW276" s="157" t="s">
        <v>402</v>
      </c>
      <c r="CX276" s="663">
        <v>46023</v>
      </c>
      <c r="CY276" s="663">
        <v>46387</v>
      </c>
      <c r="CZ276" s="154">
        <v>30</v>
      </c>
      <c r="DA276" s="154">
        <v>200</v>
      </c>
      <c r="DB276" s="154">
        <v>207</v>
      </c>
      <c r="DC276" s="154">
        <v>0</v>
      </c>
      <c r="DD276" s="667">
        <f>+CZ276+DA276+DB276+DC276</f>
        <v>437</v>
      </c>
      <c r="DE276" s="145" t="s">
        <v>265</v>
      </c>
      <c r="DF276" s="145" t="s">
        <v>2445</v>
      </c>
      <c r="DG276" s="145" t="s">
        <v>2446</v>
      </c>
      <c r="DH276" s="475">
        <f>640829867+2472926064</f>
        <v>3113755931</v>
      </c>
      <c r="DI276" s="664" t="s">
        <v>753</v>
      </c>
      <c r="DJ276" s="145" t="s">
        <v>754</v>
      </c>
      <c r="DK276" s="145" t="s">
        <v>755</v>
      </c>
      <c r="DL276" s="145" t="s">
        <v>279</v>
      </c>
      <c r="DM276" s="145" t="s">
        <v>201</v>
      </c>
      <c r="DN276" s="83"/>
      <c r="DO276" s="86"/>
      <c r="DP276" s="96"/>
      <c r="DQ276" s="86"/>
      <c r="DR276" s="86"/>
      <c r="DS276" s="83"/>
      <c r="DT276" s="86"/>
      <c r="DU276" s="83"/>
      <c r="DV276" s="86"/>
      <c r="DW276" s="86"/>
      <c r="DX276" s="83"/>
      <c r="DY276" s="86"/>
      <c r="DZ276" s="83"/>
      <c r="EA276" s="86"/>
      <c r="EB276" s="86"/>
      <c r="EC276" s="83"/>
      <c r="ED276" s="84"/>
      <c r="EE276" s="83"/>
      <c r="EF276" s="84"/>
      <c r="EG276" s="84"/>
      <c r="EH276" s="83"/>
      <c r="EI276" s="84"/>
      <c r="EJ276" s="84"/>
      <c r="EK276" s="84"/>
      <c r="EL276" s="91" t="str">
        <f t="shared" si="82"/>
        <v>No se reportó avance</v>
      </c>
      <c r="EM276" s="83" t="str">
        <f t="shared" si="83"/>
        <v>No se reportó avance</v>
      </c>
      <c r="EN276" s="86"/>
      <c r="EO276" s="93" t="str">
        <f t="shared" si="77"/>
        <v>Gestión</v>
      </c>
      <c r="EP276" s="93" t="str">
        <f t="shared" si="78"/>
        <v>3</v>
      </c>
    </row>
    <row r="277" spans="1:146" s="179" customFormat="1" ht="150" customHeight="1">
      <c r="A277" s="84" t="s">
        <v>2420</v>
      </c>
      <c r="B277" s="85" t="s">
        <v>2457</v>
      </c>
      <c r="C277" s="85" t="s">
        <v>2422</v>
      </c>
      <c r="D277" s="85" t="s">
        <v>2423</v>
      </c>
      <c r="E277" s="85" t="s">
        <v>2531</v>
      </c>
      <c r="F277" s="84" t="s">
        <v>2425</v>
      </c>
      <c r="G277" s="84" t="s">
        <v>280</v>
      </c>
      <c r="H277" s="84" t="s">
        <v>280</v>
      </c>
      <c r="I277" s="84" t="s">
        <v>2426</v>
      </c>
      <c r="J277" s="84" t="s">
        <v>2427</v>
      </c>
      <c r="K277" s="84" t="s">
        <v>2428</v>
      </c>
      <c r="L277" s="131">
        <v>6</v>
      </c>
      <c r="M277" s="84" t="s">
        <v>2521</v>
      </c>
      <c r="N277" s="84" t="s">
        <v>2522</v>
      </c>
      <c r="O277" s="84" t="s">
        <v>2523</v>
      </c>
      <c r="P277" s="84" t="s">
        <v>200</v>
      </c>
      <c r="Q277" s="84" t="s">
        <v>233</v>
      </c>
      <c r="R277" s="84" t="s">
        <v>182</v>
      </c>
      <c r="S277" s="84" t="s">
        <v>163</v>
      </c>
      <c r="T277" s="90">
        <v>45658</v>
      </c>
      <c r="U277" s="90">
        <v>46387</v>
      </c>
      <c r="V277" s="131"/>
      <c r="W277" s="131"/>
      <c r="X277" s="131"/>
      <c r="Y277" s="131"/>
      <c r="Z277" s="131"/>
      <c r="AA277" s="131"/>
      <c r="AB277" s="131"/>
      <c r="AC277" s="131"/>
      <c r="AD277" s="131"/>
      <c r="AE277" s="131"/>
      <c r="AF277" s="83"/>
      <c r="AG277" s="83"/>
      <c r="AH277" s="83"/>
      <c r="AI277" s="83"/>
      <c r="AJ277" s="83"/>
      <c r="AK277" s="83"/>
      <c r="AL277" s="83"/>
      <c r="AM277" s="83"/>
      <c r="AN277" s="83"/>
      <c r="AO277" s="83"/>
      <c r="AP277" s="83"/>
      <c r="AQ277" s="84"/>
      <c r="AR277" s="84"/>
      <c r="AS277" s="84"/>
      <c r="AT277" s="84"/>
      <c r="AU277" s="84"/>
      <c r="AV277" s="84"/>
      <c r="AW277" s="84"/>
      <c r="AX277" s="84"/>
      <c r="AY277" s="84"/>
      <c r="AZ277" s="86"/>
      <c r="BA277" s="84"/>
      <c r="BB277" s="84"/>
      <c r="BC277" s="84"/>
      <c r="BD277" s="84"/>
      <c r="BE277" s="84"/>
      <c r="BF277" s="84"/>
      <c r="BG277" s="84"/>
      <c r="BH277" s="84"/>
      <c r="BI277" s="84"/>
      <c r="BJ277" s="86"/>
      <c r="BK277" s="84"/>
      <c r="BL277" s="86"/>
      <c r="BM277" s="84"/>
      <c r="BN277" s="86"/>
      <c r="BO277" s="84"/>
      <c r="BP277" s="86"/>
      <c r="BQ277" s="84"/>
      <c r="BR277" s="84"/>
      <c r="BS277" s="84"/>
      <c r="BT277" s="84"/>
      <c r="BU277" s="84"/>
      <c r="BV277" s="84"/>
      <c r="BW277" s="84"/>
      <c r="BX277" s="84"/>
      <c r="BY277" s="84"/>
      <c r="BZ277" s="84"/>
      <c r="CA277" s="84"/>
      <c r="CB277" s="84"/>
      <c r="CC277" s="84"/>
      <c r="CD277" s="84"/>
      <c r="CE277" s="84"/>
      <c r="CF277" s="84"/>
      <c r="CG277" s="155"/>
      <c r="CH277" s="84"/>
      <c r="CI277" s="84"/>
      <c r="CJ277" s="83" t="str">
        <f t="shared" si="75"/>
        <v>No aplica</v>
      </c>
      <c r="CK277" s="83" t="str">
        <f t="shared" si="76"/>
        <v>No aplica</v>
      </c>
      <c r="CL277" s="83" t="str">
        <f t="shared" si="79"/>
        <v>No requiere reporte</v>
      </c>
      <c r="CM277" s="89" t="str">
        <f t="shared" si="80"/>
        <v>No requiere reporte</v>
      </c>
      <c r="CN277" s="89" t="str">
        <f t="shared" si="81"/>
        <v>No requiere reporte</v>
      </c>
      <c r="CO277" s="145" t="s">
        <v>1368</v>
      </c>
      <c r="CP277" s="145" t="s">
        <v>2532</v>
      </c>
      <c r="CQ277" s="145" t="s">
        <v>2533</v>
      </c>
      <c r="CR277" s="145" t="s">
        <v>2534</v>
      </c>
      <c r="CS277" s="145" t="s">
        <v>2535</v>
      </c>
      <c r="CT277" s="145" t="s">
        <v>953</v>
      </c>
      <c r="CU277" s="145" t="s">
        <v>233</v>
      </c>
      <c r="CV277" s="83" t="s">
        <v>182</v>
      </c>
      <c r="CW277" s="157" t="s">
        <v>402</v>
      </c>
      <c r="CX277" s="663">
        <v>46023</v>
      </c>
      <c r="CY277" s="663">
        <v>46387</v>
      </c>
      <c r="CZ277" s="668">
        <v>200</v>
      </c>
      <c r="DA277" s="668">
        <v>223</v>
      </c>
      <c r="DB277" s="668">
        <v>0</v>
      </c>
      <c r="DC277" s="668">
        <v>0</v>
      </c>
      <c r="DD277" s="668">
        <f>+CZ277+DA277+DB277+DC277</f>
        <v>423</v>
      </c>
      <c r="DE277" s="145" t="s">
        <v>265</v>
      </c>
      <c r="DF277" s="145" t="s">
        <v>2445</v>
      </c>
      <c r="DG277" s="145" t="s">
        <v>2446</v>
      </c>
      <c r="DH277" s="475">
        <f>647410288</f>
        <v>647410288</v>
      </c>
      <c r="DI277" s="664" t="s">
        <v>753</v>
      </c>
      <c r="DJ277" s="145" t="s">
        <v>754</v>
      </c>
      <c r="DK277" s="145" t="s">
        <v>755</v>
      </c>
      <c r="DL277" s="145" t="s">
        <v>279</v>
      </c>
      <c r="DM277" s="145" t="s">
        <v>201</v>
      </c>
      <c r="DN277" s="84"/>
      <c r="DO277" s="86"/>
      <c r="DP277" s="467"/>
      <c r="DQ277" s="86"/>
      <c r="DR277" s="86"/>
      <c r="DS277" s="84"/>
      <c r="DT277" s="86"/>
      <c r="DU277" s="84"/>
      <c r="DV277" s="86"/>
      <c r="DW277" s="86"/>
      <c r="DX277" s="84"/>
      <c r="DY277" s="86"/>
      <c r="DZ277" s="84"/>
      <c r="EA277" s="86"/>
      <c r="EB277" s="86"/>
      <c r="EC277" s="84"/>
      <c r="ED277" s="84"/>
      <c r="EE277" s="84"/>
      <c r="EF277" s="84"/>
      <c r="EG277" s="84"/>
      <c r="EH277" s="84"/>
      <c r="EI277" s="84"/>
      <c r="EJ277" s="84"/>
      <c r="EK277" s="84"/>
      <c r="EL277" s="91" t="str">
        <f t="shared" si="82"/>
        <v>No se reportó avance</v>
      </c>
      <c r="EM277" s="83" t="str">
        <f t="shared" si="83"/>
        <v>No se reportó avance</v>
      </c>
      <c r="EN277" s="86"/>
      <c r="EO277" s="93" t="str">
        <f t="shared" si="77"/>
        <v>Gestión</v>
      </c>
      <c r="EP277" s="93" t="str">
        <f t="shared" si="78"/>
        <v>3</v>
      </c>
    </row>
    <row r="278" spans="1:146" s="179" customFormat="1" ht="150" customHeight="1">
      <c r="A278" s="84" t="s">
        <v>2420</v>
      </c>
      <c r="B278" s="85" t="s">
        <v>2457</v>
      </c>
      <c r="C278" s="85" t="s">
        <v>2422</v>
      </c>
      <c r="D278" s="85" t="s">
        <v>2423</v>
      </c>
      <c r="E278" s="85" t="s">
        <v>2531</v>
      </c>
      <c r="F278" s="84" t="s">
        <v>2425</v>
      </c>
      <c r="G278" s="84" t="s">
        <v>280</v>
      </c>
      <c r="H278" s="84" t="s">
        <v>280</v>
      </c>
      <c r="I278" s="84" t="s">
        <v>2426</v>
      </c>
      <c r="J278" s="84" t="s">
        <v>2427</v>
      </c>
      <c r="K278" s="84" t="s">
        <v>2428</v>
      </c>
      <c r="L278" s="131">
        <v>6</v>
      </c>
      <c r="M278" s="84" t="s">
        <v>2521</v>
      </c>
      <c r="N278" s="84" t="s">
        <v>2522</v>
      </c>
      <c r="O278" s="84" t="s">
        <v>2523</v>
      </c>
      <c r="P278" s="84" t="s">
        <v>200</v>
      </c>
      <c r="Q278" s="84" t="s">
        <v>233</v>
      </c>
      <c r="R278" s="84" t="s">
        <v>182</v>
      </c>
      <c r="S278" s="84" t="s">
        <v>163</v>
      </c>
      <c r="T278" s="90">
        <v>45658</v>
      </c>
      <c r="U278" s="90">
        <v>46387</v>
      </c>
      <c r="V278" s="131"/>
      <c r="W278" s="131"/>
      <c r="X278" s="131"/>
      <c r="Y278" s="131"/>
      <c r="Z278" s="131"/>
      <c r="AA278" s="131"/>
      <c r="AB278" s="131"/>
      <c r="AC278" s="131"/>
      <c r="AD278" s="131"/>
      <c r="AE278" s="131"/>
      <c r="AF278" s="83"/>
      <c r="AG278" s="83"/>
      <c r="AH278" s="83"/>
      <c r="AI278" s="83"/>
      <c r="AJ278" s="83"/>
      <c r="AK278" s="83"/>
      <c r="AL278" s="83"/>
      <c r="AM278" s="83"/>
      <c r="AN278" s="83"/>
      <c r="AO278" s="83"/>
      <c r="AP278" s="83"/>
      <c r="AQ278" s="84"/>
      <c r="AR278" s="84"/>
      <c r="AS278" s="84"/>
      <c r="AT278" s="84"/>
      <c r="AU278" s="84"/>
      <c r="AV278" s="84"/>
      <c r="AW278" s="84"/>
      <c r="AX278" s="84"/>
      <c r="AY278" s="84"/>
      <c r="AZ278" s="86"/>
      <c r="BA278" s="84"/>
      <c r="BB278" s="84"/>
      <c r="BC278" s="84"/>
      <c r="BD278" s="84"/>
      <c r="BE278" s="84"/>
      <c r="BF278" s="84"/>
      <c r="BG278" s="84"/>
      <c r="BH278" s="84"/>
      <c r="BI278" s="84"/>
      <c r="BJ278" s="86"/>
      <c r="BK278" s="84"/>
      <c r="BL278" s="86"/>
      <c r="BM278" s="84"/>
      <c r="BN278" s="86"/>
      <c r="BO278" s="84"/>
      <c r="BP278" s="86"/>
      <c r="BQ278" s="84"/>
      <c r="BR278" s="84"/>
      <c r="BS278" s="84"/>
      <c r="BT278" s="84"/>
      <c r="BU278" s="84"/>
      <c r="BV278" s="84"/>
      <c r="BW278" s="84"/>
      <c r="BX278" s="84"/>
      <c r="BY278" s="84"/>
      <c r="BZ278" s="84"/>
      <c r="CA278" s="84"/>
      <c r="CB278" s="84"/>
      <c r="CC278" s="84"/>
      <c r="CD278" s="84"/>
      <c r="CE278" s="84"/>
      <c r="CF278" s="84"/>
      <c r="CG278" s="155"/>
      <c r="CH278" s="84"/>
      <c r="CI278" s="84"/>
      <c r="CJ278" s="83" t="str">
        <f t="shared" si="75"/>
        <v>No aplica</v>
      </c>
      <c r="CK278" s="83" t="str">
        <f t="shared" si="76"/>
        <v>No aplica</v>
      </c>
      <c r="CL278" s="83" t="str">
        <f t="shared" si="79"/>
        <v>No requiere reporte</v>
      </c>
      <c r="CM278" s="89" t="str">
        <f t="shared" si="80"/>
        <v>No requiere reporte</v>
      </c>
      <c r="CN278" s="89" t="str">
        <f t="shared" si="81"/>
        <v>No requiere reporte</v>
      </c>
      <c r="CO278" s="145" t="s">
        <v>1885</v>
      </c>
      <c r="CP278" s="145" t="s">
        <v>2536</v>
      </c>
      <c r="CQ278" s="145" t="s">
        <v>2537</v>
      </c>
      <c r="CR278" s="145" t="s">
        <v>2538</v>
      </c>
      <c r="CS278" s="145" t="s">
        <v>2539</v>
      </c>
      <c r="CT278" s="145" t="s">
        <v>953</v>
      </c>
      <c r="CU278" s="145" t="s">
        <v>233</v>
      </c>
      <c r="CV278" s="83" t="s">
        <v>182</v>
      </c>
      <c r="CW278" s="157" t="s">
        <v>402</v>
      </c>
      <c r="CX278" s="663">
        <v>46023</v>
      </c>
      <c r="CY278" s="663">
        <v>46387</v>
      </c>
      <c r="CZ278" s="668">
        <v>20</v>
      </c>
      <c r="DA278" s="668">
        <v>13</v>
      </c>
      <c r="DB278" s="668">
        <v>0</v>
      </c>
      <c r="DC278" s="668">
        <v>0</v>
      </c>
      <c r="DD278" s="668">
        <f>+CZ278+DA278+DB278+DC278</f>
        <v>33</v>
      </c>
      <c r="DE278" s="145" t="s">
        <v>265</v>
      </c>
      <c r="DF278" s="145" t="s">
        <v>2445</v>
      </c>
      <c r="DG278" s="145" t="s">
        <v>2446</v>
      </c>
      <c r="DH278" s="475">
        <v>1028833781</v>
      </c>
      <c r="DI278" s="664" t="s">
        <v>753</v>
      </c>
      <c r="DJ278" s="145" t="s">
        <v>754</v>
      </c>
      <c r="DK278" s="145" t="s">
        <v>755</v>
      </c>
      <c r="DL278" s="145" t="s">
        <v>279</v>
      </c>
      <c r="DM278" s="145" t="s">
        <v>201</v>
      </c>
      <c r="DN278" s="84"/>
      <c r="DO278" s="86"/>
      <c r="DP278" s="467"/>
      <c r="DQ278" s="86"/>
      <c r="DR278" s="86"/>
      <c r="DS278" s="84"/>
      <c r="DT278" s="86"/>
      <c r="DU278" s="84"/>
      <c r="DV278" s="86"/>
      <c r="DW278" s="86"/>
      <c r="DX278" s="84"/>
      <c r="DY278" s="86"/>
      <c r="DZ278" s="84"/>
      <c r="EA278" s="86"/>
      <c r="EB278" s="86"/>
      <c r="EC278" s="84"/>
      <c r="ED278" s="84"/>
      <c r="EE278" s="84"/>
      <c r="EF278" s="84"/>
      <c r="EG278" s="84"/>
      <c r="EH278" s="84"/>
      <c r="EI278" s="84"/>
      <c r="EJ278" s="84"/>
      <c r="EK278" s="84"/>
      <c r="EL278" s="91" t="str">
        <f t="shared" si="82"/>
        <v>No se reportó avance</v>
      </c>
      <c r="EM278" s="83" t="str">
        <f t="shared" si="83"/>
        <v>No se reportó avance</v>
      </c>
      <c r="EN278" s="86"/>
      <c r="EO278" s="93"/>
      <c r="EP278" s="93"/>
    </row>
    <row r="279" spans="1:146" s="93" customFormat="1" ht="96" customHeight="1">
      <c r="A279" s="74" t="s">
        <v>2420</v>
      </c>
      <c r="B279" s="75" t="s">
        <v>2457</v>
      </c>
      <c r="C279" s="75" t="s">
        <v>2422</v>
      </c>
      <c r="D279" s="75" t="s">
        <v>2423</v>
      </c>
      <c r="E279" s="75" t="s">
        <v>2531</v>
      </c>
      <c r="F279" s="74" t="s">
        <v>2425</v>
      </c>
      <c r="G279" s="74" t="s">
        <v>280</v>
      </c>
      <c r="H279" s="74" t="s">
        <v>280</v>
      </c>
      <c r="I279" s="74" t="s">
        <v>2426</v>
      </c>
      <c r="J279" s="74" t="s">
        <v>2427</v>
      </c>
      <c r="K279" s="74" t="s">
        <v>2540</v>
      </c>
      <c r="L279" s="182">
        <v>7</v>
      </c>
      <c r="M279" s="74" t="s">
        <v>2541</v>
      </c>
      <c r="N279" s="74" t="s">
        <v>2542</v>
      </c>
      <c r="O279" s="74" t="s">
        <v>2543</v>
      </c>
      <c r="P279" s="74" t="s">
        <v>200</v>
      </c>
      <c r="Q279" s="74" t="s">
        <v>233</v>
      </c>
      <c r="R279" s="74" t="s">
        <v>182</v>
      </c>
      <c r="S279" s="74" t="s">
        <v>163</v>
      </c>
      <c r="T279" s="81">
        <v>46023</v>
      </c>
      <c r="U279" s="81">
        <v>46387</v>
      </c>
      <c r="V279" s="182"/>
      <c r="W279" s="182"/>
      <c r="X279" s="182"/>
      <c r="Y279" s="182"/>
      <c r="Z279" s="183"/>
      <c r="AA279" s="183"/>
      <c r="AB279" s="183"/>
      <c r="AC279" s="183"/>
      <c r="AD279" s="183"/>
      <c r="AE279" s="183"/>
      <c r="AF279" s="183"/>
      <c r="AG279" s="183"/>
      <c r="AH279" s="183"/>
      <c r="AI279" s="183"/>
      <c r="AJ279" s="183"/>
      <c r="AK279" s="185">
        <v>0.1</v>
      </c>
      <c r="AL279" s="185">
        <v>0.45</v>
      </c>
      <c r="AM279" s="185">
        <v>0.45</v>
      </c>
      <c r="AN279" s="185">
        <v>0</v>
      </c>
      <c r="AO279" s="481">
        <v>1</v>
      </c>
      <c r="AP279" s="184">
        <v>1</v>
      </c>
      <c r="AQ279" s="131"/>
      <c r="AR279" s="131"/>
      <c r="AS279" s="131"/>
      <c r="AT279" s="131"/>
      <c r="AU279" s="131"/>
      <c r="AV279" s="131"/>
      <c r="AW279" s="131"/>
      <c r="AX279" s="131"/>
      <c r="AY279" s="131"/>
      <c r="AZ279" s="131"/>
      <c r="BA279" s="131"/>
      <c r="BB279" s="131"/>
      <c r="BC279" s="131"/>
      <c r="BD279" s="131"/>
      <c r="BE279" s="131"/>
      <c r="BF279" s="131"/>
      <c r="BG279" s="131"/>
      <c r="BH279" s="131"/>
      <c r="BI279" s="131"/>
      <c r="BJ279" s="131"/>
      <c r="BK279" s="131"/>
      <c r="BL279" s="131"/>
      <c r="BM279" s="131"/>
      <c r="BN279" s="131"/>
      <c r="BO279" s="131"/>
      <c r="BP279" s="131"/>
      <c r="BQ279" s="131"/>
      <c r="BR279" s="131"/>
      <c r="BS279" s="131"/>
      <c r="BT279" s="131"/>
      <c r="BU279" s="131"/>
      <c r="BV279" s="131"/>
      <c r="BW279" s="131"/>
      <c r="BX279" s="131"/>
      <c r="BY279" s="131"/>
      <c r="BZ279" s="131"/>
      <c r="CA279" s="131"/>
      <c r="CB279" s="131"/>
      <c r="CC279" s="131"/>
      <c r="CD279" s="131"/>
      <c r="CE279" s="131"/>
      <c r="CF279" s="131"/>
      <c r="CG279" s="359">
        <f>+SUM(DH279)</f>
        <v>210000000</v>
      </c>
      <c r="CH279" s="131"/>
      <c r="CI279" s="131"/>
      <c r="CJ279" s="83">
        <f t="shared" si="75"/>
        <v>0</v>
      </c>
      <c r="CK279" s="83">
        <f t="shared" si="76"/>
        <v>0</v>
      </c>
      <c r="CL279" s="83" t="str">
        <f t="shared" si="79"/>
        <v>No se reportó avance</v>
      </c>
      <c r="CM279" s="89" t="str">
        <f t="shared" si="80"/>
        <v>No se reportó avance</v>
      </c>
      <c r="CN279" s="89" t="str">
        <f t="shared" si="81"/>
        <v>No se reportó avance</v>
      </c>
      <c r="CO279" s="668" t="s">
        <v>1384</v>
      </c>
      <c r="CP279" s="145" t="s">
        <v>2544</v>
      </c>
      <c r="CQ279" s="145" t="s">
        <v>2545</v>
      </c>
      <c r="CR279" s="145" t="s">
        <v>2546</v>
      </c>
      <c r="CS279" s="145" t="s">
        <v>2547</v>
      </c>
      <c r="CT279" s="668" t="s">
        <v>161</v>
      </c>
      <c r="CU279" s="668" t="s">
        <v>233</v>
      </c>
      <c r="CV279" s="83" t="s">
        <v>182</v>
      </c>
      <c r="CW279" s="668" t="s">
        <v>402</v>
      </c>
      <c r="CX279" s="669">
        <v>46023</v>
      </c>
      <c r="CY279" s="663">
        <v>46387</v>
      </c>
      <c r="CZ279" s="668">
        <v>0</v>
      </c>
      <c r="DA279" s="668">
        <v>0</v>
      </c>
      <c r="DB279" s="668">
        <v>1</v>
      </c>
      <c r="DC279" s="668">
        <v>0</v>
      </c>
      <c r="DD279" s="668">
        <f>+CZ279+DA279+DB279+DC279</f>
        <v>1</v>
      </c>
      <c r="DE279" s="668" t="s">
        <v>265</v>
      </c>
      <c r="DF279" s="145" t="s">
        <v>2445</v>
      </c>
      <c r="DG279" s="145" t="s">
        <v>2446</v>
      </c>
      <c r="DH279" s="359">
        <v>210000000</v>
      </c>
      <c r="DI279" s="664" t="s">
        <v>753</v>
      </c>
      <c r="DJ279" s="145" t="s">
        <v>754</v>
      </c>
      <c r="DK279" s="145" t="s">
        <v>755</v>
      </c>
      <c r="DL279" s="145" t="s">
        <v>279</v>
      </c>
      <c r="DM279" s="668" t="s">
        <v>201</v>
      </c>
      <c r="DN279" s="131"/>
      <c r="DO279" s="131"/>
      <c r="DP279" s="131"/>
      <c r="DQ279" s="131"/>
      <c r="DR279" s="131"/>
      <c r="DS279" s="131"/>
      <c r="DT279" s="131"/>
      <c r="DU279" s="131"/>
      <c r="DV279" s="131"/>
      <c r="DW279" s="131"/>
      <c r="DX279" s="131"/>
      <c r="DY279" s="131"/>
      <c r="DZ279" s="131"/>
      <c r="EA279" s="131"/>
      <c r="EB279" s="131"/>
      <c r="EC279" s="131"/>
      <c r="ED279" s="131"/>
      <c r="EE279" s="131"/>
      <c r="EF279" s="131"/>
      <c r="EG279" s="131"/>
      <c r="EH279" s="131"/>
      <c r="EI279" s="131"/>
      <c r="EJ279" s="131"/>
      <c r="EK279" s="131"/>
      <c r="EL279" s="91" t="str">
        <f t="shared" si="82"/>
        <v>No aplica, no hay meta</v>
      </c>
      <c r="EM279" s="83" t="str">
        <f t="shared" si="83"/>
        <v>No se reportó avance</v>
      </c>
      <c r="EN279" s="131"/>
    </row>
    <row r="280" spans="1:146" s="93" customFormat="1" ht="76.5" customHeight="1">
      <c r="A280" s="74" t="s">
        <v>2548</v>
      </c>
      <c r="B280" s="75" t="s">
        <v>2549</v>
      </c>
      <c r="C280" s="75" t="s">
        <v>2550</v>
      </c>
      <c r="D280" s="75" t="s">
        <v>2551</v>
      </c>
      <c r="E280" s="75" t="s">
        <v>2552</v>
      </c>
      <c r="F280" s="74" t="s">
        <v>2553</v>
      </c>
      <c r="G280" s="74" t="s">
        <v>154</v>
      </c>
      <c r="H280" s="74" t="s">
        <v>2554</v>
      </c>
      <c r="I280" s="74" t="s">
        <v>2555</v>
      </c>
      <c r="J280" s="74" t="s">
        <v>2556</v>
      </c>
      <c r="K280" s="74" t="s">
        <v>730</v>
      </c>
      <c r="L280" s="78">
        <v>1</v>
      </c>
      <c r="M280" s="78" t="s">
        <v>2557</v>
      </c>
      <c r="N280" s="78" t="s">
        <v>2558</v>
      </c>
      <c r="O280" s="78" t="s">
        <v>2559</v>
      </c>
      <c r="P280" s="78" t="s">
        <v>161</v>
      </c>
      <c r="Q280" s="78" t="s">
        <v>162</v>
      </c>
      <c r="R280" s="82">
        <v>1</v>
      </c>
      <c r="S280" s="78" t="s">
        <v>163</v>
      </c>
      <c r="T280" s="80">
        <v>44927</v>
      </c>
      <c r="U280" s="80">
        <v>46387</v>
      </c>
      <c r="V280" s="81"/>
      <c r="W280" s="81"/>
      <c r="X280" s="81"/>
      <c r="Y280" s="81"/>
      <c r="Z280" s="82">
        <v>1</v>
      </c>
      <c r="AA280" s="121">
        <v>1</v>
      </c>
      <c r="AB280" s="121">
        <v>1</v>
      </c>
      <c r="AC280" s="121">
        <v>1</v>
      </c>
      <c r="AD280" s="121">
        <v>1</v>
      </c>
      <c r="AE280" s="82">
        <v>1</v>
      </c>
      <c r="AF280" s="82">
        <v>1</v>
      </c>
      <c r="AG280" s="82">
        <v>1</v>
      </c>
      <c r="AH280" s="82">
        <v>1</v>
      </c>
      <c r="AI280" s="82">
        <v>1</v>
      </c>
      <c r="AJ280" s="82">
        <v>1</v>
      </c>
      <c r="AK280" s="121">
        <v>1</v>
      </c>
      <c r="AL280" s="121">
        <v>1</v>
      </c>
      <c r="AM280" s="121">
        <v>1</v>
      </c>
      <c r="AN280" s="121">
        <v>1</v>
      </c>
      <c r="AO280" s="82">
        <v>1</v>
      </c>
      <c r="AP280" s="82">
        <v>1</v>
      </c>
      <c r="AQ280" s="83">
        <v>0.879</v>
      </c>
      <c r="AR280" s="84" t="s">
        <v>2560</v>
      </c>
      <c r="AS280" s="83">
        <v>0.79</v>
      </c>
      <c r="AT280" s="84" t="s">
        <v>2561</v>
      </c>
      <c r="AU280" s="83">
        <v>0.65</v>
      </c>
      <c r="AV280" s="84" t="s">
        <v>2562</v>
      </c>
      <c r="AW280" s="83">
        <v>0.71</v>
      </c>
      <c r="AX280" s="84" t="s">
        <v>2563</v>
      </c>
      <c r="AY280" s="83">
        <f>+AW280</f>
        <v>0.71</v>
      </c>
      <c r="AZ280" s="86" t="s">
        <v>2564</v>
      </c>
      <c r="BA280" s="85">
        <v>0.66666666666666663</v>
      </c>
      <c r="BB280" s="84" t="s">
        <v>2565</v>
      </c>
      <c r="BC280" s="85">
        <v>0.48749999999999999</v>
      </c>
      <c r="BD280" s="84" t="s">
        <v>2566</v>
      </c>
      <c r="BE280" s="85">
        <v>0.52</v>
      </c>
      <c r="BF280" s="84" t="s">
        <v>2567</v>
      </c>
      <c r="BG280" s="85">
        <v>0.56999999999999995</v>
      </c>
      <c r="BH280" s="85" t="s">
        <v>2568</v>
      </c>
      <c r="BI280" s="85">
        <f>+BG280</f>
        <v>0.56999999999999995</v>
      </c>
      <c r="BJ280" s="86" t="s">
        <v>2569</v>
      </c>
      <c r="BK280" s="85">
        <f>(0%/100%+0%/100%+3/3+20/20)/4</f>
        <v>0.5</v>
      </c>
      <c r="BL280" s="86" t="s">
        <v>2570</v>
      </c>
      <c r="BM280" s="83">
        <f>(0%/100%+0%/100%+3/3+113/160+0/50)/5</f>
        <v>0.34125</v>
      </c>
      <c r="BN280" s="86" t="s">
        <v>2571</v>
      </c>
      <c r="BO280" s="83">
        <f>(100%/100%+0%/100%+3/3+160/160+0/50)/5</f>
        <v>0.6</v>
      </c>
      <c r="BP280" s="670" t="s">
        <v>2572</v>
      </c>
      <c r="BQ280" s="85"/>
      <c r="BR280" s="85"/>
      <c r="BS280" s="83">
        <f>+BO280</f>
        <v>0.6</v>
      </c>
      <c r="BT280" s="85"/>
      <c r="BU280" s="85"/>
      <c r="BV280" s="85"/>
      <c r="BW280" s="85"/>
      <c r="BX280" s="85"/>
      <c r="BY280" s="85"/>
      <c r="BZ280" s="85"/>
      <c r="CA280" s="85"/>
      <c r="CB280" s="85"/>
      <c r="CC280" s="85"/>
      <c r="CD280" s="85"/>
      <c r="CE280" s="83">
        <f>+BS280</f>
        <v>0.6</v>
      </c>
      <c r="CF280" s="84"/>
      <c r="CG280" s="371">
        <f>SUM(DH280:DH287)</f>
        <v>9910726800</v>
      </c>
      <c r="CH280" s="372"/>
      <c r="CI280" s="372"/>
      <c r="CJ280" s="83">
        <f t="shared" si="75"/>
        <v>0</v>
      </c>
      <c r="CK280" s="83">
        <f t="shared" si="76"/>
        <v>0</v>
      </c>
      <c r="CL280" s="83" t="str">
        <f t="shared" si="79"/>
        <v>No se reportó avance</v>
      </c>
      <c r="CM280" s="89" t="str">
        <f t="shared" si="80"/>
        <v>No se reportó avance</v>
      </c>
      <c r="CN280" s="89">
        <f t="shared" si="81"/>
        <v>0.6</v>
      </c>
      <c r="CO280" s="84" t="s">
        <v>177</v>
      </c>
      <c r="CP280" s="86" t="s">
        <v>2573</v>
      </c>
      <c r="CQ280" s="84" t="s">
        <v>2574</v>
      </c>
      <c r="CR280" s="84" t="s">
        <v>2575</v>
      </c>
      <c r="CS280" s="84" t="s">
        <v>2576</v>
      </c>
      <c r="CT280" s="84" t="s">
        <v>161</v>
      </c>
      <c r="CU280" s="84" t="s">
        <v>162</v>
      </c>
      <c r="CV280" s="85">
        <v>1</v>
      </c>
      <c r="CW280" s="84" t="s">
        <v>163</v>
      </c>
      <c r="CX280" s="90">
        <v>46023</v>
      </c>
      <c r="CY280" s="90">
        <v>46387</v>
      </c>
      <c r="CZ280" s="146">
        <v>1</v>
      </c>
      <c r="DA280" s="146">
        <v>1</v>
      </c>
      <c r="DB280" s="146">
        <v>1</v>
      </c>
      <c r="DC280" s="146">
        <v>1</v>
      </c>
      <c r="DD280" s="146">
        <v>1</v>
      </c>
      <c r="DE280" s="84" t="s">
        <v>514</v>
      </c>
      <c r="DF280" s="84" t="s">
        <v>2577</v>
      </c>
      <c r="DG280" s="84" t="s">
        <v>2578</v>
      </c>
      <c r="DH280" s="671">
        <v>436952500</v>
      </c>
      <c r="DI280" s="84" t="s">
        <v>1633</v>
      </c>
      <c r="DJ280" s="84" t="s">
        <v>2579</v>
      </c>
      <c r="DK280" s="84" t="s">
        <v>2580</v>
      </c>
      <c r="DL280" s="84" t="s">
        <v>2581</v>
      </c>
      <c r="DM280" s="84" t="s">
        <v>2582</v>
      </c>
      <c r="DN280" s="85"/>
      <c r="DO280" s="86"/>
      <c r="DP280" s="84"/>
      <c r="DQ280" s="86"/>
      <c r="DR280" s="86"/>
      <c r="DS280" s="83"/>
      <c r="DT280" s="86"/>
      <c r="DU280" s="85"/>
      <c r="DV280" s="86"/>
      <c r="DW280" s="86"/>
      <c r="DX280" s="83"/>
      <c r="DY280" s="86"/>
      <c r="DZ280" s="85"/>
      <c r="EA280" s="86"/>
      <c r="EB280" s="86"/>
      <c r="EC280" s="85"/>
      <c r="ED280" s="84"/>
      <c r="EE280" s="85"/>
      <c r="EF280" s="84"/>
      <c r="EG280" s="84"/>
      <c r="EH280" s="83"/>
      <c r="EI280" s="84"/>
      <c r="EJ280" s="84"/>
      <c r="EK280" s="84"/>
      <c r="EL280" s="91" t="str">
        <f t="shared" si="82"/>
        <v>No se reportó avance</v>
      </c>
      <c r="EM280" s="83" t="str">
        <f t="shared" si="83"/>
        <v>No se reportó avance</v>
      </c>
      <c r="EN280" s="86" t="s">
        <v>2583</v>
      </c>
    </row>
    <row r="281" spans="1:146" s="93" customFormat="1" ht="64.5" customHeight="1">
      <c r="A281" s="84" t="s">
        <v>2548</v>
      </c>
      <c r="B281" s="85" t="s">
        <v>2549</v>
      </c>
      <c r="C281" s="85" t="s">
        <v>2550</v>
      </c>
      <c r="D281" s="85" t="s">
        <v>2551</v>
      </c>
      <c r="E281" s="85" t="s">
        <v>2552</v>
      </c>
      <c r="F281" s="84" t="s">
        <v>2553</v>
      </c>
      <c r="G281" s="84" t="s">
        <v>154</v>
      </c>
      <c r="H281" s="84" t="s">
        <v>2554</v>
      </c>
      <c r="I281" s="84" t="s">
        <v>2555</v>
      </c>
      <c r="J281" s="84" t="s">
        <v>2556</v>
      </c>
      <c r="K281" s="84" t="s">
        <v>730</v>
      </c>
      <c r="L281" s="84">
        <v>1</v>
      </c>
      <c r="M281" s="84" t="s">
        <v>2557</v>
      </c>
      <c r="N281" s="84" t="s">
        <v>2558</v>
      </c>
      <c r="O281" s="84" t="s">
        <v>2559</v>
      </c>
      <c r="P281" s="84" t="s">
        <v>161</v>
      </c>
      <c r="Q281" s="84" t="s">
        <v>162</v>
      </c>
      <c r="R281" s="83">
        <v>1</v>
      </c>
      <c r="S281" s="84" t="s">
        <v>163</v>
      </c>
      <c r="T281" s="90">
        <v>44927</v>
      </c>
      <c r="U281" s="90">
        <v>46387</v>
      </c>
      <c r="V281" s="90"/>
      <c r="W281" s="90"/>
      <c r="X281" s="90"/>
      <c r="Y281" s="90"/>
      <c r="Z281" s="83"/>
      <c r="AA281" s="83"/>
      <c r="AB281" s="83"/>
      <c r="AC281" s="83"/>
      <c r="AD281" s="83"/>
      <c r="AE281" s="83"/>
      <c r="AF281" s="83"/>
      <c r="AG281" s="83"/>
      <c r="AH281" s="83"/>
      <c r="AI281" s="83"/>
      <c r="AJ281" s="83"/>
      <c r="AK281" s="83"/>
      <c r="AL281" s="83"/>
      <c r="AM281" s="83"/>
      <c r="AN281" s="83"/>
      <c r="AO281" s="83"/>
      <c r="AP281" s="83"/>
      <c r="AQ281" s="84"/>
      <c r="AR281" s="84"/>
      <c r="AS281" s="84"/>
      <c r="AT281" s="84"/>
      <c r="AU281" s="84"/>
      <c r="AV281" s="84"/>
      <c r="AW281" s="84"/>
      <c r="AX281" s="84"/>
      <c r="AY281" s="83"/>
      <c r="AZ281" s="86"/>
      <c r="BA281" s="85"/>
      <c r="BB281" s="84"/>
      <c r="BC281" s="85"/>
      <c r="BD281" s="84"/>
      <c r="BE281" s="85"/>
      <c r="BF281" s="84"/>
      <c r="BG281" s="85"/>
      <c r="BH281" s="85"/>
      <c r="BI281" s="85"/>
      <c r="BJ281" s="86"/>
      <c r="BK281" s="85"/>
      <c r="BL281" s="86"/>
      <c r="BM281" s="85"/>
      <c r="BN281" s="86"/>
      <c r="BO281" s="85"/>
      <c r="BP281" s="86"/>
      <c r="BQ281" s="85"/>
      <c r="BR281" s="85"/>
      <c r="BS281" s="85"/>
      <c r="BT281" s="85"/>
      <c r="BU281" s="85"/>
      <c r="BV281" s="85"/>
      <c r="BW281" s="85"/>
      <c r="BX281" s="85"/>
      <c r="BY281" s="85"/>
      <c r="BZ281" s="85"/>
      <c r="CA281" s="85"/>
      <c r="CB281" s="85"/>
      <c r="CC281" s="85"/>
      <c r="CD281" s="85"/>
      <c r="CE281" s="85"/>
      <c r="CF281" s="84"/>
      <c r="CG281" s="372"/>
      <c r="CH281" s="372"/>
      <c r="CI281" s="372"/>
      <c r="CJ281" s="83" t="str">
        <f t="shared" si="75"/>
        <v>No aplica</v>
      </c>
      <c r="CK281" s="83" t="str">
        <f t="shared" si="76"/>
        <v>No aplica</v>
      </c>
      <c r="CL281" s="83" t="str">
        <f t="shared" si="79"/>
        <v>No requiere reporte</v>
      </c>
      <c r="CM281" s="89" t="str">
        <f t="shared" si="80"/>
        <v>No requiere reporte</v>
      </c>
      <c r="CN281" s="89" t="str">
        <f t="shared" si="81"/>
        <v>No requiere reporte</v>
      </c>
      <c r="CO281" s="84" t="s">
        <v>185</v>
      </c>
      <c r="CP281" s="86" t="s">
        <v>2584</v>
      </c>
      <c r="CQ281" s="84" t="s">
        <v>2574</v>
      </c>
      <c r="CR281" s="84" t="s">
        <v>2585</v>
      </c>
      <c r="CS281" s="673" t="s">
        <v>2586</v>
      </c>
      <c r="CT281" s="84" t="s">
        <v>1161</v>
      </c>
      <c r="CU281" s="84" t="s">
        <v>162</v>
      </c>
      <c r="CV281" s="85">
        <v>1</v>
      </c>
      <c r="CW281" s="84" t="s">
        <v>163</v>
      </c>
      <c r="CX281" s="90">
        <v>46023</v>
      </c>
      <c r="CY281" s="90">
        <v>46387</v>
      </c>
      <c r="CZ281" s="146">
        <v>1</v>
      </c>
      <c r="DA281" s="146">
        <v>1</v>
      </c>
      <c r="DB281" s="146">
        <v>1</v>
      </c>
      <c r="DC281" s="146">
        <v>1</v>
      </c>
      <c r="DD281" s="146">
        <v>1</v>
      </c>
      <c r="DE281" s="84" t="s">
        <v>514</v>
      </c>
      <c r="DF281" s="131" t="s">
        <v>2587</v>
      </c>
      <c r="DG281" s="84" t="s">
        <v>2588</v>
      </c>
      <c r="DH281" s="671">
        <v>500000000</v>
      </c>
      <c r="DI281" s="84" t="s">
        <v>1633</v>
      </c>
      <c r="DJ281" s="84" t="s">
        <v>480</v>
      </c>
      <c r="DK281" s="84" t="s">
        <v>2580</v>
      </c>
      <c r="DL281" s="84" t="s">
        <v>2581</v>
      </c>
      <c r="DM281" s="84" t="s">
        <v>182</v>
      </c>
      <c r="DN281" s="85"/>
      <c r="DO281" s="86"/>
      <c r="DP281" s="84"/>
      <c r="DQ281" s="86"/>
      <c r="DR281" s="86"/>
      <c r="DS281" s="83"/>
      <c r="DT281" s="86"/>
      <c r="DU281" s="85"/>
      <c r="DV281" s="86"/>
      <c r="DW281" s="86"/>
      <c r="DX281" s="83"/>
      <c r="DY281" s="86"/>
      <c r="DZ281" s="85"/>
      <c r="EA281" s="86"/>
      <c r="EB281" s="86"/>
      <c r="EC281" s="85"/>
      <c r="ED281" s="84"/>
      <c r="EE281" s="85"/>
      <c r="EF281" s="84"/>
      <c r="EG281" s="84"/>
      <c r="EH281" s="83"/>
      <c r="EI281" s="84"/>
      <c r="EJ281" s="84"/>
      <c r="EK281" s="84"/>
      <c r="EL281" s="91" t="str">
        <f t="shared" si="82"/>
        <v>No se reportó avance</v>
      </c>
      <c r="EM281" s="83" t="str">
        <f t="shared" si="83"/>
        <v>No se reportó avance</v>
      </c>
      <c r="EN281" s="86"/>
    </row>
    <row r="282" spans="1:146" s="93" customFormat="1" ht="61.5" customHeight="1">
      <c r="A282" s="84" t="s">
        <v>2548</v>
      </c>
      <c r="B282" s="85" t="s">
        <v>2549</v>
      </c>
      <c r="C282" s="85" t="s">
        <v>2550</v>
      </c>
      <c r="D282" s="85" t="s">
        <v>2551</v>
      </c>
      <c r="E282" s="85" t="s">
        <v>2552</v>
      </c>
      <c r="F282" s="84" t="s">
        <v>2553</v>
      </c>
      <c r="G282" s="84" t="s">
        <v>154</v>
      </c>
      <c r="H282" s="84" t="s">
        <v>2554</v>
      </c>
      <c r="I282" s="84" t="s">
        <v>2555</v>
      </c>
      <c r="J282" s="84" t="s">
        <v>2556</v>
      </c>
      <c r="K282" s="84" t="s">
        <v>730</v>
      </c>
      <c r="L282" s="84">
        <v>1</v>
      </c>
      <c r="M282" s="84" t="s">
        <v>2557</v>
      </c>
      <c r="N282" s="84" t="s">
        <v>2558</v>
      </c>
      <c r="O282" s="84" t="s">
        <v>2559</v>
      </c>
      <c r="P282" s="84" t="s">
        <v>161</v>
      </c>
      <c r="Q282" s="84" t="s">
        <v>162</v>
      </c>
      <c r="R282" s="83">
        <v>1</v>
      </c>
      <c r="S282" s="84" t="s">
        <v>163</v>
      </c>
      <c r="T282" s="90">
        <v>44927</v>
      </c>
      <c r="U282" s="90">
        <v>46387</v>
      </c>
      <c r="V282" s="90"/>
      <c r="W282" s="90"/>
      <c r="X282" s="90"/>
      <c r="Y282" s="90"/>
      <c r="Z282" s="83"/>
      <c r="AA282" s="83"/>
      <c r="AB282" s="83"/>
      <c r="AC282" s="83"/>
      <c r="AD282" s="83"/>
      <c r="AE282" s="83"/>
      <c r="AF282" s="83"/>
      <c r="AG282" s="83"/>
      <c r="AH282" s="83"/>
      <c r="AI282" s="83"/>
      <c r="AJ282" s="83"/>
      <c r="AK282" s="123"/>
      <c r="AL282" s="123"/>
      <c r="AM282" s="123"/>
      <c r="AN282" s="123"/>
      <c r="AO282" s="123"/>
      <c r="AP282" s="83"/>
      <c r="AQ282" s="84"/>
      <c r="AR282" s="84"/>
      <c r="AS282" s="84"/>
      <c r="AT282" s="84"/>
      <c r="AU282" s="84"/>
      <c r="AV282" s="84"/>
      <c r="AW282" s="84"/>
      <c r="AX282" s="84"/>
      <c r="AY282" s="83"/>
      <c r="AZ282" s="86"/>
      <c r="BA282" s="85"/>
      <c r="BB282" s="84"/>
      <c r="BC282" s="85"/>
      <c r="BD282" s="84"/>
      <c r="BE282" s="85"/>
      <c r="BF282" s="84"/>
      <c r="BG282" s="85"/>
      <c r="BH282" s="85"/>
      <c r="BI282" s="85"/>
      <c r="BJ282" s="86"/>
      <c r="BK282" s="85"/>
      <c r="BL282" s="86"/>
      <c r="BM282" s="85"/>
      <c r="BN282" s="86"/>
      <c r="BO282" s="85"/>
      <c r="BP282" s="86"/>
      <c r="BQ282" s="85"/>
      <c r="BR282" s="85"/>
      <c r="BS282" s="85"/>
      <c r="BT282" s="85"/>
      <c r="BU282" s="85"/>
      <c r="BV282" s="85"/>
      <c r="BW282" s="85"/>
      <c r="BX282" s="85"/>
      <c r="BY282" s="85"/>
      <c r="BZ282" s="85"/>
      <c r="CA282" s="85"/>
      <c r="CB282" s="85"/>
      <c r="CC282" s="85"/>
      <c r="CD282" s="85"/>
      <c r="CE282" s="85"/>
      <c r="CF282" s="84"/>
      <c r="CG282" s="372"/>
      <c r="CH282" s="372"/>
      <c r="CI282" s="372"/>
      <c r="CJ282" s="83" t="str">
        <f t="shared" si="75"/>
        <v>No aplica</v>
      </c>
      <c r="CK282" s="83" t="str">
        <f t="shared" si="76"/>
        <v>No aplica</v>
      </c>
      <c r="CL282" s="83" t="str">
        <f t="shared" si="79"/>
        <v>No requiere reporte</v>
      </c>
      <c r="CM282" s="89" t="str">
        <f t="shared" si="80"/>
        <v>No requiere reporte</v>
      </c>
      <c r="CN282" s="89" t="str">
        <f t="shared" si="81"/>
        <v>No requiere reporte</v>
      </c>
      <c r="CO282" s="84" t="s">
        <v>190</v>
      </c>
      <c r="CP282" s="86" t="s">
        <v>2589</v>
      </c>
      <c r="CQ282" s="84" t="s">
        <v>2590</v>
      </c>
      <c r="CR282" s="84" t="s">
        <v>2591</v>
      </c>
      <c r="CS282" s="673" t="s">
        <v>2592</v>
      </c>
      <c r="CT282" s="84" t="s">
        <v>161</v>
      </c>
      <c r="CU282" s="84" t="s">
        <v>233</v>
      </c>
      <c r="CV282" s="84">
        <v>1</v>
      </c>
      <c r="CW282" s="84" t="s">
        <v>234</v>
      </c>
      <c r="CX282" s="90">
        <v>46023</v>
      </c>
      <c r="CY282" s="90">
        <v>46387</v>
      </c>
      <c r="CZ282" s="84">
        <v>0</v>
      </c>
      <c r="DA282" s="84">
        <v>0</v>
      </c>
      <c r="DB282" s="84">
        <v>0</v>
      </c>
      <c r="DC282" s="84">
        <v>1</v>
      </c>
      <c r="DD282" s="84">
        <f>DC282</f>
        <v>1</v>
      </c>
      <c r="DE282" s="84" t="s">
        <v>514</v>
      </c>
      <c r="DF282" s="131" t="s">
        <v>2587</v>
      </c>
      <c r="DG282" s="84" t="s">
        <v>2593</v>
      </c>
      <c r="DH282" s="671">
        <v>1500000000</v>
      </c>
      <c r="DI282" s="84" t="s">
        <v>1633</v>
      </c>
      <c r="DJ282" s="84" t="s">
        <v>480</v>
      </c>
      <c r="DK282" s="84" t="s">
        <v>2580</v>
      </c>
      <c r="DL282" s="84" t="s">
        <v>2581</v>
      </c>
      <c r="DM282" s="84" t="s">
        <v>182</v>
      </c>
      <c r="DN282" s="85"/>
      <c r="DO282" s="86"/>
      <c r="DP282" s="84"/>
      <c r="DQ282" s="86"/>
      <c r="DR282" s="86"/>
      <c r="DS282" s="84"/>
      <c r="DT282" s="86"/>
      <c r="DU282" s="85"/>
      <c r="DV282" s="86"/>
      <c r="DW282" s="86"/>
      <c r="DX282" s="83"/>
      <c r="DY282" s="86"/>
      <c r="DZ282" s="85"/>
      <c r="EA282" s="86"/>
      <c r="EB282" s="86"/>
      <c r="EC282" s="85"/>
      <c r="ED282" s="84"/>
      <c r="EE282" s="85"/>
      <c r="EF282" s="84"/>
      <c r="EG282" s="84"/>
      <c r="EH282" s="84"/>
      <c r="EI282" s="84"/>
      <c r="EJ282" s="84"/>
      <c r="EK282" s="84"/>
      <c r="EL282" s="91" t="str">
        <f t="shared" si="82"/>
        <v>No aplica, no hay meta</v>
      </c>
      <c r="EM282" s="83" t="str">
        <f t="shared" si="83"/>
        <v>No se reportó avance</v>
      </c>
      <c r="EN282" s="86"/>
    </row>
    <row r="283" spans="1:146" s="93" customFormat="1" ht="50.25" customHeight="1">
      <c r="A283" s="84" t="s">
        <v>2548</v>
      </c>
      <c r="B283" s="85" t="s">
        <v>2549</v>
      </c>
      <c r="C283" s="85" t="s">
        <v>2550</v>
      </c>
      <c r="D283" s="85" t="s">
        <v>2551</v>
      </c>
      <c r="E283" s="85" t="s">
        <v>2552</v>
      </c>
      <c r="F283" s="84" t="s">
        <v>2553</v>
      </c>
      <c r="G283" s="84" t="s">
        <v>154</v>
      </c>
      <c r="H283" s="84" t="s">
        <v>2554</v>
      </c>
      <c r="I283" s="84" t="s">
        <v>2555</v>
      </c>
      <c r="J283" s="84" t="s">
        <v>2556</v>
      </c>
      <c r="K283" s="84" t="s">
        <v>730</v>
      </c>
      <c r="L283" s="84">
        <v>1</v>
      </c>
      <c r="M283" s="84" t="s">
        <v>2557</v>
      </c>
      <c r="N283" s="84" t="s">
        <v>2558</v>
      </c>
      <c r="O283" s="84" t="s">
        <v>2559</v>
      </c>
      <c r="P283" s="84" t="s">
        <v>161</v>
      </c>
      <c r="Q283" s="84" t="s">
        <v>162</v>
      </c>
      <c r="R283" s="83">
        <v>1</v>
      </c>
      <c r="S283" s="84" t="s">
        <v>163</v>
      </c>
      <c r="T283" s="90">
        <v>44927</v>
      </c>
      <c r="U283" s="90">
        <v>46387</v>
      </c>
      <c r="V283" s="90"/>
      <c r="W283" s="90"/>
      <c r="X283" s="90"/>
      <c r="Y283" s="90"/>
      <c r="Z283" s="83"/>
      <c r="AA283" s="83"/>
      <c r="AB283" s="83"/>
      <c r="AC283" s="83"/>
      <c r="AD283" s="83"/>
      <c r="AE283" s="83"/>
      <c r="AF283" s="83"/>
      <c r="AG283" s="83"/>
      <c r="AH283" s="83"/>
      <c r="AI283" s="83"/>
      <c r="AJ283" s="83"/>
      <c r="AK283" s="123"/>
      <c r="AL283" s="123"/>
      <c r="AM283" s="123"/>
      <c r="AN283" s="123"/>
      <c r="AO283" s="123"/>
      <c r="AP283" s="83"/>
      <c r="AQ283" s="84"/>
      <c r="AR283" s="84"/>
      <c r="AS283" s="84"/>
      <c r="AT283" s="84"/>
      <c r="AU283" s="84"/>
      <c r="AV283" s="84"/>
      <c r="AW283" s="84"/>
      <c r="AX283" s="84"/>
      <c r="AY283" s="83"/>
      <c r="AZ283" s="86"/>
      <c r="BA283" s="85"/>
      <c r="BB283" s="84"/>
      <c r="BC283" s="85"/>
      <c r="BD283" s="84"/>
      <c r="BE283" s="85"/>
      <c r="BF283" s="84"/>
      <c r="BG283" s="85"/>
      <c r="BH283" s="85"/>
      <c r="BI283" s="85"/>
      <c r="BJ283" s="86"/>
      <c r="BK283" s="85"/>
      <c r="BL283" s="86"/>
      <c r="BM283" s="85"/>
      <c r="BN283" s="86"/>
      <c r="BO283" s="85"/>
      <c r="BP283" s="86"/>
      <c r="BQ283" s="85"/>
      <c r="BR283" s="85"/>
      <c r="BS283" s="85"/>
      <c r="BT283" s="85"/>
      <c r="BU283" s="85"/>
      <c r="BV283" s="85"/>
      <c r="BW283" s="85"/>
      <c r="BX283" s="85"/>
      <c r="BY283" s="85"/>
      <c r="BZ283" s="85"/>
      <c r="CA283" s="85"/>
      <c r="CB283" s="85"/>
      <c r="CC283" s="85"/>
      <c r="CD283" s="85"/>
      <c r="CE283" s="85"/>
      <c r="CF283" s="84"/>
      <c r="CG283" s="372"/>
      <c r="CH283" s="372"/>
      <c r="CI283" s="372"/>
      <c r="CJ283" s="83" t="str">
        <f t="shared" si="75"/>
        <v>No aplica</v>
      </c>
      <c r="CK283" s="83" t="str">
        <f t="shared" si="76"/>
        <v>No aplica</v>
      </c>
      <c r="CL283" s="83" t="str">
        <f t="shared" si="79"/>
        <v>No requiere reporte</v>
      </c>
      <c r="CM283" s="89" t="str">
        <f t="shared" si="80"/>
        <v>No requiere reporte</v>
      </c>
      <c r="CN283" s="89" t="str">
        <f t="shared" si="81"/>
        <v>No requiere reporte</v>
      </c>
      <c r="CO283" s="84" t="s">
        <v>195</v>
      </c>
      <c r="CP283" s="86" t="s">
        <v>2594</v>
      </c>
      <c r="CQ283" s="84" t="s">
        <v>2590</v>
      </c>
      <c r="CR283" s="84" t="s">
        <v>2595</v>
      </c>
      <c r="CS283" s="673" t="s">
        <v>2596</v>
      </c>
      <c r="CT283" s="84" t="s">
        <v>161</v>
      </c>
      <c r="CU283" s="84" t="s">
        <v>233</v>
      </c>
      <c r="CV283" s="83" t="s">
        <v>182</v>
      </c>
      <c r="CW283" s="84" t="s">
        <v>234</v>
      </c>
      <c r="CX283" s="90">
        <v>46023</v>
      </c>
      <c r="CY283" s="90">
        <v>46387</v>
      </c>
      <c r="CZ283" s="84">
        <v>0</v>
      </c>
      <c r="DA283" s="84">
        <v>0</v>
      </c>
      <c r="DB283" s="84">
        <v>0</v>
      </c>
      <c r="DC283" s="84">
        <v>3</v>
      </c>
      <c r="DD283" s="84">
        <v>3</v>
      </c>
      <c r="DE283" s="84" t="s">
        <v>514</v>
      </c>
      <c r="DF283" s="131" t="s">
        <v>2587</v>
      </c>
      <c r="DG283" s="84" t="s">
        <v>2597</v>
      </c>
      <c r="DH283" s="671">
        <f>700000000+3000000000</f>
        <v>3700000000</v>
      </c>
      <c r="DI283" s="84" t="s">
        <v>1633</v>
      </c>
      <c r="DJ283" s="84" t="s">
        <v>480</v>
      </c>
      <c r="DK283" s="84" t="s">
        <v>2580</v>
      </c>
      <c r="DL283" s="84" t="s">
        <v>2581</v>
      </c>
      <c r="DM283" s="84" t="s">
        <v>182</v>
      </c>
      <c r="DN283" s="84"/>
      <c r="DO283" s="86"/>
      <c r="DP283" s="84"/>
      <c r="DQ283" s="86"/>
      <c r="DR283" s="86"/>
      <c r="DS283" s="84"/>
      <c r="DT283" s="86"/>
      <c r="DU283" s="85"/>
      <c r="DV283" s="86"/>
      <c r="DW283" s="86"/>
      <c r="DX283" s="83"/>
      <c r="DY283" s="86"/>
      <c r="DZ283" s="85"/>
      <c r="EA283" s="86"/>
      <c r="EB283" s="86"/>
      <c r="EC283" s="85"/>
      <c r="ED283" s="84"/>
      <c r="EE283" s="85"/>
      <c r="EF283" s="84"/>
      <c r="EG283" s="84"/>
      <c r="EH283" s="84"/>
      <c r="EI283" s="84"/>
      <c r="EJ283" s="84"/>
      <c r="EK283" s="84"/>
      <c r="EL283" s="91" t="str">
        <f t="shared" si="82"/>
        <v>No aplica, no hay meta</v>
      </c>
      <c r="EM283" s="83" t="str">
        <f t="shared" si="83"/>
        <v>No se reportó avance</v>
      </c>
      <c r="EN283" s="86"/>
    </row>
    <row r="284" spans="1:146" s="93" customFormat="1" ht="58.5" customHeight="1">
      <c r="A284" s="84" t="s">
        <v>2548</v>
      </c>
      <c r="B284" s="85" t="s">
        <v>2549</v>
      </c>
      <c r="C284" s="85" t="s">
        <v>2550</v>
      </c>
      <c r="D284" s="85" t="s">
        <v>2551</v>
      </c>
      <c r="E284" s="85" t="s">
        <v>2552</v>
      </c>
      <c r="F284" s="84" t="s">
        <v>2553</v>
      </c>
      <c r="G284" s="84" t="s">
        <v>154</v>
      </c>
      <c r="H284" s="84" t="s">
        <v>2554</v>
      </c>
      <c r="I284" s="84" t="s">
        <v>2555</v>
      </c>
      <c r="J284" s="84" t="s">
        <v>2556</v>
      </c>
      <c r="K284" s="84" t="s">
        <v>730</v>
      </c>
      <c r="L284" s="84">
        <v>1</v>
      </c>
      <c r="M284" s="84" t="s">
        <v>2557</v>
      </c>
      <c r="N284" s="84" t="s">
        <v>2558</v>
      </c>
      <c r="O284" s="84" t="s">
        <v>2559</v>
      </c>
      <c r="P284" s="84" t="s">
        <v>161</v>
      </c>
      <c r="Q284" s="84" t="s">
        <v>162</v>
      </c>
      <c r="R284" s="83">
        <v>1</v>
      </c>
      <c r="S284" s="84" t="s">
        <v>163</v>
      </c>
      <c r="T284" s="90">
        <v>44927</v>
      </c>
      <c r="U284" s="90">
        <v>46387</v>
      </c>
      <c r="V284" s="90"/>
      <c r="W284" s="90"/>
      <c r="X284" s="90"/>
      <c r="Y284" s="90"/>
      <c r="Z284" s="83"/>
      <c r="AA284" s="83"/>
      <c r="AB284" s="83"/>
      <c r="AC284" s="83"/>
      <c r="AD284" s="83"/>
      <c r="AE284" s="83"/>
      <c r="AF284" s="83"/>
      <c r="AG284" s="83"/>
      <c r="AH284" s="83"/>
      <c r="AI284" s="83"/>
      <c r="AJ284" s="83"/>
      <c r="AK284" s="123"/>
      <c r="AL284" s="123"/>
      <c r="AM284" s="123"/>
      <c r="AN284" s="123"/>
      <c r="AO284" s="123"/>
      <c r="AP284" s="83"/>
      <c r="AQ284" s="84"/>
      <c r="AR284" s="84"/>
      <c r="AS284" s="84"/>
      <c r="AT284" s="84"/>
      <c r="AU284" s="84"/>
      <c r="AV284" s="84"/>
      <c r="AW284" s="84"/>
      <c r="AX284" s="84"/>
      <c r="AY284" s="83"/>
      <c r="AZ284" s="86"/>
      <c r="BA284" s="85"/>
      <c r="BB284" s="84"/>
      <c r="BC284" s="85"/>
      <c r="BD284" s="84"/>
      <c r="BE284" s="85"/>
      <c r="BF284" s="84"/>
      <c r="BG284" s="85"/>
      <c r="BH284" s="85"/>
      <c r="BI284" s="85"/>
      <c r="BJ284" s="86"/>
      <c r="BK284" s="85"/>
      <c r="BL284" s="86"/>
      <c r="BM284" s="85"/>
      <c r="BN284" s="86"/>
      <c r="BO284" s="85"/>
      <c r="BP284" s="86"/>
      <c r="BQ284" s="85"/>
      <c r="BR284" s="85"/>
      <c r="BS284" s="85"/>
      <c r="BT284" s="85"/>
      <c r="BU284" s="85"/>
      <c r="BV284" s="85"/>
      <c r="BW284" s="85"/>
      <c r="BX284" s="85"/>
      <c r="BY284" s="85"/>
      <c r="BZ284" s="85"/>
      <c r="CA284" s="85"/>
      <c r="CB284" s="85"/>
      <c r="CC284" s="85"/>
      <c r="CD284" s="85"/>
      <c r="CE284" s="85"/>
      <c r="CF284" s="84"/>
      <c r="CG284" s="372"/>
      <c r="CH284" s="372"/>
      <c r="CI284" s="372"/>
      <c r="CJ284" s="83" t="str">
        <f t="shared" si="75"/>
        <v>No aplica</v>
      </c>
      <c r="CK284" s="83" t="str">
        <f t="shared" si="76"/>
        <v>No aplica</v>
      </c>
      <c r="CL284" s="83" t="str">
        <f t="shared" si="79"/>
        <v>No requiere reporte</v>
      </c>
      <c r="CM284" s="89" t="str">
        <f t="shared" si="80"/>
        <v>No requiere reporte</v>
      </c>
      <c r="CN284" s="89" t="str">
        <f t="shared" si="81"/>
        <v>No requiere reporte</v>
      </c>
      <c r="CO284" s="84" t="s">
        <v>202</v>
      </c>
      <c r="CP284" s="86" t="s">
        <v>2598</v>
      </c>
      <c r="CQ284" s="84" t="s">
        <v>2590</v>
      </c>
      <c r="CR284" s="84" t="s">
        <v>2599</v>
      </c>
      <c r="CS284" s="84" t="s">
        <v>2600</v>
      </c>
      <c r="CT284" s="84" t="s">
        <v>200</v>
      </c>
      <c r="CU284" s="84" t="s">
        <v>162</v>
      </c>
      <c r="CV284" s="84">
        <v>3</v>
      </c>
      <c r="CW284" s="84" t="s">
        <v>234</v>
      </c>
      <c r="CX284" s="90">
        <v>46113</v>
      </c>
      <c r="CY284" s="90">
        <v>46387</v>
      </c>
      <c r="CZ284" s="84"/>
      <c r="DA284" s="84">
        <v>3</v>
      </c>
      <c r="DB284" s="84">
        <v>3</v>
      </c>
      <c r="DC284" s="84">
        <v>3</v>
      </c>
      <c r="DD284" s="84">
        <v>3</v>
      </c>
      <c r="DE284" s="84" t="s">
        <v>514</v>
      </c>
      <c r="DF284" s="131" t="s">
        <v>2587</v>
      </c>
      <c r="DG284" s="84" t="s">
        <v>2601</v>
      </c>
      <c r="DH284" s="671">
        <f>220000000+687000000+1000000000</f>
        <v>1907000000</v>
      </c>
      <c r="DI284" s="84" t="s">
        <v>1633</v>
      </c>
      <c r="DJ284" s="84" t="s">
        <v>480</v>
      </c>
      <c r="DK284" s="84" t="s">
        <v>2580</v>
      </c>
      <c r="DL284" s="84" t="s">
        <v>2581</v>
      </c>
      <c r="DM284" s="84" t="s">
        <v>182</v>
      </c>
      <c r="DN284" s="84"/>
      <c r="DO284" s="86"/>
      <c r="DP284" s="84"/>
      <c r="DQ284" s="86"/>
      <c r="DR284" s="86"/>
      <c r="DS284" s="84"/>
      <c r="DT284" s="86"/>
      <c r="DU284" s="96"/>
      <c r="DV284" s="86"/>
      <c r="DW284" s="86"/>
      <c r="DX284" s="84"/>
      <c r="DY284" s="86"/>
      <c r="DZ284" s="96"/>
      <c r="EA284" s="86"/>
      <c r="EB284" s="86"/>
      <c r="EC284" s="85"/>
      <c r="ED284" s="84"/>
      <c r="EE284" s="85"/>
      <c r="EF284" s="84"/>
      <c r="EG284" s="84"/>
      <c r="EH284" s="84"/>
      <c r="EI284" s="84"/>
      <c r="EJ284" s="84"/>
      <c r="EK284" s="84"/>
      <c r="EL284" s="91" t="str">
        <f t="shared" si="82"/>
        <v>No aplica, no hay meta</v>
      </c>
      <c r="EM284" s="83" t="str">
        <f t="shared" si="83"/>
        <v>No se reportó avance</v>
      </c>
      <c r="EN284" s="86"/>
    </row>
    <row r="285" spans="1:146" s="93" customFormat="1" ht="70.5" customHeight="1">
      <c r="A285" s="84" t="s">
        <v>2548</v>
      </c>
      <c r="B285" s="85" t="s">
        <v>2549</v>
      </c>
      <c r="C285" s="85" t="s">
        <v>2550</v>
      </c>
      <c r="D285" s="85" t="s">
        <v>2551</v>
      </c>
      <c r="E285" s="85" t="s">
        <v>2552</v>
      </c>
      <c r="F285" s="84" t="s">
        <v>2553</v>
      </c>
      <c r="G285" s="84" t="s">
        <v>154</v>
      </c>
      <c r="H285" s="84" t="s">
        <v>2554</v>
      </c>
      <c r="I285" s="84" t="s">
        <v>2555</v>
      </c>
      <c r="J285" s="84" t="s">
        <v>2556</v>
      </c>
      <c r="K285" s="84" t="s">
        <v>730</v>
      </c>
      <c r="L285" s="84">
        <v>1</v>
      </c>
      <c r="M285" s="84" t="s">
        <v>2557</v>
      </c>
      <c r="N285" s="84" t="s">
        <v>2558</v>
      </c>
      <c r="O285" s="84" t="s">
        <v>2559</v>
      </c>
      <c r="P285" s="84" t="s">
        <v>161</v>
      </c>
      <c r="Q285" s="84" t="s">
        <v>162</v>
      </c>
      <c r="R285" s="83">
        <v>1</v>
      </c>
      <c r="S285" s="84" t="s">
        <v>163</v>
      </c>
      <c r="T285" s="90">
        <v>44927</v>
      </c>
      <c r="U285" s="90">
        <v>46387</v>
      </c>
      <c r="V285" s="90"/>
      <c r="W285" s="90"/>
      <c r="X285" s="90"/>
      <c r="Y285" s="90"/>
      <c r="Z285" s="83"/>
      <c r="AA285" s="83"/>
      <c r="AB285" s="83"/>
      <c r="AC285" s="83"/>
      <c r="AD285" s="83"/>
      <c r="AE285" s="83"/>
      <c r="AF285" s="83"/>
      <c r="AG285" s="83"/>
      <c r="AH285" s="83"/>
      <c r="AI285" s="83"/>
      <c r="AJ285" s="83"/>
      <c r="AK285" s="123"/>
      <c r="AL285" s="123"/>
      <c r="AM285" s="123"/>
      <c r="AN285" s="123"/>
      <c r="AO285" s="123"/>
      <c r="AP285" s="83"/>
      <c r="AQ285" s="84"/>
      <c r="AR285" s="84"/>
      <c r="AS285" s="84"/>
      <c r="AT285" s="84"/>
      <c r="AU285" s="84"/>
      <c r="AV285" s="84"/>
      <c r="AW285" s="84"/>
      <c r="AX285" s="84"/>
      <c r="AY285" s="84"/>
      <c r="AZ285" s="86"/>
      <c r="BA285" s="85"/>
      <c r="BB285" s="84"/>
      <c r="BC285" s="85"/>
      <c r="BD285" s="84"/>
      <c r="BE285" s="85"/>
      <c r="BF285" s="85"/>
      <c r="BG285" s="85"/>
      <c r="BH285" s="85"/>
      <c r="BI285" s="85"/>
      <c r="BJ285" s="86"/>
      <c r="BK285" s="85"/>
      <c r="BL285" s="86"/>
      <c r="BM285" s="85"/>
      <c r="BN285" s="86"/>
      <c r="BO285" s="85"/>
      <c r="BP285" s="86"/>
      <c r="BQ285" s="85"/>
      <c r="BR285" s="85"/>
      <c r="BS285" s="85"/>
      <c r="BT285" s="85"/>
      <c r="BU285" s="85"/>
      <c r="BV285" s="85"/>
      <c r="BW285" s="85"/>
      <c r="BX285" s="85"/>
      <c r="BY285" s="85"/>
      <c r="BZ285" s="85"/>
      <c r="CA285" s="85"/>
      <c r="CB285" s="85"/>
      <c r="CC285" s="85"/>
      <c r="CD285" s="85"/>
      <c r="CE285" s="85"/>
      <c r="CF285" s="84"/>
      <c r="CG285" s="372"/>
      <c r="CH285" s="372"/>
      <c r="CI285" s="372"/>
      <c r="CJ285" s="83" t="str">
        <f t="shared" si="75"/>
        <v>No aplica</v>
      </c>
      <c r="CK285" s="83" t="str">
        <f t="shared" si="76"/>
        <v>No aplica</v>
      </c>
      <c r="CL285" s="83" t="str">
        <f t="shared" si="79"/>
        <v>No requiere reporte</v>
      </c>
      <c r="CM285" s="89" t="str">
        <f t="shared" si="80"/>
        <v>No requiere reporte</v>
      </c>
      <c r="CN285" s="89" t="str">
        <f t="shared" si="81"/>
        <v>No requiere reporte</v>
      </c>
      <c r="CO285" s="84" t="s">
        <v>775</v>
      </c>
      <c r="CP285" s="86" t="s">
        <v>2602</v>
      </c>
      <c r="CQ285" s="84" t="s">
        <v>2603</v>
      </c>
      <c r="CR285" s="84" t="s">
        <v>2604</v>
      </c>
      <c r="CS285" s="84" t="s">
        <v>2605</v>
      </c>
      <c r="CT285" s="84" t="s">
        <v>200</v>
      </c>
      <c r="CU285" s="84" t="s">
        <v>233</v>
      </c>
      <c r="CV285" s="84">
        <v>400</v>
      </c>
      <c r="CW285" s="84" t="s">
        <v>234</v>
      </c>
      <c r="CX285" s="90">
        <v>46023</v>
      </c>
      <c r="CY285" s="90">
        <v>46387</v>
      </c>
      <c r="CZ285" s="84">
        <v>30</v>
      </c>
      <c r="DA285" s="84">
        <v>150</v>
      </c>
      <c r="DB285" s="84">
        <v>150</v>
      </c>
      <c r="DC285" s="84">
        <v>80</v>
      </c>
      <c r="DD285" s="84">
        <v>410</v>
      </c>
      <c r="DE285" s="84" t="s">
        <v>514</v>
      </c>
      <c r="DF285" s="131" t="s">
        <v>2577</v>
      </c>
      <c r="DG285" s="84" t="s">
        <v>2578</v>
      </c>
      <c r="DH285" s="671">
        <v>1375336500</v>
      </c>
      <c r="DI285" s="84" t="s">
        <v>1633</v>
      </c>
      <c r="DJ285" s="84" t="s">
        <v>2606</v>
      </c>
      <c r="DK285" s="84" t="s">
        <v>2607</v>
      </c>
      <c r="DL285" s="84" t="s">
        <v>2581</v>
      </c>
      <c r="DM285" s="84" t="s">
        <v>2608</v>
      </c>
      <c r="DN285" s="84"/>
      <c r="DO285" s="86"/>
      <c r="DP285" s="84"/>
      <c r="DQ285" s="86"/>
      <c r="DR285" s="86"/>
      <c r="DS285" s="84"/>
      <c r="DT285" s="86"/>
      <c r="DU285" s="482"/>
      <c r="DV285" s="86"/>
      <c r="DW285" s="86"/>
      <c r="DX285" s="84"/>
      <c r="DY285" s="86"/>
      <c r="DZ285" s="96"/>
      <c r="EA285" s="86"/>
      <c r="EB285" s="86"/>
      <c r="EC285" s="85"/>
      <c r="ED285" s="84"/>
      <c r="EE285" s="85"/>
      <c r="EF285" s="84"/>
      <c r="EG285" s="84"/>
      <c r="EH285" s="84"/>
      <c r="EI285" s="84"/>
      <c r="EJ285" s="84"/>
      <c r="EK285" s="84"/>
      <c r="EL285" s="91" t="str">
        <f t="shared" si="82"/>
        <v>No se reportó avance</v>
      </c>
      <c r="EM285" s="83" t="str">
        <f t="shared" si="83"/>
        <v>No se reportó avance</v>
      </c>
      <c r="EN285" s="86"/>
    </row>
    <row r="286" spans="1:146" s="93" customFormat="1" ht="51" customHeight="1">
      <c r="A286" s="84" t="s">
        <v>2548</v>
      </c>
      <c r="B286" s="85" t="s">
        <v>2549</v>
      </c>
      <c r="C286" s="85" t="s">
        <v>2550</v>
      </c>
      <c r="D286" s="85" t="s">
        <v>2551</v>
      </c>
      <c r="E286" s="85" t="s">
        <v>2552</v>
      </c>
      <c r="F286" s="84" t="s">
        <v>2553</v>
      </c>
      <c r="G286" s="84" t="s">
        <v>154</v>
      </c>
      <c r="H286" s="84" t="s">
        <v>2554</v>
      </c>
      <c r="I286" s="84" t="s">
        <v>2555</v>
      </c>
      <c r="J286" s="84" t="s">
        <v>2556</v>
      </c>
      <c r="K286" s="84" t="s">
        <v>730</v>
      </c>
      <c r="L286" s="84">
        <v>1</v>
      </c>
      <c r="M286" s="84" t="s">
        <v>2557</v>
      </c>
      <c r="N286" s="84" t="s">
        <v>2558</v>
      </c>
      <c r="O286" s="84" t="s">
        <v>2559</v>
      </c>
      <c r="P286" s="84" t="s">
        <v>161</v>
      </c>
      <c r="Q286" s="84" t="s">
        <v>162</v>
      </c>
      <c r="R286" s="83">
        <v>1</v>
      </c>
      <c r="S286" s="84" t="s">
        <v>163</v>
      </c>
      <c r="T286" s="90">
        <v>44927</v>
      </c>
      <c r="U286" s="90">
        <v>46387</v>
      </c>
      <c r="V286" s="90"/>
      <c r="W286" s="90"/>
      <c r="X286" s="90"/>
      <c r="Y286" s="90"/>
      <c r="Z286" s="83"/>
      <c r="AA286" s="83"/>
      <c r="AB286" s="83"/>
      <c r="AC286" s="83"/>
      <c r="AD286" s="83"/>
      <c r="AE286" s="83"/>
      <c r="AF286" s="83"/>
      <c r="AG286" s="83"/>
      <c r="AH286" s="83"/>
      <c r="AI286" s="83"/>
      <c r="AJ286" s="83"/>
      <c r="AK286" s="123"/>
      <c r="AL286" s="123"/>
      <c r="AM286" s="123"/>
      <c r="AN286" s="123"/>
      <c r="AO286" s="123"/>
      <c r="AP286" s="83"/>
      <c r="AQ286" s="84"/>
      <c r="AR286" s="84"/>
      <c r="AS286" s="84"/>
      <c r="AT286" s="84"/>
      <c r="AU286" s="84"/>
      <c r="AV286" s="84"/>
      <c r="AW286" s="84"/>
      <c r="AX286" s="84"/>
      <c r="AY286" s="84"/>
      <c r="AZ286" s="86"/>
      <c r="BA286" s="85"/>
      <c r="BB286" s="84"/>
      <c r="BC286" s="85"/>
      <c r="BD286" s="84"/>
      <c r="BE286" s="85"/>
      <c r="BF286" s="85"/>
      <c r="BG286" s="85"/>
      <c r="BH286" s="85"/>
      <c r="BI286" s="85"/>
      <c r="BJ286" s="86"/>
      <c r="BK286" s="85"/>
      <c r="BL286" s="86"/>
      <c r="BM286" s="85"/>
      <c r="BN286" s="86"/>
      <c r="BO286" s="85"/>
      <c r="BP286" s="86"/>
      <c r="BQ286" s="85"/>
      <c r="BR286" s="85"/>
      <c r="BS286" s="85"/>
      <c r="BT286" s="85"/>
      <c r="BU286" s="85"/>
      <c r="BV286" s="85"/>
      <c r="BW286" s="85"/>
      <c r="BX286" s="85"/>
      <c r="BY286" s="85"/>
      <c r="BZ286" s="85"/>
      <c r="CA286" s="85"/>
      <c r="CB286" s="85"/>
      <c r="CC286" s="85"/>
      <c r="CD286" s="85"/>
      <c r="CE286" s="85"/>
      <c r="CF286" s="84"/>
      <c r="CG286" s="372"/>
      <c r="CH286" s="372"/>
      <c r="CI286" s="372"/>
      <c r="CJ286" s="83" t="str">
        <f t="shared" si="75"/>
        <v>No aplica</v>
      </c>
      <c r="CK286" s="83" t="str">
        <f t="shared" si="76"/>
        <v>No aplica</v>
      </c>
      <c r="CL286" s="83" t="str">
        <f t="shared" si="79"/>
        <v>No requiere reporte</v>
      </c>
      <c r="CM286" s="89" t="str">
        <f t="shared" si="80"/>
        <v>No requiere reporte</v>
      </c>
      <c r="CN286" s="89" t="str">
        <f t="shared" si="81"/>
        <v>No requiere reporte</v>
      </c>
      <c r="CO286" s="84" t="s">
        <v>1440</v>
      </c>
      <c r="CP286" s="86" t="s">
        <v>2609</v>
      </c>
      <c r="CQ286" s="84" t="s">
        <v>2610</v>
      </c>
      <c r="CR286" s="84" t="s">
        <v>2611</v>
      </c>
      <c r="CS286" s="84" t="s">
        <v>2612</v>
      </c>
      <c r="CT286" s="84" t="s">
        <v>200</v>
      </c>
      <c r="CU286" s="84" t="s">
        <v>233</v>
      </c>
      <c r="CV286" s="84">
        <v>150</v>
      </c>
      <c r="CW286" s="84" t="s">
        <v>234</v>
      </c>
      <c r="CX286" s="90">
        <v>45748</v>
      </c>
      <c r="CY286" s="90">
        <v>46387</v>
      </c>
      <c r="CZ286" s="84">
        <v>0</v>
      </c>
      <c r="DA286" s="84">
        <v>75</v>
      </c>
      <c r="DB286" s="84">
        <v>75</v>
      </c>
      <c r="DC286" s="84">
        <v>0</v>
      </c>
      <c r="DD286" s="84">
        <v>150</v>
      </c>
      <c r="DE286" s="84" t="s">
        <v>514</v>
      </c>
      <c r="DF286" s="131" t="s">
        <v>2577</v>
      </c>
      <c r="DG286" s="84" t="s">
        <v>2578</v>
      </c>
      <c r="DH286" s="671">
        <v>103837800</v>
      </c>
      <c r="DI286" s="84" t="s">
        <v>1633</v>
      </c>
      <c r="DJ286" s="674" t="s">
        <v>2613</v>
      </c>
      <c r="DK286" s="674" t="s">
        <v>559</v>
      </c>
      <c r="DL286" s="674" t="s">
        <v>2581</v>
      </c>
      <c r="DM286" s="674" t="s">
        <v>2614</v>
      </c>
      <c r="DN286" s="84"/>
      <c r="DO286" s="86"/>
      <c r="DP286" s="84"/>
      <c r="DQ286" s="86"/>
      <c r="DR286" s="86"/>
      <c r="DS286" s="84"/>
      <c r="DT286" s="86"/>
      <c r="DU286" s="122"/>
      <c r="DV286" s="86"/>
      <c r="DW286" s="86"/>
      <c r="DX286" s="84"/>
      <c r="DY286" s="86"/>
      <c r="DZ286" s="122"/>
      <c r="EA286" s="86"/>
      <c r="EB286" s="86"/>
      <c r="EC286" s="122"/>
      <c r="ED286" s="84"/>
      <c r="EE286" s="122"/>
      <c r="EF286" s="84"/>
      <c r="EG286" s="84"/>
      <c r="EH286" s="84"/>
      <c r="EI286" s="84"/>
      <c r="EJ286" s="84"/>
      <c r="EK286" s="84"/>
      <c r="EL286" s="91" t="str">
        <f t="shared" si="82"/>
        <v>No aplica, no hay meta</v>
      </c>
      <c r="EM286" s="83" t="str">
        <f t="shared" si="83"/>
        <v>No se reportó avance</v>
      </c>
      <c r="EN286" s="86"/>
    </row>
    <row r="287" spans="1:146" s="93" customFormat="1" ht="51" customHeight="1">
      <c r="A287" s="84" t="s">
        <v>2548</v>
      </c>
      <c r="B287" s="85" t="s">
        <v>2549</v>
      </c>
      <c r="C287" s="85" t="s">
        <v>2550</v>
      </c>
      <c r="D287" s="85" t="s">
        <v>2551</v>
      </c>
      <c r="E287" s="85" t="s">
        <v>2552</v>
      </c>
      <c r="F287" s="84" t="s">
        <v>2553</v>
      </c>
      <c r="G287" s="84" t="s">
        <v>154</v>
      </c>
      <c r="H287" s="84" t="s">
        <v>2554</v>
      </c>
      <c r="I287" s="84" t="s">
        <v>2555</v>
      </c>
      <c r="J287" s="84" t="s">
        <v>2556</v>
      </c>
      <c r="K287" s="84" t="s">
        <v>730</v>
      </c>
      <c r="L287" s="84">
        <v>1</v>
      </c>
      <c r="M287" s="84" t="s">
        <v>2557</v>
      </c>
      <c r="N287" s="84" t="s">
        <v>2558</v>
      </c>
      <c r="O287" s="84" t="s">
        <v>2559</v>
      </c>
      <c r="P287" s="84" t="s">
        <v>161</v>
      </c>
      <c r="Q287" s="84" t="s">
        <v>162</v>
      </c>
      <c r="R287" s="83">
        <v>1</v>
      </c>
      <c r="S287" s="84" t="s">
        <v>163</v>
      </c>
      <c r="T287" s="90">
        <v>44927</v>
      </c>
      <c r="U287" s="90">
        <v>46387</v>
      </c>
      <c r="V287" s="90"/>
      <c r="W287" s="90"/>
      <c r="X287" s="90"/>
      <c r="Y287" s="90"/>
      <c r="Z287" s="83"/>
      <c r="AA287" s="83"/>
      <c r="AB287" s="83"/>
      <c r="AC287" s="83"/>
      <c r="AD287" s="83"/>
      <c r="AE287" s="83"/>
      <c r="AF287" s="83"/>
      <c r="AG287" s="83"/>
      <c r="AH287" s="83"/>
      <c r="AI287" s="83"/>
      <c r="AJ287" s="83"/>
      <c r="AK287" s="123"/>
      <c r="AL287" s="123"/>
      <c r="AM287" s="123"/>
      <c r="AN287" s="123"/>
      <c r="AO287" s="123"/>
      <c r="AP287" s="83"/>
      <c r="AQ287" s="84"/>
      <c r="AR287" s="84"/>
      <c r="AS287" s="84"/>
      <c r="AT287" s="84"/>
      <c r="AU287" s="84"/>
      <c r="AV287" s="84"/>
      <c r="AW287" s="84"/>
      <c r="AX287" s="84"/>
      <c r="AY287" s="84"/>
      <c r="AZ287" s="86"/>
      <c r="BA287" s="85"/>
      <c r="BB287" s="84"/>
      <c r="BC287" s="85"/>
      <c r="BD287" s="84"/>
      <c r="BE287" s="85"/>
      <c r="BF287" s="85"/>
      <c r="BG287" s="85"/>
      <c r="BH287" s="85"/>
      <c r="BI287" s="85"/>
      <c r="BJ287" s="86"/>
      <c r="BK287" s="85"/>
      <c r="BL287" s="86"/>
      <c r="BM287" s="85"/>
      <c r="BN287" s="86"/>
      <c r="BO287" s="85"/>
      <c r="BP287" s="86"/>
      <c r="BQ287" s="85"/>
      <c r="BR287" s="85"/>
      <c r="BS287" s="85"/>
      <c r="BT287" s="85"/>
      <c r="BU287" s="85"/>
      <c r="BV287" s="85"/>
      <c r="BW287" s="85"/>
      <c r="BX287" s="85"/>
      <c r="BY287" s="85"/>
      <c r="BZ287" s="85"/>
      <c r="CA287" s="85"/>
      <c r="CB287" s="85"/>
      <c r="CC287" s="85"/>
      <c r="CD287" s="85"/>
      <c r="CE287" s="85"/>
      <c r="CF287" s="84"/>
      <c r="CG287" s="372"/>
      <c r="CH287" s="372"/>
      <c r="CI287" s="372"/>
      <c r="CJ287" s="83" t="str">
        <f t="shared" si="75"/>
        <v>No aplica</v>
      </c>
      <c r="CK287" s="83" t="str">
        <f t="shared" si="76"/>
        <v>No aplica</v>
      </c>
      <c r="CL287" s="83" t="str">
        <f t="shared" si="79"/>
        <v>No requiere reporte</v>
      </c>
      <c r="CM287" s="89" t="str">
        <f t="shared" si="80"/>
        <v>No requiere reporte</v>
      </c>
      <c r="CN287" s="89" t="str">
        <f t="shared" si="81"/>
        <v>No requiere reporte</v>
      </c>
      <c r="CO287" s="84" t="s">
        <v>1447</v>
      </c>
      <c r="CP287" s="86" t="s">
        <v>2615</v>
      </c>
      <c r="CQ287" s="84" t="s">
        <v>1017</v>
      </c>
      <c r="CR287" s="84" t="s">
        <v>2616</v>
      </c>
      <c r="CS287" s="84" t="s">
        <v>2617</v>
      </c>
      <c r="CT287" s="84" t="s">
        <v>200</v>
      </c>
      <c r="CU287" s="84" t="s">
        <v>233</v>
      </c>
      <c r="CV287" s="84">
        <v>0</v>
      </c>
      <c r="CW287" s="84" t="s">
        <v>234</v>
      </c>
      <c r="CX287" s="90">
        <v>46174</v>
      </c>
      <c r="CY287" s="90">
        <v>46387</v>
      </c>
      <c r="CZ287" s="84">
        <v>0</v>
      </c>
      <c r="DA287" s="84">
        <v>0</v>
      </c>
      <c r="DB287" s="84">
        <v>1</v>
      </c>
      <c r="DC287" s="84">
        <v>0</v>
      </c>
      <c r="DD287" s="84">
        <v>1</v>
      </c>
      <c r="DE287" s="84" t="s">
        <v>514</v>
      </c>
      <c r="DF287" s="131" t="s">
        <v>2577</v>
      </c>
      <c r="DG287" s="84" t="s">
        <v>2578</v>
      </c>
      <c r="DH287" s="671">
        <v>387600000</v>
      </c>
      <c r="DI287" s="84" t="s">
        <v>1633</v>
      </c>
      <c r="DJ287" s="674" t="s">
        <v>2613</v>
      </c>
      <c r="DK287" s="674" t="s">
        <v>1485</v>
      </c>
      <c r="DL287" s="674" t="s">
        <v>2581</v>
      </c>
      <c r="DM287" s="674" t="s">
        <v>201</v>
      </c>
      <c r="DN287" s="84"/>
      <c r="DO287" s="86"/>
      <c r="DP287" s="84"/>
      <c r="DQ287" s="86"/>
      <c r="DR287" s="86"/>
      <c r="DS287" s="84"/>
      <c r="DT287" s="86"/>
      <c r="DU287" s="122"/>
      <c r="DV287" s="86"/>
      <c r="DW287" s="86"/>
      <c r="DX287" s="84"/>
      <c r="DY287" s="86"/>
      <c r="DZ287" s="122"/>
      <c r="EA287" s="86"/>
      <c r="EB287" s="86"/>
      <c r="EC287" s="122"/>
      <c r="ED287" s="84"/>
      <c r="EE287" s="122"/>
      <c r="EF287" s="84"/>
      <c r="EG287" s="84"/>
      <c r="EH287" s="84"/>
      <c r="EI287" s="84"/>
      <c r="EJ287" s="84"/>
      <c r="EK287" s="84"/>
      <c r="EL287" s="91" t="str">
        <f t="shared" si="82"/>
        <v>No aplica, no hay meta</v>
      </c>
      <c r="EM287" s="83" t="str">
        <f t="shared" si="83"/>
        <v>No se reportó avance</v>
      </c>
      <c r="EN287" s="86"/>
    </row>
    <row r="288" spans="1:146" s="93" customFormat="1" ht="48.75" hidden="1" customHeight="1">
      <c r="A288" s="159" t="s">
        <v>2548</v>
      </c>
      <c r="B288" s="158" t="s">
        <v>2549</v>
      </c>
      <c r="C288" s="158" t="s">
        <v>2550</v>
      </c>
      <c r="D288" s="158" t="s">
        <v>2551</v>
      </c>
      <c r="E288" s="158" t="s">
        <v>2552</v>
      </c>
      <c r="F288" s="159" t="s">
        <v>2553</v>
      </c>
      <c r="G288" s="159" t="s">
        <v>154</v>
      </c>
      <c r="H288" s="159" t="s">
        <v>2554</v>
      </c>
      <c r="I288" s="159" t="s">
        <v>2555</v>
      </c>
      <c r="J288" s="159" t="s">
        <v>2556</v>
      </c>
      <c r="K288" s="159" t="s">
        <v>730</v>
      </c>
      <c r="L288" s="159">
        <v>2</v>
      </c>
      <c r="M288" s="159" t="s">
        <v>2618</v>
      </c>
      <c r="N288" s="159" t="s">
        <v>2619</v>
      </c>
      <c r="O288" s="159" t="s">
        <v>2559</v>
      </c>
      <c r="P288" s="159" t="s">
        <v>161</v>
      </c>
      <c r="Q288" s="159" t="s">
        <v>162</v>
      </c>
      <c r="R288" s="160">
        <v>1</v>
      </c>
      <c r="S288" s="159" t="s">
        <v>163</v>
      </c>
      <c r="T288" s="162">
        <v>44927</v>
      </c>
      <c r="U288" s="162">
        <v>46387</v>
      </c>
      <c r="V288" s="162"/>
      <c r="W288" s="162"/>
      <c r="X288" s="162"/>
      <c r="Y288" s="162"/>
      <c r="Z288" s="160">
        <v>1</v>
      </c>
      <c r="AA288" s="160">
        <v>1</v>
      </c>
      <c r="AB288" s="160">
        <v>1</v>
      </c>
      <c r="AC288" s="160">
        <v>1</v>
      </c>
      <c r="AD288" s="160">
        <v>1</v>
      </c>
      <c r="AE288" s="160">
        <v>1</v>
      </c>
      <c r="AF288" s="160"/>
      <c r="AG288" s="160"/>
      <c r="AH288" s="160"/>
      <c r="AI288" s="160"/>
      <c r="AJ288" s="160">
        <v>1</v>
      </c>
      <c r="AK288" s="160"/>
      <c r="AL288" s="160"/>
      <c r="AM288" s="160"/>
      <c r="AN288" s="160"/>
      <c r="AO288" s="160">
        <v>1</v>
      </c>
      <c r="AP288" s="160">
        <v>1</v>
      </c>
      <c r="AQ288" s="160">
        <v>1</v>
      </c>
      <c r="AR288" s="159" t="s">
        <v>2620</v>
      </c>
      <c r="AS288" s="160">
        <v>1</v>
      </c>
      <c r="AT288" s="159" t="s">
        <v>2621</v>
      </c>
      <c r="AU288" s="160">
        <v>1</v>
      </c>
      <c r="AV288" s="159" t="s">
        <v>2622</v>
      </c>
      <c r="AW288" s="160">
        <v>1</v>
      </c>
      <c r="AX288" s="159" t="s">
        <v>2623</v>
      </c>
      <c r="AY288" s="160">
        <v>1</v>
      </c>
      <c r="AZ288" s="164" t="s">
        <v>2624</v>
      </c>
      <c r="BA288" s="158">
        <v>0.6</v>
      </c>
      <c r="BB288" s="159" t="s">
        <v>2625</v>
      </c>
      <c r="BC288" s="158">
        <v>0.6</v>
      </c>
      <c r="BD288" s="159" t="s">
        <v>2626</v>
      </c>
      <c r="BE288" s="158">
        <v>1</v>
      </c>
      <c r="BF288" s="158" t="s">
        <v>2627</v>
      </c>
      <c r="BG288" s="158">
        <v>0.5</v>
      </c>
      <c r="BH288" s="158" t="s">
        <v>2628</v>
      </c>
      <c r="BI288" s="158">
        <v>0.5</v>
      </c>
      <c r="BJ288" s="164" t="s">
        <v>2629</v>
      </c>
      <c r="BK288" s="158"/>
      <c r="BL288" s="164"/>
      <c r="BM288" s="158"/>
      <c r="BN288" s="164"/>
      <c r="BO288" s="158"/>
      <c r="BP288" s="164"/>
      <c r="BQ288" s="158"/>
      <c r="BR288" s="158"/>
      <c r="BS288" s="158"/>
      <c r="BT288" s="158"/>
      <c r="BU288" s="158"/>
      <c r="BV288" s="158"/>
      <c r="BW288" s="158"/>
      <c r="BX288" s="158"/>
      <c r="BY288" s="158"/>
      <c r="BZ288" s="158"/>
      <c r="CA288" s="158"/>
      <c r="CB288" s="158"/>
      <c r="CC288" s="158"/>
      <c r="CD288" s="158"/>
      <c r="CE288" s="158"/>
      <c r="CF288" s="159"/>
      <c r="CG288" s="471"/>
      <c r="CH288" s="471"/>
      <c r="CI288" s="471"/>
      <c r="CJ288" s="160" t="str">
        <f t="shared" si="75"/>
        <v>No aplica</v>
      </c>
      <c r="CK288" s="160" t="str">
        <f t="shared" si="76"/>
        <v>No aplica</v>
      </c>
      <c r="CL288" s="83" t="str">
        <f t="shared" si="79"/>
        <v>No aplica, no hay meta</v>
      </c>
      <c r="CM288" s="89" t="str">
        <f t="shared" si="80"/>
        <v>No se reportó avance</v>
      </c>
      <c r="CN288" s="89" t="str">
        <f t="shared" si="81"/>
        <v>No se reportó avance</v>
      </c>
      <c r="CO288" s="159"/>
      <c r="CP288" s="159"/>
      <c r="CQ288" s="159"/>
      <c r="CR288" s="159"/>
      <c r="CS288" s="159"/>
      <c r="CT288" s="159"/>
      <c r="CU288" s="159"/>
      <c r="CV288" s="159"/>
      <c r="CW288" s="159"/>
      <c r="CX288" s="162"/>
      <c r="CY288" s="162"/>
      <c r="CZ288" s="469"/>
      <c r="DA288" s="469"/>
      <c r="DB288" s="469"/>
      <c r="DC288" s="469"/>
      <c r="DD288" s="469"/>
      <c r="DE288" s="159"/>
      <c r="DF288" s="159"/>
      <c r="DG288" s="159"/>
      <c r="DH288" s="483"/>
      <c r="DI288" s="159"/>
      <c r="DJ288" s="159"/>
      <c r="DK288" s="159"/>
      <c r="DL288" s="159"/>
      <c r="DM288" s="159"/>
      <c r="DN288" s="469"/>
      <c r="DO288" s="164"/>
      <c r="DP288" s="469"/>
      <c r="DQ288" s="164"/>
      <c r="DR288" s="164"/>
      <c r="DS288" s="469"/>
      <c r="DT288" s="164"/>
      <c r="DU288" s="469"/>
      <c r="DV288" s="164"/>
      <c r="DW288" s="164"/>
      <c r="DX288" s="469"/>
      <c r="DY288" s="164"/>
      <c r="DZ288" s="469"/>
      <c r="EA288" s="164"/>
      <c r="EB288" s="164"/>
      <c r="EC288" s="469"/>
      <c r="ED288" s="159"/>
      <c r="EE288" s="469"/>
      <c r="EF288" s="159"/>
      <c r="EG288" s="159"/>
      <c r="EH288" s="469"/>
      <c r="EI288" s="159"/>
      <c r="EJ288" s="159"/>
      <c r="EK288" s="159"/>
      <c r="EL288" s="91" t="str">
        <f t="shared" si="82"/>
        <v>No aplica, no hay meta</v>
      </c>
      <c r="EM288" s="83" t="str">
        <f t="shared" si="83"/>
        <v>No aplica, no hay meta</v>
      </c>
      <c r="EN288" s="164" t="s">
        <v>2630</v>
      </c>
    </row>
    <row r="289" spans="1:144" s="93" customFormat="1" ht="55.5" customHeight="1">
      <c r="A289" s="74" t="s">
        <v>2548</v>
      </c>
      <c r="B289" s="75" t="s">
        <v>2549</v>
      </c>
      <c r="C289" s="75" t="s">
        <v>2550</v>
      </c>
      <c r="D289" s="75" t="s">
        <v>2551</v>
      </c>
      <c r="E289" s="75" t="s">
        <v>2552</v>
      </c>
      <c r="F289" s="74" t="s">
        <v>2553</v>
      </c>
      <c r="G289" s="74" t="s">
        <v>154</v>
      </c>
      <c r="H289" s="74" t="s">
        <v>2554</v>
      </c>
      <c r="I289" s="74" t="s">
        <v>2555</v>
      </c>
      <c r="J289" s="74" t="s">
        <v>2556</v>
      </c>
      <c r="K289" s="74" t="s">
        <v>730</v>
      </c>
      <c r="L289" s="78">
        <v>3</v>
      </c>
      <c r="M289" s="78" t="s">
        <v>2631</v>
      </c>
      <c r="N289" s="78" t="s">
        <v>2632</v>
      </c>
      <c r="O289" s="78" t="s">
        <v>2633</v>
      </c>
      <c r="P289" s="78" t="s">
        <v>161</v>
      </c>
      <c r="Q289" s="78" t="s">
        <v>162</v>
      </c>
      <c r="R289" s="366">
        <v>2</v>
      </c>
      <c r="S289" s="78" t="s">
        <v>402</v>
      </c>
      <c r="T289" s="80">
        <v>44927</v>
      </c>
      <c r="U289" s="80">
        <v>46387</v>
      </c>
      <c r="V289" s="81"/>
      <c r="W289" s="81"/>
      <c r="X289" s="81"/>
      <c r="Y289" s="81"/>
      <c r="Z289" s="366">
        <v>2</v>
      </c>
      <c r="AA289" s="368">
        <v>3</v>
      </c>
      <c r="AB289" s="368">
        <v>3</v>
      </c>
      <c r="AC289" s="368">
        <v>3</v>
      </c>
      <c r="AD289" s="368">
        <v>3</v>
      </c>
      <c r="AE289" s="366">
        <v>3</v>
      </c>
      <c r="AF289" s="366">
        <v>3</v>
      </c>
      <c r="AG289" s="366">
        <v>3</v>
      </c>
      <c r="AH289" s="366">
        <v>3</v>
      </c>
      <c r="AI289" s="366">
        <v>3</v>
      </c>
      <c r="AJ289" s="366">
        <v>3</v>
      </c>
      <c r="AK289" s="484">
        <v>3</v>
      </c>
      <c r="AL289" s="484">
        <v>3</v>
      </c>
      <c r="AM289" s="484">
        <v>3</v>
      </c>
      <c r="AN289" s="484">
        <v>3</v>
      </c>
      <c r="AO289" s="366">
        <v>3</v>
      </c>
      <c r="AP289" s="366">
        <v>3</v>
      </c>
      <c r="AQ289" s="84">
        <v>2</v>
      </c>
      <c r="AR289" s="84" t="s">
        <v>2634</v>
      </c>
      <c r="AS289" s="84">
        <v>2</v>
      </c>
      <c r="AT289" s="84" t="s">
        <v>2635</v>
      </c>
      <c r="AU289" s="84">
        <v>2</v>
      </c>
      <c r="AV289" s="84" t="s">
        <v>2636</v>
      </c>
      <c r="AW289" s="84">
        <v>2</v>
      </c>
      <c r="AX289" s="84" t="s">
        <v>2637</v>
      </c>
      <c r="AY289" s="84">
        <v>2</v>
      </c>
      <c r="AZ289" s="86" t="s">
        <v>2638</v>
      </c>
      <c r="BA289" s="84">
        <v>2</v>
      </c>
      <c r="BB289" s="84" t="s">
        <v>2639</v>
      </c>
      <c r="BC289" s="84">
        <v>2</v>
      </c>
      <c r="BD289" s="84" t="s">
        <v>2640</v>
      </c>
      <c r="BE289" s="84">
        <v>3</v>
      </c>
      <c r="BF289" s="85" t="s">
        <v>2641</v>
      </c>
      <c r="BG289" s="84">
        <v>3</v>
      </c>
      <c r="BH289" s="85" t="s">
        <v>2642</v>
      </c>
      <c r="BI289" s="84">
        <v>3</v>
      </c>
      <c r="BJ289" s="86" t="s">
        <v>2643</v>
      </c>
      <c r="BK289" s="84">
        <f>+(84/100+100/100+7/7)</f>
        <v>2.84</v>
      </c>
      <c r="BL289" s="86" t="s">
        <v>2644</v>
      </c>
      <c r="BM289" s="84">
        <f>(83/100+100/100+7/7)</f>
        <v>2.83</v>
      </c>
      <c r="BN289" s="86" t="s">
        <v>2645</v>
      </c>
      <c r="BO289" s="672">
        <f>(86/100+100/100+5/7)</f>
        <v>2.5742857142857143</v>
      </c>
      <c r="BP289" s="86" t="s">
        <v>2646</v>
      </c>
      <c r="BQ289" s="85"/>
      <c r="BR289" s="85"/>
      <c r="BS289" s="672">
        <f>+BO289</f>
        <v>2.5742857142857143</v>
      </c>
      <c r="BT289" s="85"/>
      <c r="BU289" s="85"/>
      <c r="BV289" s="85"/>
      <c r="BW289" s="85"/>
      <c r="BX289" s="85"/>
      <c r="BY289" s="85"/>
      <c r="BZ289" s="85"/>
      <c r="CA289" s="85"/>
      <c r="CB289" s="85"/>
      <c r="CC289" s="85"/>
      <c r="CD289" s="85"/>
      <c r="CE289" s="672">
        <f>+BS289</f>
        <v>2.5742857142857143</v>
      </c>
      <c r="CF289" s="84"/>
      <c r="CG289" s="372">
        <f>SUM(DH289:DH291)</f>
        <v>622273200</v>
      </c>
      <c r="CH289" s="372"/>
      <c r="CI289" s="372"/>
      <c r="CJ289" s="83">
        <f t="shared" si="75"/>
        <v>0</v>
      </c>
      <c r="CK289" s="83">
        <f t="shared" si="76"/>
        <v>0</v>
      </c>
      <c r="CL289" s="83" t="str">
        <f t="shared" si="79"/>
        <v>No se reportó avance</v>
      </c>
      <c r="CM289" s="89" t="str">
        <f t="shared" si="80"/>
        <v>No se reportó avance</v>
      </c>
      <c r="CN289" s="89">
        <f t="shared" si="81"/>
        <v>0.85809523809523813</v>
      </c>
      <c r="CO289" s="84" t="s">
        <v>236</v>
      </c>
      <c r="CP289" s="86" t="s">
        <v>2647</v>
      </c>
      <c r="CQ289" s="84" t="s">
        <v>474</v>
      </c>
      <c r="CR289" s="84" t="s">
        <v>2648</v>
      </c>
      <c r="CS289" s="673" t="s">
        <v>2649</v>
      </c>
      <c r="CT289" s="84" t="s">
        <v>200</v>
      </c>
      <c r="CU289" s="84" t="s">
        <v>162</v>
      </c>
      <c r="CV289" s="85">
        <v>1</v>
      </c>
      <c r="CW289" s="674" t="s">
        <v>163</v>
      </c>
      <c r="CX289" s="90">
        <v>46023</v>
      </c>
      <c r="CY289" s="90">
        <v>46387</v>
      </c>
      <c r="CZ289" s="146">
        <v>1</v>
      </c>
      <c r="DA289" s="146">
        <v>1</v>
      </c>
      <c r="DB289" s="146">
        <v>1</v>
      </c>
      <c r="DC289" s="146">
        <v>1</v>
      </c>
      <c r="DD289" s="146">
        <v>1</v>
      </c>
      <c r="DE289" s="84" t="s">
        <v>514</v>
      </c>
      <c r="DF289" s="131" t="s">
        <v>2577</v>
      </c>
      <c r="DG289" s="84" t="s">
        <v>2578</v>
      </c>
      <c r="DH289" s="671">
        <v>145495700</v>
      </c>
      <c r="DI289" s="674" t="s">
        <v>1633</v>
      </c>
      <c r="DJ289" s="674" t="s">
        <v>2613</v>
      </c>
      <c r="DK289" s="674" t="s">
        <v>559</v>
      </c>
      <c r="DL289" s="674" t="s">
        <v>2581</v>
      </c>
      <c r="DM289" s="674" t="s">
        <v>2650</v>
      </c>
      <c r="DN289" s="85"/>
      <c r="DO289" s="86"/>
      <c r="DP289" s="84"/>
      <c r="DQ289" s="86"/>
      <c r="DR289" s="86"/>
      <c r="DS289" s="83"/>
      <c r="DT289" s="86"/>
      <c r="DU289" s="96"/>
      <c r="DV289" s="86"/>
      <c r="DW289" s="86"/>
      <c r="DX289" s="83"/>
      <c r="DY289" s="670"/>
      <c r="DZ289" s="96"/>
      <c r="EA289" s="86"/>
      <c r="EB289" s="86"/>
      <c r="EC289" s="85"/>
      <c r="ED289" s="84"/>
      <c r="EE289" s="85"/>
      <c r="EF289" s="84"/>
      <c r="EG289" s="84"/>
      <c r="EH289" s="83"/>
      <c r="EI289" s="84"/>
      <c r="EJ289" s="84"/>
      <c r="EK289" s="84"/>
      <c r="EL289" s="91" t="str">
        <f t="shared" si="82"/>
        <v>No se reportó avance</v>
      </c>
      <c r="EM289" s="83" t="str">
        <f t="shared" si="83"/>
        <v>No se reportó avance</v>
      </c>
      <c r="EN289" s="86" t="s">
        <v>2651</v>
      </c>
    </row>
    <row r="290" spans="1:144" s="93" customFormat="1" ht="66.75" customHeight="1">
      <c r="A290" s="84" t="s">
        <v>2548</v>
      </c>
      <c r="B290" s="85" t="s">
        <v>2549</v>
      </c>
      <c r="C290" s="85" t="s">
        <v>2550</v>
      </c>
      <c r="D290" s="85" t="s">
        <v>2551</v>
      </c>
      <c r="E290" s="85" t="s">
        <v>2552</v>
      </c>
      <c r="F290" s="84" t="s">
        <v>2553</v>
      </c>
      <c r="G290" s="84" t="s">
        <v>154</v>
      </c>
      <c r="H290" s="84" t="s">
        <v>2554</v>
      </c>
      <c r="I290" s="84" t="s">
        <v>2555</v>
      </c>
      <c r="J290" s="84" t="s">
        <v>2556</v>
      </c>
      <c r="K290" s="84" t="s">
        <v>730</v>
      </c>
      <c r="L290" s="84">
        <v>3</v>
      </c>
      <c r="M290" s="84" t="s">
        <v>2631</v>
      </c>
      <c r="N290" s="84" t="s">
        <v>2632</v>
      </c>
      <c r="O290" s="84" t="s">
        <v>2633</v>
      </c>
      <c r="P290" s="84" t="s">
        <v>161</v>
      </c>
      <c r="Q290" s="84" t="s">
        <v>162</v>
      </c>
      <c r="R290" s="123">
        <v>2</v>
      </c>
      <c r="S290" s="84" t="s">
        <v>402</v>
      </c>
      <c r="T290" s="90">
        <v>44927</v>
      </c>
      <c r="U290" s="90">
        <v>46387</v>
      </c>
      <c r="V290" s="90"/>
      <c r="W290" s="90"/>
      <c r="X290" s="90"/>
      <c r="Y290" s="90"/>
      <c r="Z290" s="123"/>
      <c r="AA290" s="123"/>
      <c r="AB290" s="123"/>
      <c r="AC290" s="123"/>
      <c r="AD290" s="123"/>
      <c r="AE290" s="123"/>
      <c r="AF290" s="83"/>
      <c r="AG290" s="83"/>
      <c r="AH290" s="83"/>
      <c r="AI290" s="83"/>
      <c r="AJ290" s="123"/>
      <c r="AK290" s="83"/>
      <c r="AL290" s="83"/>
      <c r="AM290" s="83"/>
      <c r="AN290" s="83"/>
      <c r="AO290" s="123"/>
      <c r="AP290" s="123"/>
      <c r="AQ290" s="84"/>
      <c r="AR290" s="84"/>
      <c r="AS290" s="84"/>
      <c r="AT290" s="84"/>
      <c r="AU290" s="84"/>
      <c r="AV290" s="84"/>
      <c r="AW290" s="84"/>
      <c r="AX290" s="84"/>
      <c r="AY290" s="84"/>
      <c r="AZ290" s="86"/>
      <c r="BA290" s="85"/>
      <c r="BB290" s="84"/>
      <c r="BC290" s="85"/>
      <c r="BD290" s="84"/>
      <c r="BE290" s="85"/>
      <c r="BF290" s="85"/>
      <c r="BG290" s="85"/>
      <c r="BH290" s="85"/>
      <c r="BI290" s="85"/>
      <c r="BJ290" s="86"/>
      <c r="BK290" s="85"/>
      <c r="BL290" s="86"/>
      <c r="BM290" s="85"/>
      <c r="BN290" s="86"/>
      <c r="BO290" s="85"/>
      <c r="BP290" s="86"/>
      <c r="BQ290" s="85"/>
      <c r="BR290" s="85"/>
      <c r="BS290" s="85"/>
      <c r="BT290" s="85"/>
      <c r="BU290" s="85"/>
      <c r="BV290" s="85"/>
      <c r="BW290" s="85"/>
      <c r="BX290" s="85"/>
      <c r="BY290" s="85"/>
      <c r="BZ290" s="85"/>
      <c r="CA290" s="85"/>
      <c r="CB290" s="85"/>
      <c r="CC290" s="85"/>
      <c r="CD290" s="85"/>
      <c r="CE290" s="85"/>
      <c r="CF290" s="84"/>
      <c r="CG290" s="372"/>
      <c r="CH290" s="372"/>
      <c r="CI290" s="372"/>
      <c r="CJ290" s="83" t="str">
        <f t="shared" si="75"/>
        <v>No aplica</v>
      </c>
      <c r="CK290" s="83" t="str">
        <f t="shared" si="76"/>
        <v>No aplica</v>
      </c>
      <c r="CL290" s="83" t="str">
        <f t="shared" si="79"/>
        <v>No requiere reporte</v>
      </c>
      <c r="CM290" s="89" t="str">
        <f t="shared" si="80"/>
        <v>No requiere reporte</v>
      </c>
      <c r="CN290" s="89" t="str">
        <f t="shared" si="81"/>
        <v>No requiere reporte</v>
      </c>
      <c r="CO290" s="84" t="s">
        <v>361</v>
      </c>
      <c r="CP290" s="86" t="s">
        <v>2652</v>
      </c>
      <c r="CQ290" s="84" t="s">
        <v>474</v>
      </c>
      <c r="CR290" s="84" t="s">
        <v>2653</v>
      </c>
      <c r="CS290" s="84" t="s">
        <v>2654</v>
      </c>
      <c r="CT290" s="84" t="s">
        <v>200</v>
      </c>
      <c r="CU290" s="84" t="s">
        <v>162</v>
      </c>
      <c r="CV290" s="83">
        <v>1</v>
      </c>
      <c r="CW290" s="84" t="s">
        <v>163</v>
      </c>
      <c r="CX290" s="90">
        <v>46023</v>
      </c>
      <c r="CY290" s="90">
        <v>46387</v>
      </c>
      <c r="CZ290" s="146">
        <v>1</v>
      </c>
      <c r="DA290" s="146">
        <v>1</v>
      </c>
      <c r="DB290" s="146">
        <v>1</v>
      </c>
      <c r="DC290" s="146">
        <v>1</v>
      </c>
      <c r="DD290" s="146">
        <v>1</v>
      </c>
      <c r="DE290" s="84" t="s">
        <v>514</v>
      </c>
      <c r="DF290" s="131" t="s">
        <v>2577</v>
      </c>
      <c r="DG290" s="84" t="s">
        <v>2578</v>
      </c>
      <c r="DH290" s="671">
        <v>411883000</v>
      </c>
      <c r="DI290" s="674" t="s">
        <v>1633</v>
      </c>
      <c r="DJ290" s="674" t="s">
        <v>2613</v>
      </c>
      <c r="DK290" s="674" t="s">
        <v>559</v>
      </c>
      <c r="DL290" s="674" t="s">
        <v>2581</v>
      </c>
      <c r="DM290" s="674" t="s">
        <v>201</v>
      </c>
      <c r="DN290" s="85"/>
      <c r="DO290" s="86"/>
      <c r="DP290" s="84"/>
      <c r="DQ290" s="86"/>
      <c r="DR290" s="86"/>
      <c r="DS290" s="83"/>
      <c r="DT290" s="86"/>
      <c r="DU290" s="485"/>
      <c r="DV290" s="86"/>
      <c r="DW290" s="86"/>
      <c r="DX290" s="83"/>
      <c r="DY290" s="86"/>
      <c r="DZ290" s="485"/>
      <c r="EA290" s="86"/>
      <c r="EB290" s="86"/>
      <c r="EC290" s="85"/>
      <c r="ED290" s="84"/>
      <c r="EE290" s="672"/>
      <c r="EF290" s="84"/>
      <c r="EG290" s="84"/>
      <c r="EH290" s="83"/>
      <c r="EI290" s="84"/>
      <c r="EJ290" s="84"/>
      <c r="EK290" s="84"/>
      <c r="EL290" s="91" t="str">
        <f t="shared" si="82"/>
        <v>No se reportó avance</v>
      </c>
      <c r="EM290" s="83" t="str">
        <f t="shared" si="83"/>
        <v>No se reportó avance</v>
      </c>
      <c r="EN290" s="86"/>
    </row>
    <row r="291" spans="1:144" s="93" customFormat="1" ht="67.5" customHeight="1">
      <c r="A291" s="84" t="s">
        <v>2548</v>
      </c>
      <c r="B291" s="85" t="s">
        <v>2549</v>
      </c>
      <c r="C291" s="85" t="s">
        <v>2550</v>
      </c>
      <c r="D291" s="85" t="s">
        <v>2551</v>
      </c>
      <c r="E291" s="85" t="s">
        <v>2552</v>
      </c>
      <c r="F291" s="84" t="s">
        <v>2553</v>
      </c>
      <c r="G291" s="84" t="s">
        <v>154</v>
      </c>
      <c r="H291" s="84" t="s">
        <v>2554</v>
      </c>
      <c r="I291" s="84" t="s">
        <v>2555</v>
      </c>
      <c r="J291" s="84" t="s">
        <v>2556</v>
      </c>
      <c r="K291" s="84" t="s">
        <v>730</v>
      </c>
      <c r="L291" s="84">
        <v>3</v>
      </c>
      <c r="M291" s="84" t="s">
        <v>2631</v>
      </c>
      <c r="N291" s="84" t="s">
        <v>2632</v>
      </c>
      <c r="O291" s="84" t="s">
        <v>2633</v>
      </c>
      <c r="P291" s="84" t="s">
        <v>161</v>
      </c>
      <c r="Q291" s="84" t="s">
        <v>162</v>
      </c>
      <c r="R291" s="123">
        <v>2</v>
      </c>
      <c r="S291" s="84" t="s">
        <v>402</v>
      </c>
      <c r="T291" s="90">
        <v>44927</v>
      </c>
      <c r="U291" s="90">
        <v>46387</v>
      </c>
      <c r="V291" s="90"/>
      <c r="W291" s="90"/>
      <c r="X291" s="90"/>
      <c r="Y291" s="90"/>
      <c r="Z291" s="123"/>
      <c r="AA291" s="123"/>
      <c r="AB291" s="123"/>
      <c r="AC291" s="123"/>
      <c r="AD291" s="123"/>
      <c r="AE291" s="123"/>
      <c r="AF291" s="83"/>
      <c r="AG291" s="83"/>
      <c r="AH291" s="83"/>
      <c r="AI291" s="83"/>
      <c r="AJ291" s="123"/>
      <c r="AK291" s="123"/>
      <c r="AL291" s="123"/>
      <c r="AM291" s="123"/>
      <c r="AN291" s="123"/>
      <c r="AO291" s="123"/>
      <c r="AP291" s="123"/>
      <c r="AQ291" s="84"/>
      <c r="AR291" s="84"/>
      <c r="AS291" s="84"/>
      <c r="AT291" s="84"/>
      <c r="AU291" s="84"/>
      <c r="AV291" s="84"/>
      <c r="AW291" s="84"/>
      <c r="AX291" s="84"/>
      <c r="AY291" s="84"/>
      <c r="AZ291" s="86"/>
      <c r="BA291" s="85"/>
      <c r="BB291" s="84"/>
      <c r="BC291" s="85"/>
      <c r="BD291" s="84"/>
      <c r="BE291" s="85"/>
      <c r="BF291" s="85"/>
      <c r="BG291" s="85"/>
      <c r="BH291" s="85"/>
      <c r="BI291" s="85"/>
      <c r="BJ291" s="86"/>
      <c r="BK291" s="85"/>
      <c r="BL291" s="86"/>
      <c r="BM291" s="85"/>
      <c r="BN291" s="86"/>
      <c r="BO291" s="85"/>
      <c r="BP291" s="86"/>
      <c r="BQ291" s="85"/>
      <c r="BR291" s="85"/>
      <c r="BS291" s="85"/>
      <c r="BT291" s="85"/>
      <c r="BU291" s="85"/>
      <c r="BV291" s="85"/>
      <c r="BW291" s="85"/>
      <c r="BX291" s="85"/>
      <c r="BY291" s="85"/>
      <c r="BZ291" s="85"/>
      <c r="CA291" s="85"/>
      <c r="CB291" s="85"/>
      <c r="CC291" s="85"/>
      <c r="CD291" s="85"/>
      <c r="CE291" s="85"/>
      <c r="CF291" s="84"/>
      <c r="CG291" s="372"/>
      <c r="CH291" s="372"/>
      <c r="CI291" s="372"/>
      <c r="CJ291" s="83" t="str">
        <f t="shared" si="75"/>
        <v>No aplica</v>
      </c>
      <c r="CK291" s="83" t="str">
        <f t="shared" si="76"/>
        <v>No aplica</v>
      </c>
      <c r="CL291" s="83" t="str">
        <f t="shared" si="79"/>
        <v>No requiere reporte</v>
      </c>
      <c r="CM291" s="89" t="str">
        <f t="shared" si="80"/>
        <v>No requiere reporte</v>
      </c>
      <c r="CN291" s="89" t="str">
        <f t="shared" si="81"/>
        <v>No requiere reporte</v>
      </c>
      <c r="CO291" s="84" t="s">
        <v>366</v>
      </c>
      <c r="CP291" s="86" t="s">
        <v>2655</v>
      </c>
      <c r="CQ291" s="84" t="s">
        <v>484</v>
      </c>
      <c r="CR291" s="84" t="s">
        <v>2656</v>
      </c>
      <c r="CS291" s="84" t="s">
        <v>2657</v>
      </c>
      <c r="CT291" s="84" t="s">
        <v>200</v>
      </c>
      <c r="CU291" s="84" t="s">
        <v>162</v>
      </c>
      <c r="CV291" s="84">
        <v>4</v>
      </c>
      <c r="CW291" s="84" t="s">
        <v>234</v>
      </c>
      <c r="CX291" s="90">
        <v>45748</v>
      </c>
      <c r="CY291" s="90">
        <v>46387</v>
      </c>
      <c r="CZ291" s="84"/>
      <c r="DA291" s="84">
        <v>4</v>
      </c>
      <c r="DB291" s="84">
        <v>4</v>
      </c>
      <c r="DC291" s="84">
        <v>4</v>
      </c>
      <c r="DD291" s="84">
        <v>4</v>
      </c>
      <c r="DE291" s="84" t="s">
        <v>514</v>
      </c>
      <c r="DF291" s="131" t="s">
        <v>2577</v>
      </c>
      <c r="DG291" s="84" t="s">
        <v>2578</v>
      </c>
      <c r="DH291" s="671">
        <v>64894500</v>
      </c>
      <c r="DI291" s="674" t="s">
        <v>1633</v>
      </c>
      <c r="DJ291" s="674" t="s">
        <v>2613</v>
      </c>
      <c r="DK291" s="674" t="s">
        <v>559</v>
      </c>
      <c r="DL291" s="674" t="s">
        <v>2581</v>
      </c>
      <c r="DM291" s="674" t="s">
        <v>201</v>
      </c>
      <c r="DN291" s="84"/>
      <c r="DO291" s="106"/>
      <c r="DP291" s="84"/>
      <c r="DQ291" s="86"/>
      <c r="DR291" s="86"/>
      <c r="DS291" s="84"/>
      <c r="DT291" s="86"/>
      <c r="DU291" s="485"/>
      <c r="DV291" s="86"/>
      <c r="DW291" s="86"/>
      <c r="DX291" s="84"/>
      <c r="DY291" s="86"/>
      <c r="DZ291" s="485"/>
      <c r="EA291" s="86"/>
      <c r="EB291" s="86"/>
      <c r="EC291" s="85"/>
      <c r="ED291" s="84"/>
      <c r="EE291" s="672"/>
      <c r="EF291" s="84"/>
      <c r="EG291" s="84"/>
      <c r="EH291" s="84"/>
      <c r="EI291" s="84"/>
      <c r="EJ291" s="84"/>
      <c r="EK291" s="84"/>
      <c r="EL291" s="91" t="str">
        <f t="shared" si="82"/>
        <v>No aplica, no hay meta</v>
      </c>
      <c r="EM291" s="83" t="str">
        <f t="shared" si="83"/>
        <v>No se reportó avance</v>
      </c>
      <c r="EN291" s="86"/>
    </row>
    <row r="292" spans="1:144" s="93" customFormat="1" ht="67.5" hidden="1" customHeight="1">
      <c r="A292" s="159" t="s">
        <v>2548</v>
      </c>
      <c r="B292" s="158" t="s">
        <v>2549</v>
      </c>
      <c r="C292" s="158" t="s">
        <v>2550</v>
      </c>
      <c r="D292" s="158" t="s">
        <v>2551</v>
      </c>
      <c r="E292" s="158" t="s">
        <v>2552</v>
      </c>
      <c r="F292" s="159" t="s">
        <v>2553</v>
      </c>
      <c r="G292" s="159" t="s">
        <v>154</v>
      </c>
      <c r="H292" s="159" t="s">
        <v>2554</v>
      </c>
      <c r="I292" s="159" t="s">
        <v>2555</v>
      </c>
      <c r="J292" s="159" t="s">
        <v>2556</v>
      </c>
      <c r="K292" s="159" t="s">
        <v>730</v>
      </c>
      <c r="L292" s="159">
        <v>4</v>
      </c>
      <c r="M292" s="159" t="s">
        <v>2658</v>
      </c>
      <c r="N292" s="159" t="s">
        <v>2118</v>
      </c>
      <c r="O292" s="159" t="s">
        <v>2130</v>
      </c>
      <c r="P292" s="159" t="s">
        <v>200</v>
      </c>
      <c r="Q292" s="159" t="s">
        <v>233</v>
      </c>
      <c r="R292" s="486">
        <v>44</v>
      </c>
      <c r="S292" s="159" t="s">
        <v>402</v>
      </c>
      <c r="T292" s="162">
        <v>44927</v>
      </c>
      <c r="U292" s="162">
        <v>45291</v>
      </c>
      <c r="V292" s="162"/>
      <c r="W292" s="162"/>
      <c r="X292" s="162"/>
      <c r="Y292" s="162"/>
      <c r="Z292" s="486">
        <v>30</v>
      </c>
      <c r="AA292" s="486"/>
      <c r="AB292" s="486"/>
      <c r="AC292" s="486"/>
      <c r="AD292" s="486"/>
      <c r="AE292" s="486">
        <v>30</v>
      </c>
      <c r="AF292" s="160"/>
      <c r="AG292" s="160"/>
      <c r="AH292" s="160"/>
      <c r="AI292" s="160"/>
      <c r="AJ292" s="486">
        <v>30</v>
      </c>
      <c r="AK292" s="486"/>
      <c r="AL292" s="486"/>
      <c r="AM292" s="486"/>
      <c r="AN292" s="486"/>
      <c r="AO292" s="486">
        <v>30</v>
      </c>
      <c r="AP292" s="159">
        <f>+Z292</f>
        <v>30</v>
      </c>
      <c r="AQ292" s="159">
        <v>2</v>
      </c>
      <c r="AR292" s="159" t="s">
        <v>2659</v>
      </c>
      <c r="AS292" s="159">
        <v>20</v>
      </c>
      <c r="AT292" s="159" t="s">
        <v>2660</v>
      </c>
      <c r="AU292" s="159">
        <v>4</v>
      </c>
      <c r="AV292" s="159" t="s">
        <v>2661</v>
      </c>
      <c r="AW292" s="159">
        <v>10</v>
      </c>
      <c r="AX292" s="159" t="s">
        <v>2662</v>
      </c>
      <c r="AY292" s="159">
        <f>+AQ292+AS292+AU292+AW292</f>
        <v>36</v>
      </c>
      <c r="AZ292" s="164" t="s">
        <v>2663</v>
      </c>
      <c r="BA292" s="159" t="s">
        <v>182</v>
      </c>
      <c r="BB292" s="159" t="s">
        <v>182</v>
      </c>
      <c r="BC292" s="159" t="s">
        <v>182</v>
      </c>
      <c r="BD292" s="159" t="s">
        <v>182</v>
      </c>
      <c r="BE292" s="159" t="s">
        <v>182</v>
      </c>
      <c r="BF292" s="159" t="s">
        <v>182</v>
      </c>
      <c r="BG292" s="159" t="s">
        <v>182</v>
      </c>
      <c r="BH292" s="159" t="s">
        <v>182</v>
      </c>
      <c r="BI292" s="158" t="s">
        <v>201</v>
      </c>
      <c r="BJ292" s="164" t="s">
        <v>201</v>
      </c>
      <c r="BK292" s="158"/>
      <c r="BL292" s="164"/>
      <c r="BM292" s="158"/>
      <c r="BN292" s="164"/>
      <c r="BO292" s="158"/>
      <c r="BP292" s="164"/>
      <c r="BQ292" s="158"/>
      <c r="BR292" s="158"/>
      <c r="BS292" s="158"/>
      <c r="BT292" s="158"/>
      <c r="BU292" s="158"/>
      <c r="BV292" s="158"/>
      <c r="BW292" s="158"/>
      <c r="BX292" s="158"/>
      <c r="BY292" s="158"/>
      <c r="BZ292" s="158"/>
      <c r="CA292" s="158"/>
      <c r="CB292" s="158"/>
      <c r="CC292" s="158"/>
      <c r="CD292" s="158"/>
      <c r="CE292" s="159"/>
      <c r="CF292" s="159"/>
      <c r="CG292" s="471"/>
      <c r="CH292" s="471"/>
      <c r="CI292" s="471"/>
      <c r="CJ292" s="160" t="str">
        <f t="shared" si="75"/>
        <v>No aplica</v>
      </c>
      <c r="CK292" s="160" t="str">
        <f t="shared" si="76"/>
        <v>No aplica</v>
      </c>
      <c r="CL292" s="83" t="str">
        <f t="shared" si="79"/>
        <v>No aplica, no hay meta</v>
      </c>
      <c r="CM292" s="89" t="str">
        <f t="shared" si="80"/>
        <v>No se reportó avance</v>
      </c>
      <c r="CN292" s="89" t="str">
        <f t="shared" si="81"/>
        <v>No se reportó avance</v>
      </c>
      <c r="CO292" s="159"/>
      <c r="CP292" s="159"/>
      <c r="CQ292" s="159"/>
      <c r="CR292" s="159"/>
      <c r="CS292" s="159"/>
      <c r="CT292" s="159"/>
      <c r="CU292" s="159"/>
      <c r="CV292" s="469"/>
      <c r="CW292" s="159"/>
      <c r="CX292" s="162"/>
      <c r="CY292" s="162"/>
      <c r="CZ292" s="469"/>
      <c r="DA292" s="469"/>
      <c r="DB292" s="469"/>
      <c r="DC292" s="469"/>
      <c r="DD292" s="469"/>
      <c r="DE292" s="159"/>
      <c r="DF292" s="159"/>
      <c r="DG292" s="159"/>
      <c r="DH292" s="483"/>
      <c r="DI292" s="159"/>
      <c r="DJ292" s="159"/>
      <c r="DK292" s="159"/>
      <c r="DL292" s="159"/>
      <c r="DM292" s="159"/>
      <c r="DN292" s="158"/>
      <c r="DO292" s="164"/>
      <c r="DP292" s="487"/>
      <c r="DQ292" s="164"/>
      <c r="DR292" s="164"/>
      <c r="DS292" s="158"/>
      <c r="DT292" s="164"/>
      <c r="DU292" s="487"/>
      <c r="DV292" s="164"/>
      <c r="DW292" s="164"/>
      <c r="DX292" s="158"/>
      <c r="DY292" s="164"/>
      <c r="DZ292" s="487"/>
      <c r="EA292" s="164"/>
      <c r="EB292" s="164"/>
      <c r="EC292" s="158"/>
      <c r="ED292" s="159"/>
      <c r="EE292" s="487"/>
      <c r="EF292" s="159"/>
      <c r="EG292" s="159"/>
      <c r="EH292" s="158"/>
      <c r="EI292" s="159"/>
      <c r="EJ292" s="159"/>
      <c r="EK292" s="159"/>
      <c r="EL292" s="91" t="str">
        <f t="shared" si="82"/>
        <v>No aplica, no hay meta</v>
      </c>
      <c r="EM292" s="83" t="str">
        <f t="shared" si="83"/>
        <v>No aplica, no hay meta</v>
      </c>
      <c r="EN292" s="164" t="s">
        <v>2664</v>
      </c>
    </row>
    <row r="293" spans="1:144" s="93" customFormat="1" ht="59.25" hidden="1" customHeight="1">
      <c r="A293" s="159" t="s">
        <v>2548</v>
      </c>
      <c r="B293" s="158" t="s">
        <v>2549</v>
      </c>
      <c r="C293" s="158" t="s">
        <v>2550</v>
      </c>
      <c r="D293" s="158" t="s">
        <v>2551</v>
      </c>
      <c r="E293" s="158" t="s">
        <v>2552</v>
      </c>
      <c r="F293" s="159" t="s">
        <v>2553</v>
      </c>
      <c r="G293" s="159" t="s">
        <v>154</v>
      </c>
      <c r="H293" s="159" t="s">
        <v>2554</v>
      </c>
      <c r="I293" s="159" t="s">
        <v>2555</v>
      </c>
      <c r="J293" s="159" t="s">
        <v>2556</v>
      </c>
      <c r="K293" s="159" t="s">
        <v>730</v>
      </c>
      <c r="L293" s="159">
        <v>5</v>
      </c>
      <c r="M293" s="159" t="s">
        <v>2665</v>
      </c>
      <c r="N293" s="159" t="s">
        <v>2666</v>
      </c>
      <c r="O293" s="159" t="s">
        <v>2667</v>
      </c>
      <c r="P293" s="159" t="s">
        <v>161</v>
      </c>
      <c r="Q293" s="159" t="s">
        <v>233</v>
      </c>
      <c r="R293" s="160" t="s">
        <v>182</v>
      </c>
      <c r="S293" s="159" t="s">
        <v>402</v>
      </c>
      <c r="T293" s="162">
        <v>44927</v>
      </c>
      <c r="U293" s="162">
        <v>45291</v>
      </c>
      <c r="V293" s="162"/>
      <c r="W293" s="162"/>
      <c r="X293" s="162"/>
      <c r="Y293" s="162"/>
      <c r="Z293" s="486">
        <v>1</v>
      </c>
      <c r="AA293" s="486"/>
      <c r="AB293" s="486"/>
      <c r="AC293" s="486"/>
      <c r="AD293" s="486"/>
      <c r="AE293" s="486">
        <v>1</v>
      </c>
      <c r="AF293" s="160"/>
      <c r="AG293" s="160"/>
      <c r="AH293" s="160"/>
      <c r="AI293" s="160"/>
      <c r="AJ293" s="486">
        <v>1</v>
      </c>
      <c r="AK293" s="486"/>
      <c r="AL293" s="486"/>
      <c r="AM293" s="486"/>
      <c r="AN293" s="486"/>
      <c r="AO293" s="486">
        <v>1</v>
      </c>
      <c r="AP293" s="159">
        <f>+Z293</f>
        <v>1</v>
      </c>
      <c r="AQ293" s="159">
        <v>0</v>
      </c>
      <c r="AR293" s="159" t="s">
        <v>2668</v>
      </c>
      <c r="AS293" s="159">
        <v>0</v>
      </c>
      <c r="AT293" s="159" t="s">
        <v>2669</v>
      </c>
      <c r="AU293" s="159">
        <v>0</v>
      </c>
      <c r="AV293" s="159" t="s">
        <v>2670</v>
      </c>
      <c r="AW293" s="159">
        <v>1</v>
      </c>
      <c r="AX293" s="159" t="s">
        <v>2671</v>
      </c>
      <c r="AY293" s="159">
        <v>1</v>
      </c>
      <c r="AZ293" s="164" t="s">
        <v>2672</v>
      </c>
      <c r="BA293" s="159" t="s">
        <v>182</v>
      </c>
      <c r="BB293" s="159" t="s">
        <v>182</v>
      </c>
      <c r="BC293" s="159" t="s">
        <v>182</v>
      </c>
      <c r="BD293" s="159" t="s">
        <v>182</v>
      </c>
      <c r="BE293" s="158" t="s">
        <v>182</v>
      </c>
      <c r="BF293" s="159" t="s">
        <v>182</v>
      </c>
      <c r="BG293" s="158" t="s">
        <v>182</v>
      </c>
      <c r="BH293" s="158" t="s">
        <v>182</v>
      </c>
      <c r="BI293" s="158" t="s">
        <v>182</v>
      </c>
      <c r="BJ293" s="164" t="s">
        <v>182</v>
      </c>
      <c r="BK293" s="158"/>
      <c r="BL293" s="164"/>
      <c r="BM293" s="158"/>
      <c r="BN293" s="164"/>
      <c r="BO293" s="158"/>
      <c r="BP293" s="164"/>
      <c r="BQ293" s="158"/>
      <c r="BR293" s="158"/>
      <c r="BS293" s="158"/>
      <c r="BT293" s="158"/>
      <c r="BU293" s="158"/>
      <c r="BV293" s="158"/>
      <c r="BW293" s="158"/>
      <c r="BX293" s="158"/>
      <c r="BY293" s="158"/>
      <c r="BZ293" s="158"/>
      <c r="CA293" s="158"/>
      <c r="CB293" s="158"/>
      <c r="CC293" s="158"/>
      <c r="CD293" s="158"/>
      <c r="CE293" s="159"/>
      <c r="CF293" s="159"/>
      <c r="CG293" s="471"/>
      <c r="CH293" s="471"/>
      <c r="CI293" s="471"/>
      <c r="CJ293" s="160" t="str">
        <f t="shared" si="75"/>
        <v>No aplica</v>
      </c>
      <c r="CK293" s="160" t="str">
        <f t="shared" si="76"/>
        <v>No aplica</v>
      </c>
      <c r="CL293" s="83" t="str">
        <f t="shared" si="79"/>
        <v>No aplica, no hay meta</v>
      </c>
      <c r="CM293" s="89" t="str">
        <f t="shared" si="80"/>
        <v>No se reportó avance</v>
      </c>
      <c r="CN293" s="89" t="str">
        <f t="shared" si="81"/>
        <v>No se reportó avance</v>
      </c>
      <c r="CO293" s="159"/>
      <c r="CP293" s="159"/>
      <c r="CQ293" s="159"/>
      <c r="CR293" s="159"/>
      <c r="CS293" s="159"/>
      <c r="CT293" s="159"/>
      <c r="CU293" s="159"/>
      <c r="CV293" s="469"/>
      <c r="CW293" s="159"/>
      <c r="CX293" s="162"/>
      <c r="CY293" s="162"/>
      <c r="CZ293" s="469"/>
      <c r="DA293" s="469"/>
      <c r="DB293" s="469"/>
      <c r="DC293" s="469"/>
      <c r="DD293" s="469"/>
      <c r="DE293" s="159"/>
      <c r="DF293" s="159"/>
      <c r="DG293" s="159"/>
      <c r="DH293" s="483"/>
      <c r="DI293" s="159"/>
      <c r="DJ293" s="159"/>
      <c r="DK293" s="159"/>
      <c r="DL293" s="159"/>
      <c r="DM293" s="159"/>
      <c r="DN293" s="158"/>
      <c r="DO293" s="164"/>
      <c r="DP293" s="487"/>
      <c r="DQ293" s="164"/>
      <c r="DR293" s="164"/>
      <c r="DS293" s="158"/>
      <c r="DT293" s="164"/>
      <c r="DU293" s="487"/>
      <c r="DV293" s="164"/>
      <c r="DW293" s="164"/>
      <c r="DX293" s="158"/>
      <c r="DY293" s="164"/>
      <c r="DZ293" s="487"/>
      <c r="EA293" s="164"/>
      <c r="EB293" s="164"/>
      <c r="EC293" s="158"/>
      <c r="ED293" s="159"/>
      <c r="EE293" s="487"/>
      <c r="EF293" s="159"/>
      <c r="EG293" s="159"/>
      <c r="EH293" s="158"/>
      <c r="EI293" s="159"/>
      <c r="EJ293" s="159"/>
      <c r="EK293" s="159"/>
      <c r="EL293" s="91" t="str">
        <f t="shared" si="82"/>
        <v>No requiere reporte</v>
      </c>
      <c r="EM293" s="83" t="str">
        <f t="shared" si="83"/>
        <v>No requiere reporte</v>
      </c>
      <c r="EN293" s="164" t="s">
        <v>2673</v>
      </c>
    </row>
    <row r="294" spans="1:144" s="93" customFormat="1" ht="65.25" hidden="1" customHeight="1">
      <c r="A294" s="159" t="s">
        <v>2548</v>
      </c>
      <c r="B294" s="158" t="s">
        <v>2549</v>
      </c>
      <c r="C294" s="158" t="s">
        <v>2550</v>
      </c>
      <c r="D294" s="158" t="s">
        <v>2551</v>
      </c>
      <c r="E294" s="158" t="s">
        <v>2552</v>
      </c>
      <c r="F294" s="159" t="s">
        <v>2553</v>
      </c>
      <c r="G294" s="159" t="s">
        <v>154</v>
      </c>
      <c r="H294" s="159" t="s">
        <v>2554</v>
      </c>
      <c r="I294" s="159" t="s">
        <v>2555</v>
      </c>
      <c r="J294" s="159" t="s">
        <v>2556</v>
      </c>
      <c r="K294" s="159" t="s">
        <v>730</v>
      </c>
      <c r="L294" s="159">
        <v>6</v>
      </c>
      <c r="M294" s="159" t="s">
        <v>2674</v>
      </c>
      <c r="N294" s="159" t="s">
        <v>798</v>
      </c>
      <c r="O294" s="159" t="s">
        <v>2675</v>
      </c>
      <c r="P294" s="159" t="s">
        <v>200</v>
      </c>
      <c r="Q294" s="159" t="s">
        <v>233</v>
      </c>
      <c r="R294" s="160" t="s">
        <v>182</v>
      </c>
      <c r="S294" s="159" t="s">
        <v>402</v>
      </c>
      <c r="T294" s="162">
        <v>44927</v>
      </c>
      <c r="U294" s="162">
        <v>45291</v>
      </c>
      <c r="V294" s="162"/>
      <c r="W294" s="162"/>
      <c r="X294" s="162"/>
      <c r="Y294" s="162"/>
      <c r="Z294" s="486">
        <v>22</v>
      </c>
      <c r="AA294" s="486"/>
      <c r="AB294" s="486"/>
      <c r="AC294" s="486"/>
      <c r="AD294" s="486"/>
      <c r="AE294" s="486">
        <v>22</v>
      </c>
      <c r="AF294" s="160"/>
      <c r="AG294" s="160"/>
      <c r="AH294" s="160"/>
      <c r="AI294" s="160"/>
      <c r="AJ294" s="486">
        <v>22</v>
      </c>
      <c r="AK294" s="486"/>
      <c r="AL294" s="486"/>
      <c r="AM294" s="486"/>
      <c r="AN294" s="486"/>
      <c r="AO294" s="486">
        <v>22</v>
      </c>
      <c r="AP294" s="159">
        <f>+Z294</f>
        <v>22</v>
      </c>
      <c r="AQ294" s="159">
        <v>3</v>
      </c>
      <c r="AR294" s="159" t="s">
        <v>2676</v>
      </c>
      <c r="AS294" s="159">
        <v>9</v>
      </c>
      <c r="AT294" s="159" t="s">
        <v>2677</v>
      </c>
      <c r="AU294" s="159">
        <v>6</v>
      </c>
      <c r="AV294" s="159" t="s">
        <v>2678</v>
      </c>
      <c r="AW294" s="159">
        <v>6</v>
      </c>
      <c r="AX294" s="159" t="s">
        <v>2679</v>
      </c>
      <c r="AY294" s="159">
        <f>+AQ294+AS294+AU294+AW294</f>
        <v>24</v>
      </c>
      <c r="AZ294" s="164" t="s">
        <v>2680</v>
      </c>
      <c r="BA294" s="158" t="s">
        <v>182</v>
      </c>
      <c r="BB294" s="158" t="s">
        <v>182</v>
      </c>
      <c r="BC294" s="158" t="s">
        <v>182</v>
      </c>
      <c r="BD294" s="158" t="s">
        <v>182</v>
      </c>
      <c r="BE294" s="158" t="s">
        <v>182</v>
      </c>
      <c r="BF294" s="158" t="s">
        <v>182</v>
      </c>
      <c r="BG294" s="158" t="s">
        <v>182</v>
      </c>
      <c r="BH294" s="158" t="s">
        <v>182</v>
      </c>
      <c r="BI294" s="158" t="s">
        <v>182</v>
      </c>
      <c r="BJ294" s="164" t="s">
        <v>182</v>
      </c>
      <c r="BK294" s="158"/>
      <c r="BL294" s="164"/>
      <c r="BM294" s="158"/>
      <c r="BN294" s="164"/>
      <c r="BO294" s="158"/>
      <c r="BP294" s="164"/>
      <c r="BQ294" s="158"/>
      <c r="BR294" s="158"/>
      <c r="BS294" s="158"/>
      <c r="BT294" s="158"/>
      <c r="BU294" s="158"/>
      <c r="BV294" s="158"/>
      <c r="BW294" s="158"/>
      <c r="BX294" s="158"/>
      <c r="BY294" s="158"/>
      <c r="BZ294" s="158"/>
      <c r="CA294" s="158"/>
      <c r="CB294" s="158"/>
      <c r="CC294" s="158"/>
      <c r="CD294" s="158"/>
      <c r="CE294" s="159"/>
      <c r="CF294" s="159"/>
      <c r="CG294" s="471"/>
      <c r="CH294" s="471"/>
      <c r="CI294" s="471"/>
      <c r="CJ294" s="160" t="str">
        <f t="shared" si="75"/>
        <v>No aplica</v>
      </c>
      <c r="CK294" s="160" t="str">
        <f t="shared" si="76"/>
        <v>No aplica</v>
      </c>
      <c r="CL294" s="83" t="str">
        <f t="shared" si="79"/>
        <v>No aplica, no hay meta</v>
      </c>
      <c r="CM294" s="89" t="str">
        <f t="shared" si="80"/>
        <v>No se reportó avance</v>
      </c>
      <c r="CN294" s="89" t="str">
        <f t="shared" si="81"/>
        <v>No se reportó avance</v>
      </c>
      <c r="CO294" s="159"/>
      <c r="CP294" s="159"/>
      <c r="CQ294" s="159"/>
      <c r="CR294" s="159"/>
      <c r="CS294" s="159"/>
      <c r="CT294" s="159"/>
      <c r="CU294" s="159"/>
      <c r="CV294" s="469"/>
      <c r="CW294" s="159"/>
      <c r="CX294" s="162"/>
      <c r="CY294" s="162"/>
      <c r="CZ294" s="469"/>
      <c r="DA294" s="469"/>
      <c r="DB294" s="469"/>
      <c r="DC294" s="469"/>
      <c r="DD294" s="469"/>
      <c r="DE294" s="159"/>
      <c r="DF294" s="159"/>
      <c r="DG294" s="159"/>
      <c r="DH294" s="483"/>
      <c r="DI294" s="159"/>
      <c r="DJ294" s="159"/>
      <c r="DK294" s="159"/>
      <c r="DL294" s="159"/>
      <c r="DM294" s="159"/>
      <c r="DN294" s="158"/>
      <c r="DO294" s="164"/>
      <c r="DP294" s="487"/>
      <c r="DQ294" s="164"/>
      <c r="DR294" s="164"/>
      <c r="DS294" s="158"/>
      <c r="DT294" s="164"/>
      <c r="DU294" s="487"/>
      <c r="DV294" s="164"/>
      <c r="DW294" s="164"/>
      <c r="DX294" s="158"/>
      <c r="DY294" s="164"/>
      <c r="DZ294" s="487"/>
      <c r="EA294" s="164"/>
      <c r="EB294" s="164"/>
      <c r="EC294" s="158"/>
      <c r="ED294" s="159"/>
      <c r="EE294" s="487"/>
      <c r="EF294" s="159"/>
      <c r="EG294" s="159"/>
      <c r="EH294" s="158"/>
      <c r="EI294" s="159"/>
      <c r="EJ294" s="159"/>
      <c r="EK294" s="159"/>
      <c r="EL294" s="91" t="str">
        <f t="shared" si="82"/>
        <v>No requiere reporte</v>
      </c>
      <c r="EM294" s="83" t="str">
        <f t="shared" si="83"/>
        <v>No requiere reporte</v>
      </c>
      <c r="EN294" s="164" t="s">
        <v>2681</v>
      </c>
    </row>
    <row r="295" spans="1:144" s="93" customFormat="1" ht="56.25" customHeight="1">
      <c r="A295" s="74" t="s">
        <v>2548</v>
      </c>
      <c r="B295" s="75" t="s">
        <v>2549</v>
      </c>
      <c r="C295" s="75" t="s">
        <v>2682</v>
      </c>
      <c r="D295" s="75" t="s">
        <v>2683</v>
      </c>
      <c r="E295" s="75" t="s">
        <v>2684</v>
      </c>
      <c r="F295" s="74" t="s">
        <v>154</v>
      </c>
      <c r="G295" s="74" t="s">
        <v>154</v>
      </c>
      <c r="H295" s="74" t="s">
        <v>2685</v>
      </c>
      <c r="I295" s="74" t="s">
        <v>2555</v>
      </c>
      <c r="J295" s="74" t="s">
        <v>2556</v>
      </c>
      <c r="K295" s="74" t="s">
        <v>2686</v>
      </c>
      <c r="L295" s="78">
        <v>7</v>
      </c>
      <c r="M295" s="78" t="s">
        <v>2687</v>
      </c>
      <c r="N295" s="78" t="s">
        <v>2688</v>
      </c>
      <c r="O295" s="78" t="s">
        <v>2689</v>
      </c>
      <c r="P295" s="78" t="s">
        <v>200</v>
      </c>
      <c r="Q295" s="78" t="s">
        <v>162</v>
      </c>
      <c r="R295" s="82">
        <v>1</v>
      </c>
      <c r="S295" s="78" t="s">
        <v>163</v>
      </c>
      <c r="T295" s="80">
        <v>44927</v>
      </c>
      <c r="U295" s="80">
        <v>46387</v>
      </c>
      <c r="V295" s="81"/>
      <c r="W295" s="81"/>
      <c r="X295" s="81"/>
      <c r="Y295" s="81"/>
      <c r="Z295" s="82">
        <v>1</v>
      </c>
      <c r="AA295" s="121">
        <v>1</v>
      </c>
      <c r="AB295" s="121">
        <v>1</v>
      </c>
      <c r="AC295" s="121">
        <v>1</v>
      </c>
      <c r="AD295" s="121">
        <v>1</v>
      </c>
      <c r="AE295" s="82">
        <v>1</v>
      </c>
      <c r="AF295" s="82">
        <v>1</v>
      </c>
      <c r="AG295" s="82">
        <v>1</v>
      </c>
      <c r="AH295" s="82">
        <v>1</v>
      </c>
      <c r="AI295" s="82">
        <v>1</v>
      </c>
      <c r="AJ295" s="82">
        <v>1</v>
      </c>
      <c r="AK295" s="121">
        <v>1</v>
      </c>
      <c r="AL295" s="121">
        <v>1</v>
      </c>
      <c r="AM295" s="121">
        <v>1</v>
      </c>
      <c r="AN295" s="121">
        <v>1</v>
      </c>
      <c r="AO295" s="82">
        <v>1</v>
      </c>
      <c r="AP295" s="82">
        <v>1</v>
      </c>
      <c r="AQ295" s="83">
        <v>0.86499999999999999</v>
      </c>
      <c r="AR295" s="84" t="s">
        <v>2690</v>
      </c>
      <c r="AS295" s="83">
        <v>2.8</v>
      </c>
      <c r="AT295" s="84" t="s">
        <v>2691</v>
      </c>
      <c r="AU295" s="83">
        <v>0.54</v>
      </c>
      <c r="AV295" s="84" t="s">
        <v>2692</v>
      </c>
      <c r="AW295" s="83">
        <v>0.8</v>
      </c>
      <c r="AX295" s="84" t="s">
        <v>2693</v>
      </c>
      <c r="AY295" s="83">
        <v>0.75</v>
      </c>
      <c r="AZ295" s="86" t="s">
        <v>2694</v>
      </c>
      <c r="BA295" s="85">
        <v>1</v>
      </c>
      <c r="BB295" s="84" t="s">
        <v>2695</v>
      </c>
      <c r="BC295" s="85">
        <v>0.55000000000000004</v>
      </c>
      <c r="BD295" s="84" t="s">
        <v>2696</v>
      </c>
      <c r="BE295" s="85">
        <v>0.75</v>
      </c>
      <c r="BF295" s="85" t="s">
        <v>2697</v>
      </c>
      <c r="BG295" s="85">
        <v>0.4</v>
      </c>
      <c r="BH295" s="85" t="s">
        <v>2698</v>
      </c>
      <c r="BI295" s="85">
        <v>0.47</v>
      </c>
      <c r="BJ295" s="86" t="s">
        <v>2699</v>
      </c>
      <c r="BK295" s="85">
        <f>+(4/10)/1</f>
        <v>0.4</v>
      </c>
      <c r="BL295" s="86" t="s">
        <v>2700</v>
      </c>
      <c r="BM295" s="83">
        <f>(30/30+50/50+0/4+5/5)/4</f>
        <v>0.75</v>
      </c>
      <c r="BN295" s="86" t="s">
        <v>2701</v>
      </c>
      <c r="BO295" s="83">
        <f>(85/100+0/18+5/5+40/50)/4</f>
        <v>0.66250000000000009</v>
      </c>
      <c r="BP295" s="670" t="s">
        <v>2702</v>
      </c>
      <c r="BQ295" s="85"/>
      <c r="BR295" s="85"/>
      <c r="BS295" s="83">
        <f>+BO295</f>
        <v>0.66250000000000009</v>
      </c>
      <c r="BT295" s="85"/>
      <c r="BU295" s="85"/>
      <c r="BV295" s="85"/>
      <c r="BW295" s="85"/>
      <c r="BX295" s="85"/>
      <c r="BY295" s="85"/>
      <c r="BZ295" s="85"/>
      <c r="CA295" s="85"/>
      <c r="CB295" s="85"/>
      <c r="CC295" s="85"/>
      <c r="CD295" s="85"/>
      <c r="CE295" s="83">
        <f>+BS295</f>
        <v>0.66250000000000009</v>
      </c>
      <c r="CF295" s="84"/>
      <c r="CG295" s="372">
        <f>SUM(DH295:DH299)</f>
        <v>12309413420</v>
      </c>
      <c r="CH295" s="372"/>
      <c r="CI295" s="372"/>
      <c r="CJ295" s="83">
        <f t="shared" si="75"/>
        <v>0</v>
      </c>
      <c r="CK295" s="83">
        <f t="shared" si="76"/>
        <v>0</v>
      </c>
      <c r="CL295" s="83" t="str">
        <f t="shared" si="79"/>
        <v>No se reportó avance</v>
      </c>
      <c r="CM295" s="89" t="str">
        <f t="shared" si="80"/>
        <v>No se reportó avance</v>
      </c>
      <c r="CN295" s="89">
        <f t="shared" si="81"/>
        <v>0.66250000000000009</v>
      </c>
      <c r="CO295" s="84" t="s">
        <v>1384</v>
      </c>
      <c r="CP295" s="86" t="s">
        <v>2703</v>
      </c>
      <c r="CQ295" s="84" t="s">
        <v>2590</v>
      </c>
      <c r="CR295" s="674" t="s">
        <v>2704</v>
      </c>
      <c r="CS295" s="674" t="s">
        <v>2705</v>
      </c>
      <c r="CT295" s="84" t="s">
        <v>200</v>
      </c>
      <c r="CU295" s="84" t="s">
        <v>275</v>
      </c>
      <c r="CV295" s="85">
        <v>1</v>
      </c>
      <c r="CW295" s="84" t="s">
        <v>163</v>
      </c>
      <c r="CX295" s="90">
        <v>46023</v>
      </c>
      <c r="CY295" s="90">
        <v>46387</v>
      </c>
      <c r="CZ295" s="85">
        <v>0.1</v>
      </c>
      <c r="DA295" s="85">
        <v>0.3</v>
      </c>
      <c r="DB295" s="85">
        <v>0.6</v>
      </c>
      <c r="DC295" s="146">
        <v>1</v>
      </c>
      <c r="DD295" s="146">
        <v>1</v>
      </c>
      <c r="DE295" s="84" t="s">
        <v>514</v>
      </c>
      <c r="DF295" s="84" t="s">
        <v>2706</v>
      </c>
      <c r="DG295" s="84" t="s">
        <v>2707</v>
      </c>
      <c r="DH295" s="671">
        <v>8894824053</v>
      </c>
      <c r="DI295" s="84" t="s">
        <v>1633</v>
      </c>
      <c r="DJ295" s="84" t="s">
        <v>480</v>
      </c>
      <c r="DK295" s="84" t="s">
        <v>2607</v>
      </c>
      <c r="DL295" s="84" t="s">
        <v>2708</v>
      </c>
      <c r="DM295" s="84" t="s">
        <v>201</v>
      </c>
      <c r="DN295" s="85"/>
      <c r="DO295" s="86"/>
      <c r="DP295" s="672"/>
      <c r="DQ295" s="86"/>
      <c r="DR295" s="86"/>
      <c r="DS295" s="84"/>
      <c r="DT295" s="86"/>
      <c r="DU295" s="672"/>
      <c r="DV295" s="86"/>
      <c r="DW295" s="86"/>
      <c r="DX295" s="84"/>
      <c r="DY295" s="86"/>
      <c r="DZ295" s="672"/>
      <c r="EA295" s="86"/>
      <c r="EB295" s="86"/>
      <c r="EC295" s="85"/>
      <c r="ED295" s="84"/>
      <c r="EE295" s="672"/>
      <c r="EF295" s="84"/>
      <c r="EG295" s="84"/>
      <c r="EH295" s="84"/>
      <c r="EI295" s="84"/>
      <c r="EJ295" s="84"/>
      <c r="EK295" s="84"/>
      <c r="EL295" s="91" t="str">
        <f t="shared" si="82"/>
        <v>No se reportó avance</v>
      </c>
      <c r="EM295" s="83" t="str">
        <f t="shared" si="83"/>
        <v>No se reportó avance</v>
      </c>
      <c r="EN295" s="86" t="s">
        <v>2709</v>
      </c>
    </row>
    <row r="296" spans="1:144" s="93" customFormat="1" ht="72" customHeight="1">
      <c r="A296" s="84" t="s">
        <v>2548</v>
      </c>
      <c r="B296" s="85" t="s">
        <v>2549</v>
      </c>
      <c r="C296" s="85" t="s">
        <v>2682</v>
      </c>
      <c r="D296" s="85" t="s">
        <v>2683</v>
      </c>
      <c r="E296" s="85" t="s">
        <v>2684</v>
      </c>
      <c r="F296" s="84" t="s">
        <v>154</v>
      </c>
      <c r="G296" s="84" t="s">
        <v>154</v>
      </c>
      <c r="H296" s="84" t="s">
        <v>2685</v>
      </c>
      <c r="I296" s="84" t="s">
        <v>2555</v>
      </c>
      <c r="J296" s="84" t="s">
        <v>2556</v>
      </c>
      <c r="K296" s="84" t="s">
        <v>2686</v>
      </c>
      <c r="L296" s="84">
        <v>7</v>
      </c>
      <c r="M296" s="84" t="s">
        <v>2687</v>
      </c>
      <c r="N296" s="84" t="s">
        <v>2688</v>
      </c>
      <c r="O296" s="84" t="s">
        <v>2689</v>
      </c>
      <c r="P296" s="84" t="s">
        <v>200</v>
      </c>
      <c r="Q296" s="84" t="s">
        <v>162</v>
      </c>
      <c r="R296" s="83">
        <v>1</v>
      </c>
      <c r="S296" s="84" t="s">
        <v>163</v>
      </c>
      <c r="T296" s="90">
        <v>44927</v>
      </c>
      <c r="U296" s="90">
        <v>46387</v>
      </c>
      <c r="V296" s="90"/>
      <c r="W296" s="90"/>
      <c r="X296" s="90"/>
      <c r="Y296" s="90"/>
      <c r="Z296" s="83"/>
      <c r="AA296" s="83"/>
      <c r="AB296" s="83"/>
      <c r="AC296" s="83"/>
      <c r="AD296" s="83"/>
      <c r="AE296" s="83"/>
      <c r="AF296" s="83"/>
      <c r="AG296" s="83"/>
      <c r="AH296" s="83"/>
      <c r="AI296" s="83"/>
      <c r="AJ296" s="83"/>
      <c r="AK296" s="123"/>
      <c r="AL296" s="123"/>
      <c r="AM296" s="123"/>
      <c r="AN296" s="123"/>
      <c r="AO296" s="123"/>
      <c r="AP296" s="83"/>
      <c r="AQ296" s="84"/>
      <c r="AR296" s="84"/>
      <c r="AS296" s="84"/>
      <c r="AT296" s="84"/>
      <c r="AU296" s="84"/>
      <c r="AV296" s="84"/>
      <c r="AW296" s="84"/>
      <c r="AX296" s="84"/>
      <c r="AY296" s="84"/>
      <c r="AZ296" s="86"/>
      <c r="BA296" s="85"/>
      <c r="BB296" s="84"/>
      <c r="BC296" s="85"/>
      <c r="BD296" s="84"/>
      <c r="BE296" s="85"/>
      <c r="BF296" s="85"/>
      <c r="BG296" s="85"/>
      <c r="BH296" s="85"/>
      <c r="BI296" s="85"/>
      <c r="BJ296" s="86"/>
      <c r="BK296" s="85"/>
      <c r="BL296" s="86"/>
      <c r="BM296" s="85"/>
      <c r="BN296" s="86"/>
      <c r="BO296" s="85"/>
      <c r="BP296" s="86"/>
      <c r="BQ296" s="85"/>
      <c r="BR296" s="85"/>
      <c r="BS296" s="85"/>
      <c r="BT296" s="85"/>
      <c r="BU296" s="85"/>
      <c r="BV296" s="85"/>
      <c r="BW296" s="85"/>
      <c r="BX296" s="85"/>
      <c r="BY296" s="85"/>
      <c r="BZ296" s="85"/>
      <c r="CA296" s="85"/>
      <c r="CB296" s="85"/>
      <c r="CC296" s="85"/>
      <c r="CD296" s="85"/>
      <c r="CE296" s="85"/>
      <c r="CF296" s="84"/>
      <c r="CG296" s="372"/>
      <c r="CH296" s="372"/>
      <c r="CI296" s="372"/>
      <c r="CJ296" s="83" t="str">
        <f t="shared" si="75"/>
        <v>No aplica</v>
      </c>
      <c r="CK296" s="83" t="str">
        <f t="shared" si="76"/>
        <v>No aplica</v>
      </c>
      <c r="CL296" s="83" t="str">
        <f t="shared" si="79"/>
        <v>No requiere reporte</v>
      </c>
      <c r="CM296" s="89" t="str">
        <f t="shared" si="80"/>
        <v>No requiere reporte</v>
      </c>
      <c r="CN296" s="89" t="str">
        <f t="shared" si="81"/>
        <v>No requiere reporte</v>
      </c>
      <c r="CO296" s="84" t="s">
        <v>1391</v>
      </c>
      <c r="CP296" s="86" t="s">
        <v>2710</v>
      </c>
      <c r="CQ296" s="84" t="s">
        <v>2711</v>
      </c>
      <c r="CR296" s="84" t="s">
        <v>2712</v>
      </c>
      <c r="CS296" s="673" t="s">
        <v>2713</v>
      </c>
      <c r="CT296" s="84" t="s">
        <v>161</v>
      </c>
      <c r="CU296" s="84" t="s">
        <v>233</v>
      </c>
      <c r="CV296" s="84">
        <v>0</v>
      </c>
      <c r="CW296" s="84" t="s">
        <v>234</v>
      </c>
      <c r="CX296" s="90">
        <v>46023</v>
      </c>
      <c r="CY296" s="90">
        <v>46387</v>
      </c>
      <c r="CZ296" s="84">
        <v>0</v>
      </c>
      <c r="DA296" s="84">
        <v>0</v>
      </c>
      <c r="DB296" s="84">
        <v>0</v>
      </c>
      <c r="DC296" s="84">
        <v>50</v>
      </c>
      <c r="DD296" s="84">
        <f>DC296</f>
        <v>50</v>
      </c>
      <c r="DE296" s="84" t="s">
        <v>514</v>
      </c>
      <c r="DF296" s="84" t="s">
        <v>2706</v>
      </c>
      <c r="DG296" s="84" t="s">
        <v>2707</v>
      </c>
      <c r="DH296" s="671">
        <v>970863850</v>
      </c>
      <c r="DI296" s="84" t="s">
        <v>1633</v>
      </c>
      <c r="DJ296" s="84" t="s">
        <v>2714</v>
      </c>
      <c r="DK296" s="84" t="s">
        <v>1485</v>
      </c>
      <c r="DL296" s="84" t="s">
        <v>2581</v>
      </c>
      <c r="DM296" s="84" t="s">
        <v>201</v>
      </c>
      <c r="DN296" s="85"/>
      <c r="DO296" s="86"/>
      <c r="DP296" s="84"/>
      <c r="DQ296" s="86"/>
      <c r="DR296" s="86"/>
      <c r="DS296" s="83"/>
      <c r="DT296" s="86"/>
      <c r="DU296" s="672"/>
      <c r="DV296" s="86"/>
      <c r="DW296" s="86"/>
      <c r="DX296" s="83"/>
      <c r="DY296" s="83"/>
      <c r="DZ296" s="672"/>
      <c r="EA296" s="86"/>
      <c r="EB296" s="86"/>
      <c r="EC296" s="85"/>
      <c r="ED296" s="84"/>
      <c r="EE296" s="672"/>
      <c r="EF296" s="84"/>
      <c r="EG296" s="84"/>
      <c r="EH296" s="83"/>
      <c r="EI296" s="84"/>
      <c r="EJ296" s="84"/>
      <c r="EK296" s="84"/>
      <c r="EL296" s="91" t="str">
        <f t="shared" si="82"/>
        <v>No aplica, no hay meta</v>
      </c>
      <c r="EM296" s="83" t="str">
        <f t="shared" si="83"/>
        <v>No se reportó avance</v>
      </c>
      <c r="EN296" s="86"/>
    </row>
    <row r="297" spans="1:144" s="93" customFormat="1" ht="63" customHeight="1">
      <c r="A297" s="84" t="s">
        <v>2548</v>
      </c>
      <c r="B297" s="85" t="s">
        <v>2549</v>
      </c>
      <c r="C297" s="85" t="s">
        <v>2682</v>
      </c>
      <c r="D297" s="85" t="s">
        <v>2683</v>
      </c>
      <c r="E297" s="85" t="s">
        <v>2684</v>
      </c>
      <c r="F297" s="84" t="s">
        <v>154</v>
      </c>
      <c r="G297" s="84" t="s">
        <v>154</v>
      </c>
      <c r="H297" s="84" t="s">
        <v>2685</v>
      </c>
      <c r="I297" s="84" t="s">
        <v>2555</v>
      </c>
      <c r="J297" s="84" t="s">
        <v>2556</v>
      </c>
      <c r="K297" s="84" t="s">
        <v>2686</v>
      </c>
      <c r="L297" s="84">
        <v>7</v>
      </c>
      <c r="M297" s="84" t="s">
        <v>2687</v>
      </c>
      <c r="N297" s="84" t="s">
        <v>2688</v>
      </c>
      <c r="O297" s="84" t="s">
        <v>2689</v>
      </c>
      <c r="P297" s="84" t="s">
        <v>200</v>
      </c>
      <c r="Q297" s="84" t="s">
        <v>162</v>
      </c>
      <c r="R297" s="83">
        <v>1</v>
      </c>
      <c r="S297" s="84" t="s">
        <v>163</v>
      </c>
      <c r="T297" s="90">
        <v>44927</v>
      </c>
      <c r="U297" s="90">
        <v>46387</v>
      </c>
      <c r="V297" s="90"/>
      <c r="W297" s="90"/>
      <c r="X297" s="90"/>
      <c r="Y297" s="90"/>
      <c r="Z297" s="83"/>
      <c r="AA297" s="83"/>
      <c r="AB297" s="83"/>
      <c r="AC297" s="83"/>
      <c r="AD297" s="83"/>
      <c r="AE297" s="83"/>
      <c r="AF297" s="83"/>
      <c r="AG297" s="83"/>
      <c r="AH297" s="83"/>
      <c r="AI297" s="83"/>
      <c r="AJ297" s="83"/>
      <c r="AK297" s="123"/>
      <c r="AL297" s="123"/>
      <c r="AM297" s="123"/>
      <c r="AN297" s="123"/>
      <c r="AO297" s="123"/>
      <c r="AP297" s="83"/>
      <c r="AQ297" s="84"/>
      <c r="AR297" s="84"/>
      <c r="AS297" s="84"/>
      <c r="AT297" s="84"/>
      <c r="AU297" s="84"/>
      <c r="AV297" s="84"/>
      <c r="AW297" s="84"/>
      <c r="AX297" s="84"/>
      <c r="AY297" s="84"/>
      <c r="AZ297" s="86"/>
      <c r="BA297" s="85"/>
      <c r="BB297" s="84"/>
      <c r="BC297" s="85"/>
      <c r="BD297" s="84"/>
      <c r="BE297" s="85"/>
      <c r="BF297" s="85"/>
      <c r="BG297" s="85"/>
      <c r="BH297" s="85"/>
      <c r="BI297" s="85"/>
      <c r="BJ297" s="86"/>
      <c r="BK297" s="85"/>
      <c r="BL297" s="86"/>
      <c r="BM297" s="85"/>
      <c r="BN297" s="86"/>
      <c r="BO297" s="85"/>
      <c r="BP297" s="86"/>
      <c r="BQ297" s="85"/>
      <c r="BR297" s="85"/>
      <c r="BS297" s="85"/>
      <c r="BT297" s="85"/>
      <c r="BU297" s="85"/>
      <c r="BV297" s="85"/>
      <c r="BW297" s="85"/>
      <c r="BX297" s="85"/>
      <c r="BY297" s="85"/>
      <c r="BZ297" s="85"/>
      <c r="CA297" s="85"/>
      <c r="CB297" s="85"/>
      <c r="CC297" s="85"/>
      <c r="CD297" s="85"/>
      <c r="CE297" s="85"/>
      <c r="CF297" s="84"/>
      <c r="CG297" s="372"/>
      <c r="CH297" s="372"/>
      <c r="CI297" s="372"/>
      <c r="CJ297" s="83" t="str">
        <f t="shared" si="75"/>
        <v>No aplica</v>
      </c>
      <c r="CK297" s="83" t="str">
        <f t="shared" si="76"/>
        <v>No aplica</v>
      </c>
      <c r="CL297" s="83" t="str">
        <f t="shared" si="79"/>
        <v>No requiere reporte</v>
      </c>
      <c r="CM297" s="89" t="str">
        <f t="shared" si="80"/>
        <v>No requiere reporte</v>
      </c>
      <c r="CN297" s="89" t="str">
        <f t="shared" si="81"/>
        <v>No requiere reporte</v>
      </c>
      <c r="CO297" s="84" t="s">
        <v>1961</v>
      </c>
      <c r="CP297" s="86" t="s">
        <v>2715</v>
      </c>
      <c r="CQ297" s="84" t="s">
        <v>2716</v>
      </c>
      <c r="CR297" s="84" t="s">
        <v>2717</v>
      </c>
      <c r="CS297" s="84" t="s">
        <v>2718</v>
      </c>
      <c r="CT297" s="84" t="s">
        <v>161</v>
      </c>
      <c r="CU297" s="84" t="s">
        <v>233</v>
      </c>
      <c r="CV297" s="84">
        <v>0</v>
      </c>
      <c r="CW297" s="84" t="s">
        <v>234</v>
      </c>
      <c r="CX297" s="90">
        <v>46296</v>
      </c>
      <c r="CY297" s="90">
        <v>46387</v>
      </c>
      <c r="CZ297" s="84">
        <v>0</v>
      </c>
      <c r="DA297" s="84">
        <v>0</v>
      </c>
      <c r="DB297" s="84">
        <v>0</v>
      </c>
      <c r="DC297" s="84">
        <v>2</v>
      </c>
      <c r="DD297" s="84">
        <v>2</v>
      </c>
      <c r="DE297" s="84" t="s">
        <v>514</v>
      </c>
      <c r="DF297" s="84" t="s">
        <v>2706</v>
      </c>
      <c r="DG297" s="84" t="s">
        <v>2707</v>
      </c>
      <c r="DH297" s="671">
        <v>1094157152</v>
      </c>
      <c r="DI297" s="84" t="s">
        <v>1633</v>
      </c>
      <c r="DJ297" s="84" t="s">
        <v>2714</v>
      </c>
      <c r="DK297" s="84" t="s">
        <v>1485</v>
      </c>
      <c r="DL297" s="84" t="s">
        <v>2581</v>
      </c>
      <c r="DM297" s="84" t="s">
        <v>201</v>
      </c>
      <c r="DN297" s="84"/>
      <c r="DO297" s="86"/>
      <c r="DP297" s="84"/>
      <c r="DQ297" s="86"/>
      <c r="DR297" s="86"/>
      <c r="DS297" s="84"/>
      <c r="DT297" s="86"/>
      <c r="DU297" s="485"/>
      <c r="DV297" s="86"/>
      <c r="DW297" s="86"/>
      <c r="DX297" s="84"/>
      <c r="DY297" s="670"/>
      <c r="DZ297" s="485"/>
      <c r="EA297" s="86"/>
      <c r="EB297" s="86"/>
      <c r="EC297" s="85"/>
      <c r="ED297" s="84"/>
      <c r="EE297" s="672"/>
      <c r="EF297" s="84"/>
      <c r="EG297" s="84"/>
      <c r="EH297" s="84"/>
      <c r="EI297" s="84"/>
      <c r="EJ297" s="84"/>
      <c r="EK297" s="84"/>
      <c r="EL297" s="91" t="str">
        <f t="shared" si="82"/>
        <v>No aplica, no hay meta</v>
      </c>
      <c r="EM297" s="83" t="str">
        <f t="shared" si="83"/>
        <v>No se reportó avance</v>
      </c>
      <c r="EN297" s="86"/>
    </row>
    <row r="298" spans="1:144" s="93" customFormat="1" ht="64.5" customHeight="1">
      <c r="A298" s="84" t="s">
        <v>2548</v>
      </c>
      <c r="B298" s="85" t="s">
        <v>2549</v>
      </c>
      <c r="C298" s="85" t="s">
        <v>2682</v>
      </c>
      <c r="D298" s="85" t="s">
        <v>2683</v>
      </c>
      <c r="E298" s="85" t="s">
        <v>2684</v>
      </c>
      <c r="F298" s="84" t="s">
        <v>154</v>
      </c>
      <c r="G298" s="84" t="s">
        <v>154</v>
      </c>
      <c r="H298" s="84" t="s">
        <v>2685</v>
      </c>
      <c r="I298" s="84" t="s">
        <v>2555</v>
      </c>
      <c r="J298" s="84" t="s">
        <v>2556</v>
      </c>
      <c r="K298" s="84" t="s">
        <v>2686</v>
      </c>
      <c r="L298" s="84">
        <v>7</v>
      </c>
      <c r="M298" s="84" t="s">
        <v>2687</v>
      </c>
      <c r="N298" s="84" t="s">
        <v>2688</v>
      </c>
      <c r="O298" s="84" t="s">
        <v>2689</v>
      </c>
      <c r="P298" s="84" t="s">
        <v>200</v>
      </c>
      <c r="Q298" s="84" t="s">
        <v>162</v>
      </c>
      <c r="R298" s="83">
        <v>1</v>
      </c>
      <c r="S298" s="84" t="s">
        <v>163</v>
      </c>
      <c r="T298" s="90">
        <v>44927</v>
      </c>
      <c r="U298" s="90">
        <v>46387</v>
      </c>
      <c r="V298" s="90"/>
      <c r="W298" s="90"/>
      <c r="X298" s="90"/>
      <c r="Y298" s="90"/>
      <c r="Z298" s="83"/>
      <c r="AA298" s="83"/>
      <c r="AB298" s="83"/>
      <c r="AC298" s="83"/>
      <c r="AD298" s="83"/>
      <c r="AE298" s="83"/>
      <c r="AF298" s="83"/>
      <c r="AG298" s="83"/>
      <c r="AH298" s="83"/>
      <c r="AI298" s="83"/>
      <c r="AJ298" s="83"/>
      <c r="AK298" s="123"/>
      <c r="AL298" s="123"/>
      <c r="AM298" s="123"/>
      <c r="AN298" s="123"/>
      <c r="AO298" s="123"/>
      <c r="AP298" s="83"/>
      <c r="AQ298" s="84"/>
      <c r="AR298" s="84"/>
      <c r="AS298" s="84"/>
      <c r="AT298" s="84"/>
      <c r="AU298" s="84"/>
      <c r="AV298" s="84"/>
      <c r="AW298" s="84"/>
      <c r="AX298" s="84"/>
      <c r="AY298" s="84"/>
      <c r="AZ298" s="86"/>
      <c r="BA298" s="85"/>
      <c r="BB298" s="84"/>
      <c r="BC298" s="85"/>
      <c r="BD298" s="84"/>
      <c r="BE298" s="85"/>
      <c r="BF298" s="85"/>
      <c r="BG298" s="85"/>
      <c r="BH298" s="85"/>
      <c r="BI298" s="85"/>
      <c r="BJ298" s="86"/>
      <c r="BK298" s="85"/>
      <c r="BL298" s="86"/>
      <c r="BM298" s="85"/>
      <c r="BN298" s="86"/>
      <c r="BO298" s="85"/>
      <c r="BP298" s="86"/>
      <c r="BQ298" s="85"/>
      <c r="BR298" s="85"/>
      <c r="BS298" s="85"/>
      <c r="BT298" s="85"/>
      <c r="BU298" s="85"/>
      <c r="BV298" s="85"/>
      <c r="BW298" s="85"/>
      <c r="BX298" s="85"/>
      <c r="BY298" s="85"/>
      <c r="BZ298" s="85"/>
      <c r="CA298" s="85"/>
      <c r="CB298" s="85"/>
      <c r="CC298" s="85"/>
      <c r="CD298" s="85"/>
      <c r="CE298" s="85"/>
      <c r="CF298" s="84"/>
      <c r="CG298" s="372"/>
      <c r="CH298" s="372"/>
      <c r="CI298" s="372"/>
      <c r="CJ298" s="83" t="str">
        <f t="shared" si="75"/>
        <v>No aplica</v>
      </c>
      <c r="CK298" s="83" t="str">
        <f t="shared" si="76"/>
        <v>No aplica</v>
      </c>
      <c r="CL298" s="83" t="str">
        <f t="shared" si="79"/>
        <v>No requiere reporte</v>
      </c>
      <c r="CM298" s="89" t="str">
        <f t="shared" si="80"/>
        <v>No requiere reporte</v>
      </c>
      <c r="CN298" s="89" t="str">
        <f t="shared" si="81"/>
        <v>No requiere reporte</v>
      </c>
      <c r="CO298" s="84" t="s">
        <v>2719</v>
      </c>
      <c r="CP298" s="86" t="s">
        <v>2720</v>
      </c>
      <c r="CQ298" s="84" t="s">
        <v>262</v>
      </c>
      <c r="CR298" s="84" t="s">
        <v>2721</v>
      </c>
      <c r="CS298" s="84" t="s">
        <v>2722</v>
      </c>
      <c r="CT298" s="84" t="s">
        <v>161</v>
      </c>
      <c r="CU298" s="84" t="s">
        <v>233</v>
      </c>
      <c r="CV298" s="84">
        <v>20</v>
      </c>
      <c r="CW298" s="84" t="s">
        <v>234</v>
      </c>
      <c r="CX298" s="90">
        <v>46113</v>
      </c>
      <c r="CY298" s="90">
        <v>46387</v>
      </c>
      <c r="CZ298" s="84">
        <v>0</v>
      </c>
      <c r="DA298" s="84">
        <v>2</v>
      </c>
      <c r="DB298" s="84">
        <v>4</v>
      </c>
      <c r="DC298" s="84">
        <v>4</v>
      </c>
      <c r="DD298" s="84">
        <v>10</v>
      </c>
      <c r="DE298" s="84" t="s">
        <v>514</v>
      </c>
      <c r="DF298" s="84" t="s">
        <v>2706</v>
      </c>
      <c r="DG298" s="84" t="s">
        <v>2707</v>
      </c>
      <c r="DH298" s="671">
        <v>92000000</v>
      </c>
      <c r="DI298" s="84" t="s">
        <v>1633</v>
      </c>
      <c r="DJ298" s="84" t="s">
        <v>2714</v>
      </c>
      <c r="DK298" s="84" t="s">
        <v>1485</v>
      </c>
      <c r="DL298" s="84" t="s">
        <v>2581</v>
      </c>
      <c r="DM298" s="84" t="s">
        <v>201</v>
      </c>
      <c r="DN298" s="84"/>
      <c r="DO298" s="86"/>
      <c r="DP298" s="84"/>
      <c r="DQ298" s="86"/>
      <c r="DR298" s="86"/>
      <c r="DS298" s="84"/>
      <c r="DT298" s="86"/>
      <c r="DU298" s="672"/>
      <c r="DV298" s="86"/>
      <c r="DW298" s="86"/>
      <c r="DX298" s="84"/>
      <c r="DY298" s="86"/>
      <c r="DZ298" s="672"/>
      <c r="EA298" s="86"/>
      <c r="EB298" s="86"/>
      <c r="EC298" s="85"/>
      <c r="ED298" s="84"/>
      <c r="EE298" s="672"/>
      <c r="EF298" s="84"/>
      <c r="EG298" s="84"/>
      <c r="EH298" s="84"/>
      <c r="EI298" s="84"/>
      <c r="EJ298" s="84"/>
      <c r="EK298" s="84"/>
      <c r="EL298" s="91" t="str">
        <f t="shared" si="82"/>
        <v>No aplica, no hay meta</v>
      </c>
      <c r="EM298" s="83" t="str">
        <f t="shared" si="83"/>
        <v>No se reportó avance</v>
      </c>
      <c r="EN298" s="86"/>
    </row>
    <row r="299" spans="1:144" s="93" customFormat="1" ht="68.25" customHeight="1">
      <c r="A299" s="84" t="s">
        <v>2548</v>
      </c>
      <c r="B299" s="85" t="s">
        <v>2549</v>
      </c>
      <c r="C299" s="85" t="s">
        <v>2682</v>
      </c>
      <c r="D299" s="85" t="s">
        <v>2683</v>
      </c>
      <c r="E299" s="85" t="s">
        <v>2684</v>
      </c>
      <c r="F299" s="84" t="s">
        <v>154</v>
      </c>
      <c r="G299" s="84" t="s">
        <v>154</v>
      </c>
      <c r="H299" s="84" t="s">
        <v>2685</v>
      </c>
      <c r="I299" s="84" t="s">
        <v>2555</v>
      </c>
      <c r="J299" s="84" t="s">
        <v>2556</v>
      </c>
      <c r="K299" s="84" t="s">
        <v>2686</v>
      </c>
      <c r="L299" s="84">
        <v>7</v>
      </c>
      <c r="M299" s="84" t="s">
        <v>2687</v>
      </c>
      <c r="N299" s="84" t="s">
        <v>2688</v>
      </c>
      <c r="O299" s="84" t="s">
        <v>2689</v>
      </c>
      <c r="P299" s="84" t="s">
        <v>200</v>
      </c>
      <c r="Q299" s="84" t="s">
        <v>162</v>
      </c>
      <c r="R299" s="83">
        <v>1</v>
      </c>
      <c r="S299" s="84" t="s">
        <v>163</v>
      </c>
      <c r="T299" s="90">
        <v>44927</v>
      </c>
      <c r="U299" s="90">
        <v>46387</v>
      </c>
      <c r="V299" s="90"/>
      <c r="W299" s="90"/>
      <c r="X299" s="90"/>
      <c r="Y299" s="90"/>
      <c r="Z299" s="83"/>
      <c r="AA299" s="83"/>
      <c r="AB299" s="83"/>
      <c r="AC299" s="83"/>
      <c r="AD299" s="83"/>
      <c r="AE299" s="83"/>
      <c r="AF299" s="83"/>
      <c r="AG299" s="83"/>
      <c r="AH299" s="83"/>
      <c r="AI299" s="83"/>
      <c r="AJ299" s="83"/>
      <c r="AK299" s="123"/>
      <c r="AL299" s="123"/>
      <c r="AM299" s="123"/>
      <c r="AN299" s="123"/>
      <c r="AO299" s="123"/>
      <c r="AP299" s="83"/>
      <c r="AQ299" s="84"/>
      <c r="AR299" s="84"/>
      <c r="AS299" s="84"/>
      <c r="AT299" s="84"/>
      <c r="AU299" s="84"/>
      <c r="AV299" s="84"/>
      <c r="AW299" s="84"/>
      <c r="AX299" s="84"/>
      <c r="AY299" s="84"/>
      <c r="AZ299" s="86"/>
      <c r="BA299" s="85"/>
      <c r="BB299" s="84"/>
      <c r="BC299" s="85"/>
      <c r="BD299" s="84"/>
      <c r="BE299" s="85"/>
      <c r="BF299" s="85"/>
      <c r="BG299" s="85"/>
      <c r="BH299" s="85"/>
      <c r="BI299" s="85"/>
      <c r="BJ299" s="86"/>
      <c r="BK299" s="85"/>
      <c r="BL299" s="86"/>
      <c r="BM299" s="85"/>
      <c r="BN299" s="86"/>
      <c r="BO299" s="85"/>
      <c r="BP299" s="86"/>
      <c r="BQ299" s="85"/>
      <c r="BR299" s="85"/>
      <c r="BS299" s="85"/>
      <c r="BT299" s="85"/>
      <c r="BU299" s="85"/>
      <c r="BV299" s="85"/>
      <c r="BW299" s="85"/>
      <c r="BX299" s="85"/>
      <c r="BY299" s="85"/>
      <c r="BZ299" s="85"/>
      <c r="CA299" s="85"/>
      <c r="CB299" s="85"/>
      <c r="CC299" s="85"/>
      <c r="CD299" s="85"/>
      <c r="CE299" s="85"/>
      <c r="CF299" s="84"/>
      <c r="CG299" s="372"/>
      <c r="CH299" s="372"/>
      <c r="CI299" s="372"/>
      <c r="CJ299" s="83" t="str">
        <f t="shared" si="75"/>
        <v>No aplica</v>
      </c>
      <c r="CK299" s="83" t="str">
        <f t="shared" si="76"/>
        <v>No aplica</v>
      </c>
      <c r="CL299" s="83" t="str">
        <f t="shared" si="79"/>
        <v>No requiere reporte</v>
      </c>
      <c r="CM299" s="89" t="str">
        <f t="shared" si="80"/>
        <v>No requiere reporte</v>
      </c>
      <c r="CN299" s="89" t="str">
        <f t="shared" si="81"/>
        <v>No requiere reporte</v>
      </c>
      <c r="CO299" s="84" t="s">
        <v>2723</v>
      </c>
      <c r="CP299" s="86" t="s">
        <v>2724</v>
      </c>
      <c r="CQ299" s="84" t="s">
        <v>2725</v>
      </c>
      <c r="CR299" s="84" t="s">
        <v>2726</v>
      </c>
      <c r="CS299" s="84" t="s">
        <v>2727</v>
      </c>
      <c r="CT299" s="84" t="s">
        <v>161</v>
      </c>
      <c r="CU299" s="84" t="s">
        <v>233</v>
      </c>
      <c r="CV299" s="84" t="s">
        <v>182</v>
      </c>
      <c r="CW299" s="84" t="s">
        <v>234</v>
      </c>
      <c r="CX299" s="90">
        <v>46113</v>
      </c>
      <c r="CY299" s="90">
        <v>46387</v>
      </c>
      <c r="CZ299" s="84">
        <v>0</v>
      </c>
      <c r="DA299" s="84">
        <v>200</v>
      </c>
      <c r="DB299" s="84">
        <v>200</v>
      </c>
      <c r="DC299" s="84">
        <v>200</v>
      </c>
      <c r="DD299" s="84">
        <v>600</v>
      </c>
      <c r="DE299" s="84" t="s">
        <v>514</v>
      </c>
      <c r="DF299" s="84" t="s">
        <v>2706</v>
      </c>
      <c r="DG299" s="84" t="s">
        <v>2707</v>
      </c>
      <c r="DH299" s="671">
        <f>1757568365-500000000</f>
        <v>1257568365</v>
      </c>
      <c r="DI299" s="84" t="s">
        <v>1633</v>
      </c>
      <c r="DJ299" s="84" t="s">
        <v>2714</v>
      </c>
      <c r="DK299" s="84" t="s">
        <v>1485</v>
      </c>
      <c r="DL299" s="84" t="s">
        <v>2581</v>
      </c>
      <c r="DM299" s="84" t="s">
        <v>201</v>
      </c>
      <c r="DN299" s="84"/>
      <c r="DO299" s="86"/>
      <c r="DP299" s="84"/>
      <c r="DQ299" s="86"/>
      <c r="DR299" s="86"/>
      <c r="DS299" s="84"/>
      <c r="DT299" s="86"/>
      <c r="DU299" s="672"/>
      <c r="DV299" s="86"/>
      <c r="DW299" s="86"/>
      <c r="DX299" s="84"/>
      <c r="DY299" s="86"/>
      <c r="DZ299" s="672"/>
      <c r="EA299" s="86"/>
      <c r="EB299" s="86"/>
      <c r="EC299" s="85"/>
      <c r="ED299" s="84"/>
      <c r="EE299" s="672"/>
      <c r="EF299" s="84"/>
      <c r="EG299" s="84"/>
      <c r="EH299" s="84"/>
      <c r="EI299" s="84"/>
      <c r="EJ299" s="84"/>
      <c r="EK299" s="84"/>
      <c r="EL299" s="91" t="str">
        <f t="shared" si="82"/>
        <v>No aplica, no hay meta</v>
      </c>
      <c r="EM299" s="83" t="str">
        <f t="shared" si="83"/>
        <v>No se reportó avance</v>
      </c>
      <c r="EN299" s="86"/>
    </row>
    <row r="300" spans="1:144" s="93" customFormat="1" ht="86.25" customHeight="1">
      <c r="A300" s="74" t="s">
        <v>2548</v>
      </c>
      <c r="B300" s="75" t="s">
        <v>2549</v>
      </c>
      <c r="C300" s="75" t="s">
        <v>2682</v>
      </c>
      <c r="D300" s="75" t="s">
        <v>2683</v>
      </c>
      <c r="E300" s="75" t="s">
        <v>2684</v>
      </c>
      <c r="F300" s="74" t="s">
        <v>154</v>
      </c>
      <c r="G300" s="74" t="s">
        <v>154</v>
      </c>
      <c r="H300" s="74" t="s">
        <v>2685</v>
      </c>
      <c r="I300" s="74" t="s">
        <v>2555</v>
      </c>
      <c r="J300" s="74" t="s">
        <v>2556</v>
      </c>
      <c r="K300" s="74" t="s">
        <v>2686</v>
      </c>
      <c r="L300" s="78">
        <v>8</v>
      </c>
      <c r="M300" s="78" t="s">
        <v>2728</v>
      </c>
      <c r="N300" s="78" t="s">
        <v>2729</v>
      </c>
      <c r="O300" s="78" t="s">
        <v>2559</v>
      </c>
      <c r="P300" s="78" t="s">
        <v>200</v>
      </c>
      <c r="Q300" s="78" t="s">
        <v>162</v>
      </c>
      <c r="R300" s="82">
        <v>1</v>
      </c>
      <c r="S300" s="78" t="s">
        <v>163</v>
      </c>
      <c r="T300" s="80">
        <v>44927</v>
      </c>
      <c r="U300" s="80">
        <v>46387</v>
      </c>
      <c r="V300" s="81"/>
      <c r="W300" s="81"/>
      <c r="X300" s="81"/>
      <c r="Y300" s="81"/>
      <c r="Z300" s="82">
        <v>1</v>
      </c>
      <c r="AA300" s="121">
        <v>1</v>
      </c>
      <c r="AB300" s="121">
        <v>1</v>
      </c>
      <c r="AC300" s="121">
        <v>1</v>
      </c>
      <c r="AD300" s="121">
        <v>1</v>
      </c>
      <c r="AE300" s="82">
        <v>1</v>
      </c>
      <c r="AF300" s="82">
        <v>1</v>
      </c>
      <c r="AG300" s="82">
        <v>1</v>
      </c>
      <c r="AH300" s="82">
        <v>1</v>
      </c>
      <c r="AI300" s="82">
        <v>1</v>
      </c>
      <c r="AJ300" s="82">
        <v>1</v>
      </c>
      <c r="AK300" s="121">
        <v>1</v>
      </c>
      <c r="AL300" s="121">
        <v>1</v>
      </c>
      <c r="AM300" s="121">
        <v>1</v>
      </c>
      <c r="AN300" s="121">
        <v>1</v>
      </c>
      <c r="AO300" s="82">
        <v>1</v>
      </c>
      <c r="AP300" s="82">
        <v>1</v>
      </c>
      <c r="AQ300" s="83">
        <v>0.93500000000000005</v>
      </c>
      <c r="AR300" s="84" t="s">
        <v>2730</v>
      </c>
      <c r="AS300" s="83">
        <v>1.49</v>
      </c>
      <c r="AT300" s="84" t="s">
        <v>2731</v>
      </c>
      <c r="AU300" s="83">
        <v>0.99</v>
      </c>
      <c r="AV300" s="84" t="s">
        <v>2732</v>
      </c>
      <c r="AW300" s="83">
        <v>0.98</v>
      </c>
      <c r="AX300" s="84" t="s">
        <v>2733</v>
      </c>
      <c r="AY300" s="83">
        <v>0.99</v>
      </c>
      <c r="AZ300" s="86" t="s">
        <v>2734</v>
      </c>
      <c r="BA300" s="85">
        <v>0.71</v>
      </c>
      <c r="BB300" s="84" t="s">
        <v>2735</v>
      </c>
      <c r="BC300" s="85">
        <v>0.93</v>
      </c>
      <c r="BD300" s="84"/>
      <c r="BE300" s="85">
        <v>0.93</v>
      </c>
      <c r="BF300" s="85" t="s">
        <v>2736</v>
      </c>
      <c r="BG300" s="85">
        <v>1</v>
      </c>
      <c r="BH300" s="85" t="s">
        <v>2737</v>
      </c>
      <c r="BI300" s="85">
        <v>1</v>
      </c>
      <c r="BJ300" s="86" t="s">
        <v>2738</v>
      </c>
      <c r="BK300" s="85">
        <f>+(99/100)/1</f>
        <v>0.99</v>
      </c>
      <c r="BL300" s="86" t="s">
        <v>2739</v>
      </c>
      <c r="BM300" s="83">
        <f>(148+147+124)/(152+159+129)</f>
        <v>0.95227272727272727</v>
      </c>
      <c r="BN300" s="86" t="s">
        <v>2740</v>
      </c>
      <c r="BO300" s="83">
        <f>(99/100+0/5)/2</f>
        <v>0.495</v>
      </c>
      <c r="BP300" s="86" t="s">
        <v>2741</v>
      </c>
      <c r="BQ300" s="85"/>
      <c r="BR300" s="85"/>
      <c r="BS300" s="83">
        <f>+BO300</f>
        <v>0.495</v>
      </c>
      <c r="BT300" s="85"/>
      <c r="BU300" s="85"/>
      <c r="BV300" s="85"/>
      <c r="BW300" s="85"/>
      <c r="BX300" s="85"/>
      <c r="BY300" s="85"/>
      <c r="BZ300" s="85"/>
      <c r="CA300" s="85"/>
      <c r="CB300" s="85"/>
      <c r="CC300" s="85"/>
      <c r="CD300" s="85"/>
      <c r="CE300" s="83">
        <f>+BS300</f>
        <v>0.495</v>
      </c>
      <c r="CF300" s="84"/>
      <c r="CG300" s="372">
        <f>SUM(DH300:DH301)</f>
        <v>416926600</v>
      </c>
      <c r="CH300" s="372"/>
      <c r="CI300" s="372"/>
      <c r="CJ300" s="83">
        <f t="shared" si="75"/>
        <v>0</v>
      </c>
      <c r="CK300" s="83">
        <f t="shared" si="76"/>
        <v>0</v>
      </c>
      <c r="CL300" s="83" t="str">
        <f t="shared" si="79"/>
        <v>No se reportó avance</v>
      </c>
      <c r="CM300" s="89" t="str">
        <f t="shared" si="80"/>
        <v>No se reportó avance</v>
      </c>
      <c r="CN300" s="89">
        <f t="shared" si="81"/>
        <v>0.495</v>
      </c>
      <c r="CO300" s="84" t="s">
        <v>2742</v>
      </c>
      <c r="CP300" s="86" t="s">
        <v>2743</v>
      </c>
      <c r="CQ300" s="84" t="s">
        <v>2590</v>
      </c>
      <c r="CR300" s="84" t="s">
        <v>2744</v>
      </c>
      <c r="CS300" s="84" t="s">
        <v>2745</v>
      </c>
      <c r="CT300" s="84" t="s">
        <v>200</v>
      </c>
      <c r="CU300" s="84" t="s">
        <v>162</v>
      </c>
      <c r="CV300" s="85">
        <v>1</v>
      </c>
      <c r="CW300" s="84" t="s">
        <v>163</v>
      </c>
      <c r="CX300" s="90">
        <v>46023</v>
      </c>
      <c r="CY300" s="90">
        <v>46387</v>
      </c>
      <c r="CZ300" s="146">
        <v>1</v>
      </c>
      <c r="DA300" s="146">
        <v>1</v>
      </c>
      <c r="DB300" s="146">
        <v>1</v>
      </c>
      <c r="DC300" s="146">
        <v>1</v>
      </c>
      <c r="DD300" s="146">
        <v>1</v>
      </c>
      <c r="DE300" s="84" t="s">
        <v>514</v>
      </c>
      <c r="DF300" s="84" t="s">
        <v>2706</v>
      </c>
      <c r="DG300" s="84" t="s">
        <v>2707</v>
      </c>
      <c r="DH300" s="671">
        <v>200676600</v>
      </c>
      <c r="DI300" s="84" t="s">
        <v>1633</v>
      </c>
      <c r="DJ300" s="84" t="s">
        <v>480</v>
      </c>
      <c r="DK300" s="84" t="s">
        <v>2746</v>
      </c>
      <c r="DL300" s="84" t="s">
        <v>2581</v>
      </c>
      <c r="DM300" s="84" t="s">
        <v>201</v>
      </c>
      <c r="DN300" s="85"/>
      <c r="DO300" s="86"/>
      <c r="DP300" s="84"/>
      <c r="DQ300" s="86"/>
      <c r="DR300" s="86"/>
      <c r="DS300" s="83"/>
      <c r="DT300" s="86"/>
      <c r="DU300" s="485"/>
      <c r="DV300" s="86"/>
      <c r="DW300" s="86"/>
      <c r="DX300" s="83"/>
      <c r="DY300" s="86"/>
      <c r="DZ300" s="485"/>
      <c r="EA300" s="86"/>
      <c r="EB300" s="86"/>
      <c r="EC300" s="85"/>
      <c r="ED300" s="84"/>
      <c r="EE300" s="672"/>
      <c r="EF300" s="84"/>
      <c r="EG300" s="84"/>
      <c r="EH300" s="83"/>
      <c r="EI300" s="84"/>
      <c r="EJ300" s="84"/>
      <c r="EK300" s="84"/>
      <c r="EL300" s="91" t="str">
        <f t="shared" si="82"/>
        <v>No se reportó avance</v>
      </c>
      <c r="EM300" s="83" t="str">
        <f t="shared" si="83"/>
        <v>No se reportó avance</v>
      </c>
      <c r="EN300" s="86" t="s">
        <v>2747</v>
      </c>
    </row>
    <row r="301" spans="1:144" s="93" customFormat="1" ht="73.5" customHeight="1">
      <c r="A301" s="84" t="s">
        <v>2548</v>
      </c>
      <c r="B301" s="85" t="s">
        <v>2549</v>
      </c>
      <c r="C301" s="85" t="s">
        <v>2682</v>
      </c>
      <c r="D301" s="85" t="s">
        <v>2683</v>
      </c>
      <c r="E301" s="85" t="s">
        <v>2684</v>
      </c>
      <c r="F301" s="84" t="s">
        <v>154</v>
      </c>
      <c r="G301" s="84" t="s">
        <v>154</v>
      </c>
      <c r="H301" s="84" t="s">
        <v>2685</v>
      </c>
      <c r="I301" s="84" t="s">
        <v>2555</v>
      </c>
      <c r="J301" s="84" t="s">
        <v>2556</v>
      </c>
      <c r="K301" s="84" t="s">
        <v>2686</v>
      </c>
      <c r="L301" s="84">
        <v>8</v>
      </c>
      <c r="M301" s="84" t="s">
        <v>2728</v>
      </c>
      <c r="N301" s="84" t="s">
        <v>2729</v>
      </c>
      <c r="O301" s="84" t="s">
        <v>2559</v>
      </c>
      <c r="P301" s="84" t="s">
        <v>200</v>
      </c>
      <c r="Q301" s="84" t="s">
        <v>162</v>
      </c>
      <c r="R301" s="83">
        <v>1</v>
      </c>
      <c r="S301" s="84" t="s">
        <v>163</v>
      </c>
      <c r="T301" s="90">
        <v>44927</v>
      </c>
      <c r="U301" s="90">
        <v>46387</v>
      </c>
      <c r="V301" s="90"/>
      <c r="W301" s="90"/>
      <c r="X301" s="90"/>
      <c r="Y301" s="90"/>
      <c r="Z301" s="83"/>
      <c r="AA301" s="83"/>
      <c r="AB301" s="83"/>
      <c r="AC301" s="83"/>
      <c r="AD301" s="83"/>
      <c r="AE301" s="83"/>
      <c r="AF301" s="83"/>
      <c r="AG301" s="83"/>
      <c r="AH301" s="83"/>
      <c r="AI301" s="83"/>
      <c r="AJ301" s="83"/>
      <c r="AK301" s="123"/>
      <c r="AL301" s="123"/>
      <c r="AM301" s="123"/>
      <c r="AN301" s="123"/>
      <c r="AO301" s="123"/>
      <c r="AP301" s="83"/>
      <c r="AQ301" s="84"/>
      <c r="AR301" s="84"/>
      <c r="AS301" s="84"/>
      <c r="AT301" s="84"/>
      <c r="AU301" s="84"/>
      <c r="AV301" s="84"/>
      <c r="AW301" s="84"/>
      <c r="AX301" s="84"/>
      <c r="AY301" s="84"/>
      <c r="AZ301" s="86"/>
      <c r="BA301" s="85"/>
      <c r="BB301" s="84"/>
      <c r="BC301" s="85"/>
      <c r="BD301" s="84"/>
      <c r="BE301" s="85"/>
      <c r="BF301" s="85"/>
      <c r="BG301" s="85"/>
      <c r="BH301" s="85"/>
      <c r="BI301" s="85"/>
      <c r="BJ301" s="86"/>
      <c r="BK301" s="85"/>
      <c r="BL301" s="86"/>
      <c r="BM301" s="85"/>
      <c r="BN301" s="86"/>
      <c r="BO301" s="85"/>
      <c r="BP301" s="86"/>
      <c r="BQ301" s="85"/>
      <c r="BR301" s="85"/>
      <c r="BS301" s="85"/>
      <c r="BT301" s="85"/>
      <c r="BU301" s="85"/>
      <c r="BV301" s="85"/>
      <c r="BW301" s="85"/>
      <c r="BX301" s="85"/>
      <c r="BY301" s="85"/>
      <c r="BZ301" s="85"/>
      <c r="CA301" s="85"/>
      <c r="CB301" s="85"/>
      <c r="CC301" s="85"/>
      <c r="CD301" s="85"/>
      <c r="CE301" s="85"/>
      <c r="CF301" s="84"/>
      <c r="CG301" s="372"/>
      <c r="CH301" s="372"/>
      <c r="CI301" s="372"/>
      <c r="CJ301" s="83" t="str">
        <f t="shared" ref="CJ301:CJ324" si="84">+IFERROR(CH301/CG301,"No aplica")</f>
        <v>No aplica</v>
      </c>
      <c r="CK301" s="83" t="str">
        <f t="shared" ref="CK301:CK324" si="85">+IFERROR(CI301/CG301,"No aplica")</f>
        <v>No aplica</v>
      </c>
      <c r="CL301" s="83" t="str">
        <f t="shared" si="79"/>
        <v>No requiere reporte</v>
      </c>
      <c r="CM301" s="89" t="str">
        <f t="shared" si="80"/>
        <v>No requiere reporte</v>
      </c>
      <c r="CN301" s="89" t="str">
        <f t="shared" si="81"/>
        <v>No requiere reporte</v>
      </c>
      <c r="CO301" s="84" t="s">
        <v>2748</v>
      </c>
      <c r="CP301" s="86" t="s">
        <v>2749</v>
      </c>
      <c r="CQ301" s="84" t="s">
        <v>1017</v>
      </c>
      <c r="CR301" s="84" t="s">
        <v>2750</v>
      </c>
      <c r="CS301" s="84" t="s">
        <v>2751</v>
      </c>
      <c r="CT301" s="84" t="s">
        <v>161</v>
      </c>
      <c r="CU301" s="84" t="s">
        <v>233</v>
      </c>
      <c r="CV301" s="84">
        <v>10</v>
      </c>
      <c r="CW301" s="84" t="s">
        <v>234</v>
      </c>
      <c r="CX301" s="90">
        <v>46204</v>
      </c>
      <c r="CY301" s="90">
        <v>46387</v>
      </c>
      <c r="CZ301" s="84">
        <v>0</v>
      </c>
      <c r="DA301" s="84">
        <v>0</v>
      </c>
      <c r="DB301" s="84">
        <v>2</v>
      </c>
      <c r="DC301" s="84">
        <v>3</v>
      </c>
      <c r="DD301" s="84">
        <v>5</v>
      </c>
      <c r="DE301" s="84" t="s">
        <v>514</v>
      </c>
      <c r="DF301" s="84" t="s">
        <v>2706</v>
      </c>
      <c r="DG301" s="84" t="s">
        <v>2707</v>
      </c>
      <c r="DH301" s="671">
        <v>216250000</v>
      </c>
      <c r="DI301" s="84" t="s">
        <v>1633</v>
      </c>
      <c r="DJ301" s="84" t="s">
        <v>182</v>
      </c>
      <c r="DK301" s="84" t="s">
        <v>182</v>
      </c>
      <c r="DL301" s="84" t="s">
        <v>2581</v>
      </c>
      <c r="DM301" s="84" t="s">
        <v>201</v>
      </c>
      <c r="DN301" s="84"/>
      <c r="DO301" s="86"/>
      <c r="DP301" s="84"/>
      <c r="DQ301" s="86"/>
      <c r="DR301" s="86"/>
      <c r="DS301" s="84"/>
      <c r="DT301" s="843"/>
      <c r="DU301" s="672"/>
      <c r="DV301" s="86"/>
      <c r="DW301" s="86"/>
      <c r="DX301" s="84"/>
      <c r="DY301" s="844"/>
      <c r="DZ301" s="672"/>
      <c r="EA301" s="86"/>
      <c r="EB301" s="86"/>
      <c r="EC301" s="85"/>
      <c r="ED301" s="84"/>
      <c r="EE301" s="672"/>
      <c r="EF301" s="84"/>
      <c r="EG301" s="84"/>
      <c r="EH301" s="84"/>
      <c r="EI301" s="84"/>
      <c r="EJ301" s="84"/>
      <c r="EK301" s="84"/>
      <c r="EL301" s="91" t="str">
        <f t="shared" si="82"/>
        <v>No aplica, no hay meta</v>
      </c>
      <c r="EM301" s="83" t="str">
        <f t="shared" si="83"/>
        <v>No se reportó avance</v>
      </c>
      <c r="EN301" s="86"/>
    </row>
    <row r="302" spans="1:144" s="93" customFormat="1" ht="69.75" customHeight="1">
      <c r="A302" s="74" t="s">
        <v>2548</v>
      </c>
      <c r="B302" s="75" t="s">
        <v>2549</v>
      </c>
      <c r="C302" s="75" t="s">
        <v>2752</v>
      </c>
      <c r="D302" s="75" t="s">
        <v>2753</v>
      </c>
      <c r="E302" s="75" t="s">
        <v>2754</v>
      </c>
      <c r="F302" s="74" t="s">
        <v>2755</v>
      </c>
      <c r="G302" s="74" t="s">
        <v>154</v>
      </c>
      <c r="H302" s="74" t="s">
        <v>2685</v>
      </c>
      <c r="I302" s="74" t="s">
        <v>2555</v>
      </c>
      <c r="J302" s="74" t="s">
        <v>2556</v>
      </c>
      <c r="K302" s="74" t="s">
        <v>2686</v>
      </c>
      <c r="L302" s="78">
        <v>9</v>
      </c>
      <c r="M302" s="78" t="s">
        <v>2756</v>
      </c>
      <c r="N302" s="78" t="s">
        <v>2757</v>
      </c>
      <c r="O302" s="78" t="s">
        <v>2559</v>
      </c>
      <c r="P302" s="78" t="s">
        <v>161</v>
      </c>
      <c r="Q302" s="78" t="s">
        <v>162</v>
      </c>
      <c r="R302" s="82">
        <v>1</v>
      </c>
      <c r="S302" s="78" t="s">
        <v>163</v>
      </c>
      <c r="T302" s="80">
        <v>44927</v>
      </c>
      <c r="U302" s="80">
        <v>46387</v>
      </c>
      <c r="V302" s="81"/>
      <c r="W302" s="81"/>
      <c r="X302" s="81"/>
      <c r="Y302" s="81"/>
      <c r="Z302" s="82">
        <v>1</v>
      </c>
      <c r="AA302" s="121">
        <v>1</v>
      </c>
      <c r="AB302" s="121">
        <v>1</v>
      </c>
      <c r="AC302" s="121">
        <v>1</v>
      </c>
      <c r="AD302" s="121">
        <v>1</v>
      </c>
      <c r="AE302" s="82">
        <v>1</v>
      </c>
      <c r="AF302" s="82">
        <v>1</v>
      </c>
      <c r="AG302" s="82">
        <v>1</v>
      </c>
      <c r="AH302" s="82">
        <v>1</v>
      </c>
      <c r="AI302" s="82">
        <v>1</v>
      </c>
      <c r="AJ302" s="82">
        <v>1</v>
      </c>
      <c r="AK302" s="121">
        <v>1</v>
      </c>
      <c r="AL302" s="121">
        <v>1</v>
      </c>
      <c r="AM302" s="121">
        <v>1</v>
      </c>
      <c r="AN302" s="121">
        <v>1</v>
      </c>
      <c r="AO302" s="82">
        <v>1</v>
      </c>
      <c r="AP302" s="82">
        <v>1</v>
      </c>
      <c r="AQ302" s="83">
        <v>0.66</v>
      </c>
      <c r="AR302" s="84" t="s">
        <v>2758</v>
      </c>
      <c r="AS302" s="83">
        <v>1.39</v>
      </c>
      <c r="AT302" s="84" t="s">
        <v>2759</v>
      </c>
      <c r="AU302" s="83">
        <v>0</v>
      </c>
      <c r="AV302" s="84" t="s">
        <v>2760</v>
      </c>
      <c r="AW302" s="83">
        <v>1</v>
      </c>
      <c r="AX302" s="84" t="s">
        <v>2761</v>
      </c>
      <c r="AY302" s="83">
        <v>0.87</v>
      </c>
      <c r="AZ302" s="86" t="s">
        <v>2762</v>
      </c>
      <c r="BA302" s="85">
        <v>1</v>
      </c>
      <c r="BB302" s="84" t="s">
        <v>2763</v>
      </c>
      <c r="BC302" s="85">
        <v>1</v>
      </c>
      <c r="BD302" s="84" t="s">
        <v>2764</v>
      </c>
      <c r="BE302" s="85">
        <v>0.5</v>
      </c>
      <c r="BF302" s="85" t="s">
        <v>2765</v>
      </c>
      <c r="BG302" s="85">
        <v>0.5</v>
      </c>
      <c r="BH302" s="85" t="s">
        <v>2766</v>
      </c>
      <c r="BI302" s="85">
        <v>0.5</v>
      </c>
      <c r="BJ302" s="86" t="s">
        <v>2767</v>
      </c>
      <c r="BK302" s="85">
        <f>+(1/1)</f>
        <v>1</v>
      </c>
      <c r="BL302" s="86" t="s">
        <v>2768</v>
      </c>
      <c r="BM302" s="83">
        <f>+(1/1)</f>
        <v>1</v>
      </c>
      <c r="BN302" s="86" t="s">
        <v>2769</v>
      </c>
      <c r="BO302" s="83">
        <f>(1/1)</f>
        <v>1</v>
      </c>
      <c r="BP302" s="670" t="s">
        <v>2770</v>
      </c>
      <c r="BQ302" s="85"/>
      <c r="BR302" s="85"/>
      <c r="BS302" s="83">
        <f>+BO302</f>
        <v>1</v>
      </c>
      <c r="BT302" s="85"/>
      <c r="BU302" s="85"/>
      <c r="BV302" s="85"/>
      <c r="BW302" s="85"/>
      <c r="BX302" s="85"/>
      <c r="BY302" s="85"/>
      <c r="BZ302" s="85"/>
      <c r="CA302" s="85"/>
      <c r="CB302" s="85"/>
      <c r="CC302" s="85"/>
      <c r="CD302" s="85"/>
      <c r="CE302" s="83">
        <f>+BS302</f>
        <v>1</v>
      </c>
      <c r="CF302" s="84"/>
      <c r="CG302" s="372">
        <f>SUM(DH302:DH303)</f>
        <v>286259500</v>
      </c>
      <c r="CH302" s="372"/>
      <c r="CI302" s="372"/>
      <c r="CJ302" s="83">
        <f t="shared" si="84"/>
        <v>0</v>
      </c>
      <c r="CK302" s="83">
        <f t="shared" si="85"/>
        <v>0</v>
      </c>
      <c r="CL302" s="83" t="str">
        <f t="shared" si="79"/>
        <v>No se reportó avance</v>
      </c>
      <c r="CM302" s="89" t="str">
        <f t="shared" si="80"/>
        <v>No se reportó avance</v>
      </c>
      <c r="CN302" s="89">
        <f t="shared" si="81"/>
        <v>1</v>
      </c>
      <c r="CO302" s="84">
        <v>9.1</v>
      </c>
      <c r="CP302" s="86" t="s">
        <v>2771</v>
      </c>
      <c r="CQ302" s="84" t="s">
        <v>2772</v>
      </c>
      <c r="CR302" s="84" t="s">
        <v>2773</v>
      </c>
      <c r="CS302" s="84" t="s">
        <v>2774</v>
      </c>
      <c r="CT302" s="84" t="s">
        <v>161</v>
      </c>
      <c r="CU302" s="84" t="s">
        <v>233</v>
      </c>
      <c r="CV302" s="84" t="s">
        <v>182</v>
      </c>
      <c r="CW302" s="84" t="s">
        <v>234</v>
      </c>
      <c r="CX302" s="90">
        <v>46113</v>
      </c>
      <c r="CY302" s="90">
        <v>46387</v>
      </c>
      <c r="CZ302" s="84">
        <v>0</v>
      </c>
      <c r="DA302" s="84">
        <v>2</v>
      </c>
      <c r="DB302" s="84">
        <v>3</v>
      </c>
      <c r="DC302" s="84">
        <v>2</v>
      </c>
      <c r="DD302" s="84">
        <v>7</v>
      </c>
      <c r="DE302" s="84" t="s">
        <v>514</v>
      </c>
      <c r="DF302" s="84" t="s">
        <v>2706</v>
      </c>
      <c r="DG302" s="84" t="s">
        <v>2707</v>
      </c>
      <c r="DH302" s="671">
        <v>95095000</v>
      </c>
      <c r="DI302" s="84" t="s">
        <v>1633</v>
      </c>
      <c r="DJ302" s="84" t="s">
        <v>182</v>
      </c>
      <c r="DK302" s="84" t="s">
        <v>182</v>
      </c>
      <c r="DL302" s="84" t="s">
        <v>2581</v>
      </c>
      <c r="DM302" s="84" t="s">
        <v>201</v>
      </c>
      <c r="DN302" s="84"/>
      <c r="DO302" s="86"/>
      <c r="DP302" s="84"/>
      <c r="DQ302" s="86"/>
      <c r="DR302" s="86"/>
      <c r="DS302" s="84"/>
      <c r="DT302" s="86"/>
      <c r="DU302" s="490"/>
      <c r="DV302" s="86"/>
      <c r="DW302" s="86"/>
      <c r="DX302" s="84"/>
      <c r="DY302" s="86"/>
      <c r="DZ302" s="490"/>
      <c r="EA302" s="86"/>
      <c r="EB302" s="86"/>
      <c r="EC302" s="85"/>
      <c r="ED302" s="84"/>
      <c r="EE302" s="672"/>
      <c r="EF302" s="84"/>
      <c r="EG302" s="84"/>
      <c r="EH302" s="84"/>
      <c r="EI302" s="84"/>
      <c r="EJ302" s="84"/>
      <c r="EK302" s="84"/>
      <c r="EL302" s="91" t="str">
        <f t="shared" si="82"/>
        <v>No aplica, no hay meta</v>
      </c>
      <c r="EM302" s="83" t="str">
        <f t="shared" si="83"/>
        <v>No se reportó avance</v>
      </c>
      <c r="EN302" s="86" t="s">
        <v>2583</v>
      </c>
    </row>
    <row r="303" spans="1:144" s="306" customFormat="1" ht="69.75" customHeight="1">
      <c r="A303" s="84" t="s">
        <v>2548</v>
      </c>
      <c r="B303" s="85" t="s">
        <v>2549</v>
      </c>
      <c r="C303" s="85" t="s">
        <v>2752</v>
      </c>
      <c r="D303" s="85" t="s">
        <v>2753</v>
      </c>
      <c r="E303" s="85" t="s">
        <v>2754</v>
      </c>
      <c r="F303" s="84" t="s">
        <v>2755</v>
      </c>
      <c r="G303" s="84" t="s">
        <v>154</v>
      </c>
      <c r="H303" s="84" t="s">
        <v>2685</v>
      </c>
      <c r="I303" s="84" t="s">
        <v>2555</v>
      </c>
      <c r="J303" s="84" t="s">
        <v>2556</v>
      </c>
      <c r="K303" s="84" t="s">
        <v>2686</v>
      </c>
      <c r="L303" s="690">
        <v>9</v>
      </c>
      <c r="M303" s="690" t="s">
        <v>2756</v>
      </c>
      <c r="N303" s="690" t="s">
        <v>2757</v>
      </c>
      <c r="O303" s="690" t="s">
        <v>2559</v>
      </c>
      <c r="P303" s="690" t="s">
        <v>161</v>
      </c>
      <c r="Q303" s="690" t="s">
        <v>162</v>
      </c>
      <c r="R303" s="488">
        <v>1</v>
      </c>
      <c r="S303" s="690" t="s">
        <v>163</v>
      </c>
      <c r="T303" s="691">
        <v>44927</v>
      </c>
      <c r="U303" s="691">
        <v>46387</v>
      </c>
      <c r="V303" s="90"/>
      <c r="W303" s="90"/>
      <c r="X303" s="90"/>
      <c r="Y303" s="90"/>
      <c r="Z303" s="488"/>
      <c r="AA303" s="83"/>
      <c r="AB303" s="83"/>
      <c r="AC303" s="83"/>
      <c r="AD303" s="83"/>
      <c r="AE303" s="488"/>
      <c r="AF303" s="488"/>
      <c r="AG303" s="488"/>
      <c r="AH303" s="488"/>
      <c r="AI303" s="488"/>
      <c r="AJ303" s="488"/>
      <c r="AK303" s="123"/>
      <c r="AL303" s="123"/>
      <c r="AM303" s="123"/>
      <c r="AN303" s="123"/>
      <c r="AO303" s="489"/>
      <c r="AP303" s="488"/>
      <c r="AQ303" s="83"/>
      <c r="AR303" s="84"/>
      <c r="AS303" s="83"/>
      <c r="AT303" s="84"/>
      <c r="AU303" s="83"/>
      <c r="AV303" s="84"/>
      <c r="AW303" s="83"/>
      <c r="AX303" s="84"/>
      <c r="AY303" s="83"/>
      <c r="AZ303" s="86"/>
      <c r="BA303" s="85"/>
      <c r="BB303" s="84"/>
      <c r="BC303" s="85"/>
      <c r="BD303" s="84"/>
      <c r="BE303" s="85"/>
      <c r="BF303" s="85"/>
      <c r="BG303" s="85"/>
      <c r="BH303" s="85"/>
      <c r="BI303" s="85"/>
      <c r="BJ303" s="86"/>
      <c r="BK303" s="85"/>
      <c r="BL303" s="86"/>
      <c r="BM303" s="83"/>
      <c r="BN303" s="86"/>
      <c r="BO303" s="83"/>
      <c r="BP303" s="670"/>
      <c r="BQ303" s="85"/>
      <c r="BR303" s="85"/>
      <c r="BS303" s="83"/>
      <c r="BT303" s="85"/>
      <c r="BU303" s="85"/>
      <c r="BV303" s="85"/>
      <c r="BW303" s="85"/>
      <c r="BX303" s="85"/>
      <c r="BY303" s="85"/>
      <c r="BZ303" s="85"/>
      <c r="CA303" s="85"/>
      <c r="CB303" s="85"/>
      <c r="CC303" s="85"/>
      <c r="CD303" s="85"/>
      <c r="CE303" s="83"/>
      <c r="CF303" s="84"/>
      <c r="CG303" s="372"/>
      <c r="CH303" s="372"/>
      <c r="CI303" s="372"/>
      <c r="CJ303" s="83"/>
      <c r="CK303" s="83"/>
      <c r="CL303" s="83" t="str">
        <f t="shared" si="79"/>
        <v>No requiere reporte</v>
      </c>
      <c r="CM303" s="89" t="str">
        <f t="shared" si="80"/>
        <v>No requiere reporte</v>
      </c>
      <c r="CN303" s="89" t="str">
        <f t="shared" si="81"/>
        <v>No requiere reporte</v>
      </c>
      <c r="CO303" s="84">
        <v>9.1999999999999993</v>
      </c>
      <c r="CP303" s="86" t="s">
        <v>2775</v>
      </c>
      <c r="CQ303" s="84" t="s">
        <v>2776</v>
      </c>
      <c r="CR303" s="84" t="s">
        <v>2777</v>
      </c>
      <c r="CS303" s="84" t="s">
        <v>2778</v>
      </c>
      <c r="CT303" s="84" t="s">
        <v>200</v>
      </c>
      <c r="CU303" s="84" t="s">
        <v>162</v>
      </c>
      <c r="CV303" s="84" t="s">
        <v>182</v>
      </c>
      <c r="CW303" s="84" t="s">
        <v>163</v>
      </c>
      <c r="CX303" s="90">
        <v>46023</v>
      </c>
      <c r="CY303" s="90">
        <v>46387</v>
      </c>
      <c r="CZ303" s="146">
        <v>1</v>
      </c>
      <c r="DA303" s="146">
        <v>1</v>
      </c>
      <c r="DB303" s="146">
        <v>1</v>
      </c>
      <c r="DC303" s="146">
        <v>1</v>
      </c>
      <c r="DD303" s="146">
        <v>1</v>
      </c>
      <c r="DE303" s="84" t="s">
        <v>514</v>
      </c>
      <c r="DF303" s="84" t="s">
        <v>2706</v>
      </c>
      <c r="DG303" s="84" t="s">
        <v>2707</v>
      </c>
      <c r="DH303" s="671">
        <v>191164500</v>
      </c>
      <c r="DI303" s="84" t="s">
        <v>1633</v>
      </c>
      <c r="DJ303" s="84" t="s">
        <v>182</v>
      </c>
      <c r="DK303" s="84" t="s">
        <v>182</v>
      </c>
      <c r="DL303" s="84" t="s">
        <v>2581</v>
      </c>
      <c r="DM303" s="84" t="s">
        <v>201</v>
      </c>
      <c r="DN303" s="84"/>
      <c r="DO303" s="86"/>
      <c r="DP303" s="84"/>
      <c r="DQ303" s="86"/>
      <c r="DR303" s="86"/>
      <c r="DS303" s="84"/>
      <c r="DT303" s="86"/>
      <c r="DU303" s="490"/>
      <c r="DV303" s="86"/>
      <c r="DW303" s="86"/>
      <c r="DX303" s="84"/>
      <c r="DY303" s="86"/>
      <c r="DZ303" s="490"/>
      <c r="EA303" s="86"/>
      <c r="EB303" s="86"/>
      <c r="EC303" s="85"/>
      <c r="ED303" s="84"/>
      <c r="EE303" s="672"/>
      <c r="EF303" s="84"/>
      <c r="EG303" s="84"/>
      <c r="EH303" s="84"/>
      <c r="EI303" s="84"/>
      <c r="EJ303" s="84"/>
      <c r="EK303" s="84"/>
      <c r="EL303" s="91" t="str">
        <f t="shared" si="82"/>
        <v>No se reportó avance</v>
      </c>
      <c r="EM303" s="83" t="str">
        <f t="shared" si="83"/>
        <v>No se reportó avance</v>
      </c>
      <c r="EN303" s="86"/>
    </row>
    <row r="304" spans="1:144" s="93" customFormat="1" ht="72.75" customHeight="1">
      <c r="A304" s="74" t="s">
        <v>2548</v>
      </c>
      <c r="B304" s="75" t="s">
        <v>2549</v>
      </c>
      <c r="C304" s="75" t="s">
        <v>2752</v>
      </c>
      <c r="D304" s="75" t="s">
        <v>2753</v>
      </c>
      <c r="E304" s="75" t="s">
        <v>2754</v>
      </c>
      <c r="F304" s="74" t="s">
        <v>2755</v>
      </c>
      <c r="G304" s="74" t="s">
        <v>154</v>
      </c>
      <c r="H304" s="74" t="s">
        <v>2685</v>
      </c>
      <c r="I304" s="74" t="s">
        <v>2555</v>
      </c>
      <c r="J304" s="74" t="s">
        <v>2556</v>
      </c>
      <c r="K304" s="74" t="s">
        <v>2686</v>
      </c>
      <c r="L304" s="78">
        <v>10</v>
      </c>
      <c r="M304" s="78" t="s">
        <v>2779</v>
      </c>
      <c r="N304" s="78" t="s">
        <v>2780</v>
      </c>
      <c r="O304" s="78" t="s">
        <v>2559</v>
      </c>
      <c r="P304" s="78" t="s">
        <v>200</v>
      </c>
      <c r="Q304" s="78" t="s">
        <v>162</v>
      </c>
      <c r="R304" s="82">
        <v>1</v>
      </c>
      <c r="S304" s="78" t="s">
        <v>163</v>
      </c>
      <c r="T304" s="80">
        <v>44927</v>
      </c>
      <c r="U304" s="80">
        <v>46387</v>
      </c>
      <c r="V304" s="81"/>
      <c r="W304" s="81"/>
      <c r="X304" s="81"/>
      <c r="Y304" s="81"/>
      <c r="Z304" s="82">
        <v>1</v>
      </c>
      <c r="AA304" s="121">
        <v>1</v>
      </c>
      <c r="AB304" s="121">
        <v>1</v>
      </c>
      <c r="AC304" s="121">
        <v>1</v>
      </c>
      <c r="AD304" s="121">
        <v>1</v>
      </c>
      <c r="AE304" s="82">
        <v>1</v>
      </c>
      <c r="AF304" s="82">
        <v>1</v>
      </c>
      <c r="AG304" s="82">
        <v>1</v>
      </c>
      <c r="AH304" s="82">
        <v>1</v>
      </c>
      <c r="AI304" s="82">
        <v>1</v>
      </c>
      <c r="AJ304" s="82">
        <v>1</v>
      </c>
      <c r="AK304" s="121">
        <v>1</v>
      </c>
      <c r="AL304" s="121">
        <v>1</v>
      </c>
      <c r="AM304" s="121">
        <v>1</v>
      </c>
      <c r="AN304" s="121">
        <v>1</v>
      </c>
      <c r="AO304" s="82">
        <v>1</v>
      </c>
      <c r="AP304" s="82">
        <v>1</v>
      </c>
      <c r="AQ304" s="83">
        <v>1</v>
      </c>
      <c r="AR304" s="84" t="s">
        <v>2781</v>
      </c>
      <c r="AS304" s="83">
        <v>1.6</v>
      </c>
      <c r="AT304" s="84" t="s">
        <v>2782</v>
      </c>
      <c r="AU304" s="83">
        <v>0.67</v>
      </c>
      <c r="AV304" s="84" t="s">
        <v>2783</v>
      </c>
      <c r="AW304" s="83">
        <v>0.74</v>
      </c>
      <c r="AX304" s="84" t="s">
        <v>2784</v>
      </c>
      <c r="AY304" s="83">
        <v>0.8</v>
      </c>
      <c r="AZ304" s="86" t="s">
        <v>2785</v>
      </c>
      <c r="BA304" s="85">
        <v>1</v>
      </c>
      <c r="BB304" s="84" t="s">
        <v>2786</v>
      </c>
      <c r="BC304" s="85">
        <v>0.67</v>
      </c>
      <c r="BD304" s="84" t="s">
        <v>2787</v>
      </c>
      <c r="BE304" s="85">
        <v>0.53</v>
      </c>
      <c r="BF304" s="85" t="s">
        <v>2788</v>
      </c>
      <c r="BG304" s="85">
        <v>0.4</v>
      </c>
      <c r="BH304" s="85" t="s">
        <v>2789</v>
      </c>
      <c r="BI304" s="85">
        <v>0.4</v>
      </c>
      <c r="BJ304" s="86" t="s">
        <v>2790</v>
      </c>
      <c r="BK304" s="85">
        <f>+(100/100)/1</f>
        <v>1</v>
      </c>
      <c r="BL304" s="86" t="s">
        <v>2791</v>
      </c>
      <c r="BM304" s="83">
        <f>(100/100+6/6+3/3+13/30+40/40)/5</f>
        <v>0.88666666666666671</v>
      </c>
      <c r="BN304" s="86" t="s">
        <v>2792</v>
      </c>
      <c r="BO304" s="83">
        <f>(100/100+7/7+3/3+30/30+28/40)/5</f>
        <v>0.94000000000000006</v>
      </c>
      <c r="BP304" s="670" t="s">
        <v>2793</v>
      </c>
      <c r="BQ304" s="85"/>
      <c r="BR304" s="85"/>
      <c r="BS304" s="83">
        <f>+BO304</f>
        <v>0.94000000000000006</v>
      </c>
      <c r="BT304" s="85"/>
      <c r="BU304" s="85"/>
      <c r="BV304" s="85"/>
      <c r="BW304" s="85"/>
      <c r="BX304" s="85"/>
      <c r="BY304" s="85"/>
      <c r="BZ304" s="85"/>
      <c r="CA304" s="85"/>
      <c r="CB304" s="85"/>
      <c r="CC304" s="85"/>
      <c r="CD304" s="85"/>
      <c r="CE304" s="83">
        <f>+BO304</f>
        <v>0.94000000000000006</v>
      </c>
      <c r="CF304" s="84"/>
      <c r="CG304" s="372">
        <f>SUM(DH304:DH309)</f>
        <v>1961400480</v>
      </c>
      <c r="CH304" s="372"/>
      <c r="CI304" s="372"/>
      <c r="CJ304" s="83">
        <f t="shared" si="84"/>
        <v>0</v>
      </c>
      <c r="CK304" s="83">
        <f t="shared" si="85"/>
        <v>0</v>
      </c>
      <c r="CL304" s="83" t="str">
        <f t="shared" si="79"/>
        <v>No se reportó avance</v>
      </c>
      <c r="CM304" s="89" t="str">
        <f t="shared" si="80"/>
        <v>No se reportó avance</v>
      </c>
      <c r="CN304" s="89">
        <f t="shared" si="81"/>
        <v>0.94000000000000006</v>
      </c>
      <c r="CO304" s="84" t="s">
        <v>2073</v>
      </c>
      <c r="CP304" s="86" t="s">
        <v>2794</v>
      </c>
      <c r="CQ304" s="84" t="s">
        <v>2590</v>
      </c>
      <c r="CR304" s="84" t="s">
        <v>2795</v>
      </c>
      <c r="CS304" s="84" t="s">
        <v>2796</v>
      </c>
      <c r="CT304" s="84" t="s">
        <v>200</v>
      </c>
      <c r="CU304" s="84" t="s">
        <v>162</v>
      </c>
      <c r="CV304" s="85">
        <v>1</v>
      </c>
      <c r="CW304" s="84" t="s">
        <v>163</v>
      </c>
      <c r="CX304" s="90">
        <v>46023</v>
      </c>
      <c r="CY304" s="90">
        <v>46387</v>
      </c>
      <c r="CZ304" s="146">
        <v>1</v>
      </c>
      <c r="DA304" s="146">
        <v>1</v>
      </c>
      <c r="DB304" s="146">
        <v>1</v>
      </c>
      <c r="DC304" s="146">
        <v>1</v>
      </c>
      <c r="DD304" s="146">
        <v>1</v>
      </c>
      <c r="DE304" s="84" t="s">
        <v>514</v>
      </c>
      <c r="DF304" s="84" t="s">
        <v>2706</v>
      </c>
      <c r="DG304" s="84" t="s">
        <v>2707</v>
      </c>
      <c r="DH304" s="671">
        <v>78200000</v>
      </c>
      <c r="DI304" s="84" t="s">
        <v>1633</v>
      </c>
      <c r="DJ304" s="84" t="s">
        <v>2714</v>
      </c>
      <c r="DK304" s="84" t="s">
        <v>1485</v>
      </c>
      <c r="DL304" s="84" t="s">
        <v>2581</v>
      </c>
      <c r="DM304" s="84" t="s">
        <v>201</v>
      </c>
      <c r="DN304" s="85"/>
      <c r="DO304" s="86"/>
      <c r="DP304" s="84"/>
      <c r="DQ304" s="86"/>
      <c r="DR304" s="86"/>
      <c r="DS304" s="83"/>
      <c r="DT304" s="86"/>
      <c r="DU304" s="490"/>
      <c r="DV304" s="86"/>
      <c r="DW304" s="86"/>
      <c r="DX304" s="83"/>
      <c r="DY304" s="86"/>
      <c r="DZ304" s="672"/>
      <c r="EA304" s="86"/>
      <c r="EB304" s="86"/>
      <c r="EC304" s="85"/>
      <c r="ED304" s="84"/>
      <c r="EE304" s="672"/>
      <c r="EF304" s="84"/>
      <c r="EG304" s="84"/>
      <c r="EH304" s="83"/>
      <c r="EI304" s="84"/>
      <c r="EJ304" s="84"/>
      <c r="EK304" s="84"/>
      <c r="EL304" s="91" t="str">
        <f t="shared" si="82"/>
        <v>No se reportó avance</v>
      </c>
      <c r="EM304" s="83" t="str">
        <f t="shared" si="83"/>
        <v>No se reportó avance</v>
      </c>
      <c r="EN304" s="86" t="s">
        <v>2797</v>
      </c>
    </row>
    <row r="305" spans="1:144" s="93" customFormat="1" ht="71.25" customHeight="1">
      <c r="A305" s="84" t="s">
        <v>2548</v>
      </c>
      <c r="B305" s="85" t="s">
        <v>2549</v>
      </c>
      <c r="C305" s="85" t="s">
        <v>2752</v>
      </c>
      <c r="D305" s="85" t="s">
        <v>2753</v>
      </c>
      <c r="E305" s="85" t="s">
        <v>2754</v>
      </c>
      <c r="F305" s="84" t="s">
        <v>2755</v>
      </c>
      <c r="G305" s="84" t="s">
        <v>154</v>
      </c>
      <c r="H305" s="84" t="s">
        <v>2685</v>
      </c>
      <c r="I305" s="84" t="s">
        <v>2555</v>
      </c>
      <c r="J305" s="84" t="s">
        <v>2556</v>
      </c>
      <c r="K305" s="84" t="s">
        <v>2686</v>
      </c>
      <c r="L305" s="84">
        <v>10</v>
      </c>
      <c r="M305" s="84" t="s">
        <v>2779</v>
      </c>
      <c r="N305" s="84" t="s">
        <v>2780</v>
      </c>
      <c r="O305" s="84" t="s">
        <v>2559</v>
      </c>
      <c r="P305" s="84" t="s">
        <v>200</v>
      </c>
      <c r="Q305" s="84" t="s">
        <v>162</v>
      </c>
      <c r="R305" s="83">
        <v>1</v>
      </c>
      <c r="S305" s="84" t="s">
        <v>163</v>
      </c>
      <c r="T305" s="90">
        <v>44927</v>
      </c>
      <c r="U305" s="90">
        <v>46387</v>
      </c>
      <c r="V305" s="90"/>
      <c r="W305" s="90"/>
      <c r="X305" s="90"/>
      <c r="Y305" s="90"/>
      <c r="Z305" s="83"/>
      <c r="AA305" s="83">
        <v>1</v>
      </c>
      <c r="AB305" s="83">
        <v>1</v>
      </c>
      <c r="AC305" s="83">
        <v>1</v>
      </c>
      <c r="AD305" s="83">
        <v>1</v>
      </c>
      <c r="AE305" s="83"/>
      <c r="AF305" s="83"/>
      <c r="AG305" s="83"/>
      <c r="AH305" s="83"/>
      <c r="AI305" s="83"/>
      <c r="AJ305" s="83"/>
      <c r="AK305" s="123"/>
      <c r="AL305" s="123"/>
      <c r="AM305" s="123"/>
      <c r="AN305" s="123"/>
      <c r="AO305" s="123"/>
      <c r="AP305" s="83"/>
      <c r="AQ305" s="84"/>
      <c r="AR305" s="84"/>
      <c r="AS305" s="84"/>
      <c r="AT305" s="84"/>
      <c r="AU305" s="84"/>
      <c r="AV305" s="84"/>
      <c r="AW305" s="84"/>
      <c r="AX305" s="84"/>
      <c r="AY305" s="84"/>
      <c r="AZ305" s="86"/>
      <c r="BA305" s="85"/>
      <c r="BB305" s="84"/>
      <c r="BC305" s="85"/>
      <c r="BD305" s="84"/>
      <c r="BE305" s="85"/>
      <c r="BF305" s="85"/>
      <c r="BG305" s="85"/>
      <c r="BH305" s="85"/>
      <c r="BI305" s="85"/>
      <c r="BJ305" s="86"/>
      <c r="BK305" s="85"/>
      <c r="BL305" s="86"/>
      <c r="BM305" s="85"/>
      <c r="BN305" s="86"/>
      <c r="BO305" s="85"/>
      <c r="BP305" s="86"/>
      <c r="BQ305" s="85"/>
      <c r="BR305" s="85"/>
      <c r="BS305" s="85"/>
      <c r="BT305" s="85"/>
      <c r="BU305" s="85"/>
      <c r="BV305" s="85"/>
      <c r="BW305" s="85"/>
      <c r="BX305" s="85"/>
      <c r="BY305" s="85"/>
      <c r="BZ305" s="85"/>
      <c r="CA305" s="85"/>
      <c r="CB305" s="85"/>
      <c r="CC305" s="85"/>
      <c r="CD305" s="85"/>
      <c r="CE305" s="85"/>
      <c r="CF305" s="84"/>
      <c r="CG305" s="372"/>
      <c r="CH305" s="372"/>
      <c r="CI305" s="372"/>
      <c r="CJ305" s="83" t="str">
        <f t="shared" si="84"/>
        <v>No aplica</v>
      </c>
      <c r="CK305" s="83" t="str">
        <f t="shared" si="85"/>
        <v>No aplica</v>
      </c>
      <c r="CL305" s="83" t="str">
        <f t="shared" si="79"/>
        <v>No requiere reporte</v>
      </c>
      <c r="CM305" s="89" t="str">
        <f t="shared" si="80"/>
        <v>No requiere reporte</v>
      </c>
      <c r="CN305" s="89" t="str">
        <f t="shared" si="81"/>
        <v>No requiere reporte</v>
      </c>
      <c r="CO305" s="84" t="s">
        <v>2078</v>
      </c>
      <c r="CP305" s="86" t="s">
        <v>2798</v>
      </c>
      <c r="CQ305" s="84" t="s">
        <v>2590</v>
      </c>
      <c r="CR305" s="84" t="s">
        <v>2799</v>
      </c>
      <c r="CS305" s="84" t="s">
        <v>2800</v>
      </c>
      <c r="CT305" s="84" t="s">
        <v>200</v>
      </c>
      <c r="CU305" s="84" t="s">
        <v>233</v>
      </c>
      <c r="CV305" s="84">
        <v>20</v>
      </c>
      <c r="CW305" s="84" t="s">
        <v>234</v>
      </c>
      <c r="CX305" s="90">
        <v>46023</v>
      </c>
      <c r="CY305" s="90">
        <v>46387</v>
      </c>
      <c r="CZ305" s="84">
        <v>5</v>
      </c>
      <c r="DA305" s="84">
        <v>10</v>
      </c>
      <c r="DB305" s="84">
        <v>10</v>
      </c>
      <c r="DC305" s="84">
        <v>10</v>
      </c>
      <c r="DD305" s="84">
        <v>35</v>
      </c>
      <c r="DE305" s="84" t="s">
        <v>514</v>
      </c>
      <c r="DF305" s="84" t="s">
        <v>2706</v>
      </c>
      <c r="DG305" s="84" t="s">
        <v>2707</v>
      </c>
      <c r="DH305" s="671">
        <v>135385000</v>
      </c>
      <c r="DI305" s="84" t="s">
        <v>1633</v>
      </c>
      <c r="DJ305" s="84" t="s">
        <v>2714</v>
      </c>
      <c r="DK305" s="84" t="s">
        <v>1485</v>
      </c>
      <c r="DL305" s="84" t="s">
        <v>2581</v>
      </c>
      <c r="DM305" s="84" t="s">
        <v>201</v>
      </c>
      <c r="DN305" s="84"/>
      <c r="DO305" s="86"/>
      <c r="DP305" s="84"/>
      <c r="DQ305" s="86"/>
      <c r="DR305" s="86"/>
      <c r="DS305" s="84"/>
      <c r="DT305" s="86"/>
      <c r="DU305" s="672"/>
      <c r="DV305" s="86"/>
      <c r="DW305" s="86"/>
      <c r="DX305" s="84"/>
      <c r="DY305" s="86"/>
      <c r="DZ305" s="672"/>
      <c r="EA305" s="86"/>
      <c r="EB305" s="86"/>
      <c r="EC305" s="85"/>
      <c r="ED305" s="84"/>
      <c r="EE305" s="672"/>
      <c r="EF305" s="84"/>
      <c r="EG305" s="84"/>
      <c r="EH305" s="84"/>
      <c r="EI305" s="84"/>
      <c r="EJ305" s="84"/>
      <c r="EK305" s="84"/>
      <c r="EL305" s="91" t="str">
        <f t="shared" si="82"/>
        <v>No se reportó avance</v>
      </c>
      <c r="EM305" s="83" t="str">
        <f t="shared" si="83"/>
        <v>No se reportó avance</v>
      </c>
      <c r="EN305" s="86"/>
    </row>
    <row r="306" spans="1:144" s="93" customFormat="1" ht="84" customHeight="1">
      <c r="A306" s="84" t="s">
        <v>2548</v>
      </c>
      <c r="B306" s="85" t="s">
        <v>2549</v>
      </c>
      <c r="C306" s="85" t="s">
        <v>2752</v>
      </c>
      <c r="D306" s="85" t="s">
        <v>2753</v>
      </c>
      <c r="E306" s="85" t="s">
        <v>2754</v>
      </c>
      <c r="F306" s="84" t="s">
        <v>2755</v>
      </c>
      <c r="G306" s="84" t="s">
        <v>154</v>
      </c>
      <c r="H306" s="84" t="s">
        <v>2685</v>
      </c>
      <c r="I306" s="84" t="s">
        <v>2555</v>
      </c>
      <c r="J306" s="84" t="s">
        <v>2556</v>
      </c>
      <c r="K306" s="84" t="s">
        <v>2686</v>
      </c>
      <c r="L306" s="84">
        <v>10</v>
      </c>
      <c r="M306" s="84" t="s">
        <v>2779</v>
      </c>
      <c r="N306" s="84" t="s">
        <v>2780</v>
      </c>
      <c r="O306" s="84" t="s">
        <v>2559</v>
      </c>
      <c r="P306" s="84" t="s">
        <v>200</v>
      </c>
      <c r="Q306" s="84" t="s">
        <v>162</v>
      </c>
      <c r="R306" s="83">
        <v>1</v>
      </c>
      <c r="S306" s="84" t="s">
        <v>163</v>
      </c>
      <c r="T306" s="90">
        <v>44927</v>
      </c>
      <c r="U306" s="90">
        <v>46387</v>
      </c>
      <c r="V306" s="90"/>
      <c r="W306" s="90"/>
      <c r="X306" s="90"/>
      <c r="Y306" s="90"/>
      <c r="Z306" s="83"/>
      <c r="AA306" s="83">
        <v>1</v>
      </c>
      <c r="AB306" s="83">
        <v>1</v>
      </c>
      <c r="AC306" s="83">
        <v>1</v>
      </c>
      <c r="AD306" s="83">
        <v>1</v>
      </c>
      <c r="AE306" s="83"/>
      <c r="AF306" s="83"/>
      <c r="AG306" s="83"/>
      <c r="AH306" s="83"/>
      <c r="AI306" s="83"/>
      <c r="AJ306" s="83"/>
      <c r="AK306" s="123"/>
      <c r="AL306" s="123"/>
      <c r="AM306" s="123"/>
      <c r="AN306" s="123"/>
      <c r="AO306" s="123"/>
      <c r="AP306" s="83"/>
      <c r="AQ306" s="84"/>
      <c r="AR306" s="84"/>
      <c r="AS306" s="84"/>
      <c r="AT306" s="84"/>
      <c r="AU306" s="84"/>
      <c r="AV306" s="84"/>
      <c r="AW306" s="84"/>
      <c r="AX306" s="84"/>
      <c r="AY306" s="84"/>
      <c r="AZ306" s="86"/>
      <c r="BA306" s="85"/>
      <c r="BB306" s="84"/>
      <c r="BC306" s="85"/>
      <c r="BD306" s="84"/>
      <c r="BE306" s="85"/>
      <c r="BF306" s="85"/>
      <c r="BG306" s="85"/>
      <c r="BH306" s="85"/>
      <c r="BI306" s="85"/>
      <c r="BJ306" s="86"/>
      <c r="BK306" s="85"/>
      <c r="BL306" s="86"/>
      <c r="BM306" s="85"/>
      <c r="BN306" s="86"/>
      <c r="BO306" s="85"/>
      <c r="BP306" s="86"/>
      <c r="BQ306" s="85"/>
      <c r="BR306" s="85"/>
      <c r="BS306" s="85"/>
      <c r="BT306" s="85"/>
      <c r="BU306" s="85"/>
      <c r="BV306" s="85"/>
      <c r="BW306" s="85"/>
      <c r="BX306" s="85"/>
      <c r="BY306" s="85"/>
      <c r="BZ306" s="85"/>
      <c r="CA306" s="85"/>
      <c r="CB306" s="85"/>
      <c r="CC306" s="85"/>
      <c r="CD306" s="85"/>
      <c r="CE306" s="85"/>
      <c r="CF306" s="84"/>
      <c r="CG306" s="372"/>
      <c r="CH306" s="372"/>
      <c r="CI306" s="372"/>
      <c r="CJ306" s="83" t="str">
        <f t="shared" si="84"/>
        <v>No aplica</v>
      </c>
      <c r="CK306" s="83" t="str">
        <f t="shared" si="85"/>
        <v>No aplica</v>
      </c>
      <c r="CL306" s="83" t="str">
        <f t="shared" si="79"/>
        <v>No requiere reporte</v>
      </c>
      <c r="CM306" s="89" t="str">
        <f t="shared" si="80"/>
        <v>No requiere reporte</v>
      </c>
      <c r="CN306" s="89" t="str">
        <f t="shared" si="81"/>
        <v>No requiere reporte</v>
      </c>
      <c r="CO306" s="84" t="s">
        <v>2083</v>
      </c>
      <c r="CP306" s="86" t="s">
        <v>2801</v>
      </c>
      <c r="CQ306" s="84" t="s">
        <v>262</v>
      </c>
      <c r="CR306" s="84" t="s">
        <v>2802</v>
      </c>
      <c r="CS306" s="84" t="s">
        <v>2803</v>
      </c>
      <c r="CT306" s="84" t="s">
        <v>200</v>
      </c>
      <c r="CU306" s="84" t="s">
        <v>233</v>
      </c>
      <c r="CV306" s="84">
        <v>100</v>
      </c>
      <c r="CW306" s="84" t="s">
        <v>234</v>
      </c>
      <c r="CX306" s="90">
        <v>46023</v>
      </c>
      <c r="CY306" s="90">
        <v>46387</v>
      </c>
      <c r="CZ306" s="84">
        <v>20</v>
      </c>
      <c r="DA306" s="84">
        <v>40</v>
      </c>
      <c r="DB306" s="84">
        <v>20</v>
      </c>
      <c r="DC306" s="84">
        <v>20</v>
      </c>
      <c r="DD306" s="84">
        <v>100</v>
      </c>
      <c r="DE306" s="84" t="s">
        <v>514</v>
      </c>
      <c r="DF306" s="84" t="s">
        <v>2706</v>
      </c>
      <c r="DG306" s="84" t="s">
        <v>2707</v>
      </c>
      <c r="DH306" s="671">
        <v>977926780</v>
      </c>
      <c r="DI306" s="84" t="s">
        <v>1633</v>
      </c>
      <c r="DJ306" s="84" t="s">
        <v>2714</v>
      </c>
      <c r="DK306" s="84" t="s">
        <v>1485</v>
      </c>
      <c r="DL306" s="84" t="s">
        <v>2581</v>
      </c>
      <c r="DM306" s="84" t="s">
        <v>201</v>
      </c>
      <c r="DN306" s="84"/>
      <c r="DO306" s="86"/>
      <c r="DP306" s="84"/>
      <c r="DQ306" s="86"/>
      <c r="DR306" s="86"/>
      <c r="DS306" s="84"/>
      <c r="DT306" s="86"/>
      <c r="DU306" s="672"/>
      <c r="DV306" s="86"/>
      <c r="DW306" s="86"/>
      <c r="DX306" s="84"/>
      <c r="DY306" s="86"/>
      <c r="DZ306" s="672"/>
      <c r="EA306" s="86"/>
      <c r="EB306" s="86"/>
      <c r="EC306" s="85"/>
      <c r="ED306" s="84"/>
      <c r="EE306" s="672"/>
      <c r="EF306" s="84"/>
      <c r="EG306" s="84"/>
      <c r="EH306" s="84"/>
      <c r="EI306" s="84"/>
      <c r="EJ306" s="84"/>
      <c r="EK306" s="84"/>
      <c r="EL306" s="91" t="str">
        <f t="shared" si="82"/>
        <v>No se reportó avance</v>
      </c>
      <c r="EM306" s="83" t="str">
        <f t="shared" si="83"/>
        <v>No se reportó avance</v>
      </c>
      <c r="EN306" s="86"/>
    </row>
    <row r="307" spans="1:144" s="306" customFormat="1" ht="63.75" customHeight="1">
      <c r="A307" s="84" t="s">
        <v>2548</v>
      </c>
      <c r="B307" s="85" t="s">
        <v>2549</v>
      </c>
      <c r="C307" s="85" t="s">
        <v>2752</v>
      </c>
      <c r="D307" s="85" t="s">
        <v>2753</v>
      </c>
      <c r="E307" s="85" t="s">
        <v>2754</v>
      </c>
      <c r="F307" s="84" t="s">
        <v>2755</v>
      </c>
      <c r="G307" s="84" t="s">
        <v>154</v>
      </c>
      <c r="H307" s="84" t="s">
        <v>2685</v>
      </c>
      <c r="I307" s="84" t="s">
        <v>2555</v>
      </c>
      <c r="J307" s="84" t="s">
        <v>2556</v>
      </c>
      <c r="K307" s="84" t="s">
        <v>2686</v>
      </c>
      <c r="L307" s="84">
        <v>10</v>
      </c>
      <c r="M307" s="84" t="s">
        <v>2779</v>
      </c>
      <c r="N307" s="84" t="s">
        <v>2780</v>
      </c>
      <c r="O307" s="84" t="s">
        <v>2804</v>
      </c>
      <c r="P307" s="84" t="s">
        <v>200</v>
      </c>
      <c r="Q307" s="84" t="s">
        <v>162</v>
      </c>
      <c r="R307" s="83">
        <v>1</v>
      </c>
      <c r="S307" s="84" t="s">
        <v>163</v>
      </c>
      <c r="T307" s="90">
        <v>46023</v>
      </c>
      <c r="U307" s="90">
        <v>46387</v>
      </c>
      <c r="V307" s="90"/>
      <c r="W307" s="90"/>
      <c r="X307" s="90"/>
      <c r="Y307" s="90"/>
      <c r="Z307" s="83"/>
      <c r="AA307" s="83"/>
      <c r="AB307" s="83"/>
      <c r="AC307" s="83"/>
      <c r="AD307" s="83"/>
      <c r="AE307" s="83"/>
      <c r="AF307" s="83"/>
      <c r="AG307" s="83"/>
      <c r="AH307" s="83"/>
      <c r="AI307" s="83"/>
      <c r="AJ307" s="83"/>
      <c r="AK307" s="123"/>
      <c r="AL307" s="123"/>
      <c r="AM307" s="123"/>
      <c r="AN307" s="123"/>
      <c r="AO307" s="123"/>
      <c r="AP307" s="83"/>
      <c r="AQ307" s="84"/>
      <c r="AR307" s="84"/>
      <c r="AS307" s="84"/>
      <c r="AT307" s="84"/>
      <c r="AU307" s="84"/>
      <c r="AV307" s="84"/>
      <c r="AW307" s="84"/>
      <c r="AX307" s="84"/>
      <c r="AY307" s="84"/>
      <c r="AZ307" s="86"/>
      <c r="BA307" s="85"/>
      <c r="BB307" s="84"/>
      <c r="BC307" s="85"/>
      <c r="BD307" s="84"/>
      <c r="BE307" s="85"/>
      <c r="BF307" s="85"/>
      <c r="BG307" s="85"/>
      <c r="BH307" s="85"/>
      <c r="BI307" s="85"/>
      <c r="BJ307" s="86"/>
      <c r="BK307" s="85"/>
      <c r="BL307" s="86"/>
      <c r="BM307" s="85"/>
      <c r="BN307" s="86"/>
      <c r="BO307" s="85"/>
      <c r="BP307" s="86"/>
      <c r="BQ307" s="85"/>
      <c r="BR307" s="85"/>
      <c r="BS307" s="85"/>
      <c r="BT307" s="85"/>
      <c r="BU307" s="85"/>
      <c r="BV307" s="85"/>
      <c r="BW307" s="85"/>
      <c r="BX307" s="85"/>
      <c r="BY307" s="85"/>
      <c r="BZ307" s="85"/>
      <c r="CA307" s="85"/>
      <c r="CB307" s="85"/>
      <c r="CC307" s="85"/>
      <c r="CD307" s="85"/>
      <c r="CE307" s="85"/>
      <c r="CF307" s="84"/>
      <c r="CG307" s="372"/>
      <c r="CH307" s="372"/>
      <c r="CI307" s="372"/>
      <c r="CJ307" s="83" t="str">
        <f t="shared" si="84"/>
        <v>No aplica</v>
      </c>
      <c r="CK307" s="83" t="str">
        <f t="shared" si="85"/>
        <v>No aplica</v>
      </c>
      <c r="CL307" s="83" t="str">
        <f t="shared" si="79"/>
        <v>No requiere reporte</v>
      </c>
      <c r="CM307" s="89" t="str">
        <f t="shared" si="80"/>
        <v>No requiere reporte</v>
      </c>
      <c r="CN307" s="89" t="str">
        <f t="shared" si="81"/>
        <v>No requiere reporte</v>
      </c>
      <c r="CO307" s="84" t="s">
        <v>2805</v>
      </c>
      <c r="CP307" s="86" t="s">
        <v>2806</v>
      </c>
      <c r="CQ307" s="84" t="s">
        <v>2807</v>
      </c>
      <c r="CR307" s="84" t="s">
        <v>2808</v>
      </c>
      <c r="CS307" s="84" t="s">
        <v>2809</v>
      </c>
      <c r="CT307" s="84" t="s">
        <v>200</v>
      </c>
      <c r="CU307" s="84" t="s">
        <v>233</v>
      </c>
      <c r="CV307" s="84" t="s">
        <v>182</v>
      </c>
      <c r="CW307" s="84" t="s">
        <v>234</v>
      </c>
      <c r="CX307" s="90">
        <v>46023</v>
      </c>
      <c r="CY307" s="90">
        <v>46387</v>
      </c>
      <c r="CZ307" s="84">
        <v>25</v>
      </c>
      <c r="DA307" s="84">
        <v>25</v>
      </c>
      <c r="DB307" s="84">
        <v>25</v>
      </c>
      <c r="DC307" s="84">
        <v>25</v>
      </c>
      <c r="DD307" s="84">
        <f>CZ307+DA307+DB307+DC307</f>
        <v>100</v>
      </c>
      <c r="DE307" s="84" t="s">
        <v>514</v>
      </c>
      <c r="DF307" s="84" t="s">
        <v>2706</v>
      </c>
      <c r="DG307" s="84" t="s">
        <v>2707</v>
      </c>
      <c r="DH307" s="671">
        <v>563508700</v>
      </c>
      <c r="DI307" s="84" t="s">
        <v>1633</v>
      </c>
      <c r="DJ307" s="84" t="s">
        <v>2714</v>
      </c>
      <c r="DK307" s="84" t="s">
        <v>1485</v>
      </c>
      <c r="DL307" s="84" t="s">
        <v>2581</v>
      </c>
      <c r="DM307" s="84" t="s">
        <v>201</v>
      </c>
      <c r="DN307" s="84"/>
      <c r="DO307" s="86"/>
      <c r="DP307" s="84"/>
      <c r="DQ307" s="86"/>
      <c r="DR307" s="86"/>
      <c r="DS307" s="84"/>
      <c r="DT307" s="86"/>
      <c r="DU307" s="672"/>
      <c r="DV307" s="86"/>
      <c r="DW307" s="86"/>
      <c r="DX307" s="84"/>
      <c r="DY307" s="86"/>
      <c r="DZ307" s="672"/>
      <c r="EA307" s="86"/>
      <c r="EB307" s="86"/>
      <c r="EC307" s="85"/>
      <c r="ED307" s="84"/>
      <c r="EE307" s="672"/>
      <c r="EF307" s="84"/>
      <c r="EG307" s="84"/>
      <c r="EH307" s="84"/>
      <c r="EI307" s="84"/>
      <c r="EJ307" s="84"/>
      <c r="EK307" s="84"/>
      <c r="EL307" s="91" t="str">
        <f t="shared" si="82"/>
        <v>No se reportó avance</v>
      </c>
      <c r="EM307" s="83" t="str">
        <f t="shared" si="83"/>
        <v>No se reportó avance</v>
      </c>
      <c r="EN307" s="86"/>
    </row>
    <row r="308" spans="1:144" s="306" customFormat="1" ht="62.25" customHeight="1">
      <c r="A308" s="84" t="s">
        <v>2548</v>
      </c>
      <c r="B308" s="85" t="s">
        <v>2549</v>
      </c>
      <c r="C308" s="85" t="s">
        <v>2752</v>
      </c>
      <c r="D308" s="85" t="s">
        <v>2753</v>
      </c>
      <c r="E308" s="85" t="s">
        <v>2754</v>
      </c>
      <c r="F308" s="84" t="s">
        <v>2755</v>
      </c>
      <c r="G308" s="84" t="s">
        <v>154</v>
      </c>
      <c r="H308" s="84" t="s">
        <v>2685</v>
      </c>
      <c r="I308" s="84" t="s">
        <v>2555</v>
      </c>
      <c r="J308" s="84" t="s">
        <v>2556</v>
      </c>
      <c r="K308" s="84" t="s">
        <v>2686</v>
      </c>
      <c r="L308" s="84">
        <v>10</v>
      </c>
      <c r="M308" s="84" t="s">
        <v>2779</v>
      </c>
      <c r="N308" s="84" t="s">
        <v>2780</v>
      </c>
      <c r="O308" s="84" t="s">
        <v>2804</v>
      </c>
      <c r="P308" s="84" t="s">
        <v>200</v>
      </c>
      <c r="Q308" s="84" t="s">
        <v>162</v>
      </c>
      <c r="R308" s="83">
        <v>1</v>
      </c>
      <c r="S308" s="84" t="s">
        <v>163</v>
      </c>
      <c r="T308" s="90">
        <v>46023</v>
      </c>
      <c r="U308" s="90">
        <v>46387</v>
      </c>
      <c r="V308" s="90"/>
      <c r="W308" s="90"/>
      <c r="X308" s="90"/>
      <c r="Y308" s="90"/>
      <c r="Z308" s="83"/>
      <c r="AA308" s="83"/>
      <c r="AB308" s="83"/>
      <c r="AC308" s="83"/>
      <c r="AD308" s="83"/>
      <c r="AE308" s="83"/>
      <c r="AF308" s="83"/>
      <c r="AG308" s="83"/>
      <c r="AH308" s="83"/>
      <c r="AI308" s="83"/>
      <c r="AJ308" s="83"/>
      <c r="AK308" s="123"/>
      <c r="AL308" s="123"/>
      <c r="AM308" s="123"/>
      <c r="AN308" s="123"/>
      <c r="AO308" s="123"/>
      <c r="AP308" s="83"/>
      <c r="AQ308" s="84"/>
      <c r="AR308" s="84"/>
      <c r="AS308" s="84"/>
      <c r="AT308" s="84"/>
      <c r="AU308" s="84"/>
      <c r="AV308" s="84"/>
      <c r="AW308" s="84"/>
      <c r="AX308" s="84"/>
      <c r="AY308" s="84"/>
      <c r="AZ308" s="86"/>
      <c r="BA308" s="85"/>
      <c r="BB308" s="84"/>
      <c r="BC308" s="85"/>
      <c r="BD308" s="84"/>
      <c r="BE308" s="85"/>
      <c r="BF308" s="85"/>
      <c r="BG308" s="85"/>
      <c r="BH308" s="85"/>
      <c r="BI308" s="85"/>
      <c r="BJ308" s="86"/>
      <c r="BK308" s="85"/>
      <c r="BL308" s="86"/>
      <c r="BM308" s="85"/>
      <c r="BN308" s="86"/>
      <c r="BO308" s="85"/>
      <c r="BP308" s="86"/>
      <c r="BQ308" s="85"/>
      <c r="BR308" s="85"/>
      <c r="BS308" s="85"/>
      <c r="BT308" s="85"/>
      <c r="BU308" s="85"/>
      <c r="BV308" s="85"/>
      <c r="BW308" s="85"/>
      <c r="BX308" s="85"/>
      <c r="BY308" s="85"/>
      <c r="BZ308" s="85"/>
      <c r="CA308" s="85"/>
      <c r="CB308" s="85"/>
      <c r="CC308" s="85"/>
      <c r="CD308" s="85"/>
      <c r="CE308" s="85"/>
      <c r="CF308" s="84"/>
      <c r="CG308" s="372"/>
      <c r="CH308" s="372"/>
      <c r="CI308" s="372"/>
      <c r="CJ308" s="83" t="str">
        <f t="shared" si="84"/>
        <v>No aplica</v>
      </c>
      <c r="CK308" s="83" t="str">
        <f t="shared" si="85"/>
        <v>No aplica</v>
      </c>
      <c r="CL308" s="83" t="str">
        <f t="shared" si="79"/>
        <v>No requiere reporte</v>
      </c>
      <c r="CM308" s="89" t="str">
        <f t="shared" si="80"/>
        <v>No requiere reporte</v>
      </c>
      <c r="CN308" s="89" t="str">
        <f t="shared" si="81"/>
        <v>No requiere reporte</v>
      </c>
      <c r="CO308" s="84" t="s">
        <v>2810</v>
      </c>
      <c r="CP308" s="86" t="s">
        <v>2811</v>
      </c>
      <c r="CQ308" s="84" t="s">
        <v>2812</v>
      </c>
      <c r="CR308" s="84" t="s">
        <v>2813</v>
      </c>
      <c r="CS308" s="84" t="s">
        <v>2814</v>
      </c>
      <c r="CT308" s="84" t="s">
        <v>200</v>
      </c>
      <c r="CU308" s="84" t="s">
        <v>233</v>
      </c>
      <c r="CV308" s="84" t="s">
        <v>182</v>
      </c>
      <c r="CW308" s="84" t="s">
        <v>234</v>
      </c>
      <c r="CX308" s="90">
        <v>46113</v>
      </c>
      <c r="CY308" s="90">
        <v>46387</v>
      </c>
      <c r="CZ308" s="84">
        <v>0</v>
      </c>
      <c r="DA308" s="84">
        <v>1</v>
      </c>
      <c r="DB308" s="84">
        <v>0</v>
      </c>
      <c r="DC308" s="84">
        <v>0</v>
      </c>
      <c r="DD308" s="84">
        <v>1</v>
      </c>
      <c r="DE308" s="84" t="s">
        <v>514</v>
      </c>
      <c r="DF308" s="84" t="s">
        <v>2706</v>
      </c>
      <c r="DG308" s="84" t="s">
        <v>2707</v>
      </c>
      <c r="DH308" s="671">
        <v>155175000</v>
      </c>
      <c r="DI308" s="84" t="s">
        <v>1633</v>
      </c>
      <c r="DJ308" s="84" t="s">
        <v>2714</v>
      </c>
      <c r="DK308" s="84" t="s">
        <v>1485</v>
      </c>
      <c r="DL308" s="84" t="s">
        <v>2581</v>
      </c>
      <c r="DM308" s="84" t="s">
        <v>2815</v>
      </c>
      <c r="DN308" s="84"/>
      <c r="DO308" s="86"/>
      <c r="DP308" s="84"/>
      <c r="DQ308" s="86"/>
      <c r="DR308" s="86"/>
      <c r="DS308" s="84"/>
      <c r="DT308" s="86"/>
      <c r="DU308" s="672"/>
      <c r="DV308" s="86"/>
      <c r="DW308" s="86"/>
      <c r="DX308" s="84"/>
      <c r="DY308" s="86"/>
      <c r="DZ308" s="672"/>
      <c r="EA308" s="86"/>
      <c r="EB308" s="86"/>
      <c r="EC308" s="85"/>
      <c r="ED308" s="84"/>
      <c r="EE308" s="672"/>
      <c r="EF308" s="84"/>
      <c r="EG308" s="84"/>
      <c r="EH308" s="84"/>
      <c r="EI308" s="84"/>
      <c r="EJ308" s="84"/>
      <c r="EK308" s="84"/>
      <c r="EL308" s="91" t="str">
        <f t="shared" si="82"/>
        <v>No aplica, no hay meta</v>
      </c>
      <c r="EM308" s="83" t="str">
        <f t="shared" si="83"/>
        <v>No se reportó avance</v>
      </c>
      <c r="EN308" s="86"/>
    </row>
    <row r="309" spans="1:144" s="306" customFormat="1" ht="57" customHeight="1">
      <c r="A309" s="84" t="s">
        <v>2548</v>
      </c>
      <c r="B309" s="85" t="s">
        <v>2549</v>
      </c>
      <c r="C309" s="85" t="s">
        <v>2752</v>
      </c>
      <c r="D309" s="85" t="s">
        <v>2753</v>
      </c>
      <c r="E309" s="85" t="s">
        <v>2754</v>
      </c>
      <c r="F309" s="84" t="s">
        <v>2755</v>
      </c>
      <c r="G309" s="84" t="s">
        <v>154</v>
      </c>
      <c r="H309" s="84" t="s">
        <v>2685</v>
      </c>
      <c r="I309" s="84" t="s">
        <v>2555</v>
      </c>
      <c r="J309" s="84" t="s">
        <v>2556</v>
      </c>
      <c r="K309" s="84" t="s">
        <v>2686</v>
      </c>
      <c r="L309" s="84">
        <v>10</v>
      </c>
      <c r="M309" s="84" t="s">
        <v>2779</v>
      </c>
      <c r="N309" s="84" t="s">
        <v>2780</v>
      </c>
      <c r="O309" s="84" t="s">
        <v>2804</v>
      </c>
      <c r="P309" s="84" t="s">
        <v>200</v>
      </c>
      <c r="Q309" s="84" t="s">
        <v>162</v>
      </c>
      <c r="R309" s="83">
        <v>1</v>
      </c>
      <c r="S309" s="84" t="s">
        <v>163</v>
      </c>
      <c r="T309" s="90">
        <v>46023</v>
      </c>
      <c r="U309" s="90">
        <v>46023</v>
      </c>
      <c r="V309" s="90"/>
      <c r="W309" s="90"/>
      <c r="X309" s="90"/>
      <c r="Y309" s="90"/>
      <c r="Z309" s="83"/>
      <c r="AA309" s="83"/>
      <c r="AB309" s="83"/>
      <c r="AC309" s="83"/>
      <c r="AD309" s="83"/>
      <c r="AE309" s="83"/>
      <c r="AF309" s="83"/>
      <c r="AG309" s="83"/>
      <c r="AH309" s="83"/>
      <c r="AI309" s="83"/>
      <c r="AJ309" s="83"/>
      <c r="AK309" s="84"/>
      <c r="AL309" s="84"/>
      <c r="AM309" s="84"/>
      <c r="AN309" s="84"/>
      <c r="AO309" s="84"/>
      <c r="AP309" s="83"/>
      <c r="AQ309" s="84"/>
      <c r="AR309" s="84"/>
      <c r="AS309" s="84"/>
      <c r="AT309" s="84"/>
      <c r="AU309" s="84"/>
      <c r="AV309" s="84"/>
      <c r="AW309" s="84"/>
      <c r="AX309" s="84"/>
      <c r="AY309" s="84"/>
      <c r="AZ309" s="86"/>
      <c r="BA309" s="85"/>
      <c r="BB309" s="84"/>
      <c r="BC309" s="85"/>
      <c r="BD309" s="84"/>
      <c r="BE309" s="85"/>
      <c r="BF309" s="85"/>
      <c r="BG309" s="85"/>
      <c r="BH309" s="85"/>
      <c r="BI309" s="85"/>
      <c r="BJ309" s="86"/>
      <c r="BK309" s="85"/>
      <c r="BL309" s="86"/>
      <c r="BM309" s="85"/>
      <c r="BN309" s="86"/>
      <c r="BO309" s="85"/>
      <c r="BP309" s="86"/>
      <c r="BQ309" s="85"/>
      <c r="BR309" s="85"/>
      <c r="BS309" s="85"/>
      <c r="BT309" s="85"/>
      <c r="BU309" s="85"/>
      <c r="BV309" s="85"/>
      <c r="BW309" s="85"/>
      <c r="BX309" s="85"/>
      <c r="BY309" s="85"/>
      <c r="BZ309" s="85"/>
      <c r="CA309" s="85"/>
      <c r="CB309" s="85"/>
      <c r="CC309" s="85"/>
      <c r="CD309" s="85"/>
      <c r="CE309" s="85"/>
      <c r="CF309" s="84"/>
      <c r="CG309" s="372"/>
      <c r="CH309" s="372"/>
      <c r="CI309" s="372"/>
      <c r="CJ309" s="83" t="str">
        <f t="shared" si="84"/>
        <v>No aplica</v>
      </c>
      <c r="CK309" s="83" t="str">
        <f t="shared" si="85"/>
        <v>No aplica</v>
      </c>
      <c r="CL309" s="83" t="str">
        <f t="shared" si="79"/>
        <v>No requiere reporte</v>
      </c>
      <c r="CM309" s="89" t="str">
        <f t="shared" si="80"/>
        <v>No requiere reporte</v>
      </c>
      <c r="CN309" s="89" t="str">
        <f t="shared" si="81"/>
        <v>No requiere reporte</v>
      </c>
      <c r="CO309" s="84" t="s">
        <v>2816</v>
      </c>
      <c r="CP309" s="86" t="s">
        <v>2817</v>
      </c>
      <c r="CQ309" s="84" t="s">
        <v>2812</v>
      </c>
      <c r="CR309" s="84" t="s">
        <v>2818</v>
      </c>
      <c r="CS309" s="84" t="s">
        <v>2819</v>
      </c>
      <c r="CT309" s="84" t="s">
        <v>200</v>
      </c>
      <c r="CU309" s="84" t="s">
        <v>233</v>
      </c>
      <c r="CV309" s="84" t="s">
        <v>182</v>
      </c>
      <c r="CW309" s="84" t="s">
        <v>234</v>
      </c>
      <c r="CX309" s="90">
        <v>46023</v>
      </c>
      <c r="CY309" s="90">
        <v>46387</v>
      </c>
      <c r="CZ309" s="84">
        <v>3</v>
      </c>
      <c r="DA309" s="84">
        <v>3</v>
      </c>
      <c r="DB309" s="84">
        <v>3</v>
      </c>
      <c r="DC309" s="84">
        <v>3</v>
      </c>
      <c r="DD309" s="84">
        <f>CZ309+DA309+DB309+DC309</f>
        <v>12</v>
      </c>
      <c r="DE309" s="84" t="s">
        <v>514</v>
      </c>
      <c r="DF309" s="84" t="s">
        <v>2706</v>
      </c>
      <c r="DG309" s="84" t="s">
        <v>2707</v>
      </c>
      <c r="DH309" s="671">
        <v>51205000</v>
      </c>
      <c r="DI309" s="84" t="s">
        <v>1633</v>
      </c>
      <c r="DJ309" s="84" t="s">
        <v>2714</v>
      </c>
      <c r="DK309" s="84" t="s">
        <v>1485</v>
      </c>
      <c r="DL309" s="84" t="s">
        <v>2581</v>
      </c>
      <c r="DM309" s="84" t="s">
        <v>2815</v>
      </c>
      <c r="DN309" s="84"/>
      <c r="DO309" s="86"/>
      <c r="DP309" s="84"/>
      <c r="DQ309" s="86"/>
      <c r="DR309" s="86"/>
      <c r="DS309" s="84"/>
      <c r="DT309" s="86"/>
      <c r="DU309" s="672"/>
      <c r="DV309" s="86"/>
      <c r="DW309" s="86"/>
      <c r="DX309" s="84"/>
      <c r="DY309" s="86"/>
      <c r="DZ309" s="672"/>
      <c r="EA309" s="86"/>
      <c r="EB309" s="86"/>
      <c r="EC309" s="85"/>
      <c r="ED309" s="84"/>
      <c r="EE309" s="672"/>
      <c r="EF309" s="84"/>
      <c r="EG309" s="84"/>
      <c r="EH309" s="84"/>
      <c r="EI309" s="84"/>
      <c r="EJ309" s="84"/>
      <c r="EK309" s="84"/>
      <c r="EL309" s="91" t="str">
        <f t="shared" si="82"/>
        <v>No se reportó avance</v>
      </c>
      <c r="EM309" s="83" t="str">
        <f t="shared" si="83"/>
        <v>No se reportó avance</v>
      </c>
      <c r="EN309" s="86"/>
    </row>
    <row r="310" spans="1:144" s="93" customFormat="1" ht="74.25" hidden="1" customHeight="1">
      <c r="A310" s="159" t="s">
        <v>2548</v>
      </c>
      <c r="B310" s="158" t="s">
        <v>2549</v>
      </c>
      <c r="C310" s="158" t="s">
        <v>2752</v>
      </c>
      <c r="D310" s="158" t="s">
        <v>2753</v>
      </c>
      <c r="E310" s="158" t="s">
        <v>2754</v>
      </c>
      <c r="F310" s="159" t="s">
        <v>2755</v>
      </c>
      <c r="G310" s="159" t="s">
        <v>154</v>
      </c>
      <c r="H310" s="159" t="s">
        <v>2685</v>
      </c>
      <c r="I310" s="159" t="s">
        <v>2555</v>
      </c>
      <c r="J310" s="159" t="s">
        <v>2556</v>
      </c>
      <c r="K310" s="159" t="s">
        <v>2686</v>
      </c>
      <c r="L310" s="159">
        <v>11</v>
      </c>
      <c r="M310" s="159" t="s">
        <v>2820</v>
      </c>
      <c r="N310" s="159" t="s">
        <v>2821</v>
      </c>
      <c r="O310" s="159" t="s">
        <v>2130</v>
      </c>
      <c r="P310" s="159" t="s">
        <v>200</v>
      </c>
      <c r="Q310" s="159" t="s">
        <v>233</v>
      </c>
      <c r="R310" s="486">
        <v>69</v>
      </c>
      <c r="S310" s="159" t="s">
        <v>402</v>
      </c>
      <c r="T310" s="162">
        <v>44927</v>
      </c>
      <c r="U310" s="162">
        <v>45291</v>
      </c>
      <c r="V310" s="162"/>
      <c r="W310" s="162"/>
      <c r="X310" s="162"/>
      <c r="Y310" s="162"/>
      <c r="Z310" s="476">
        <v>104</v>
      </c>
      <c r="AA310" s="476"/>
      <c r="AB310" s="476"/>
      <c r="AC310" s="476"/>
      <c r="AD310" s="476"/>
      <c r="AE310" s="476">
        <v>104</v>
      </c>
      <c r="AF310" s="476"/>
      <c r="AG310" s="476"/>
      <c r="AH310" s="476"/>
      <c r="AI310" s="476"/>
      <c r="AJ310" s="476">
        <v>104</v>
      </c>
      <c r="AK310" s="476"/>
      <c r="AL310" s="476"/>
      <c r="AM310" s="476"/>
      <c r="AN310" s="476"/>
      <c r="AO310" s="476">
        <v>104</v>
      </c>
      <c r="AP310" s="159">
        <f>+Z310</f>
        <v>104</v>
      </c>
      <c r="AQ310" s="159">
        <v>6</v>
      </c>
      <c r="AR310" s="159" t="s">
        <v>2822</v>
      </c>
      <c r="AS310" s="159">
        <v>21</v>
      </c>
      <c r="AT310" s="159" t="s">
        <v>2823</v>
      </c>
      <c r="AU310" s="159">
        <v>10</v>
      </c>
      <c r="AV310" s="159" t="s">
        <v>2824</v>
      </c>
      <c r="AW310" s="159">
        <v>67</v>
      </c>
      <c r="AX310" s="159" t="s">
        <v>2825</v>
      </c>
      <c r="AY310" s="159">
        <f>+AQ310+AS310+AU310+AW310</f>
        <v>104</v>
      </c>
      <c r="AZ310" s="164" t="s">
        <v>2826</v>
      </c>
      <c r="BA310" s="158" t="s">
        <v>182</v>
      </c>
      <c r="BB310" s="158" t="s">
        <v>182</v>
      </c>
      <c r="BC310" s="158" t="s">
        <v>182</v>
      </c>
      <c r="BD310" s="158" t="s">
        <v>182</v>
      </c>
      <c r="BE310" s="158" t="s">
        <v>182</v>
      </c>
      <c r="BF310" s="158" t="s">
        <v>182</v>
      </c>
      <c r="BG310" s="158" t="s">
        <v>182</v>
      </c>
      <c r="BH310" s="158" t="s">
        <v>182</v>
      </c>
      <c r="BI310" s="158" t="s">
        <v>182</v>
      </c>
      <c r="BJ310" s="164" t="s">
        <v>182</v>
      </c>
      <c r="BK310" s="158"/>
      <c r="BL310" s="164"/>
      <c r="BM310" s="158"/>
      <c r="BN310" s="164"/>
      <c r="BO310" s="158"/>
      <c r="BP310" s="164"/>
      <c r="BQ310" s="158"/>
      <c r="BR310" s="158"/>
      <c r="BS310" s="158"/>
      <c r="BT310" s="158"/>
      <c r="BU310" s="158"/>
      <c r="BV310" s="158"/>
      <c r="BW310" s="158"/>
      <c r="BX310" s="158"/>
      <c r="BY310" s="158"/>
      <c r="BZ310" s="158"/>
      <c r="CA310" s="158"/>
      <c r="CB310" s="158"/>
      <c r="CC310" s="158"/>
      <c r="CD310" s="158"/>
      <c r="CE310" s="159"/>
      <c r="CF310" s="159"/>
      <c r="CG310" s="471"/>
      <c r="CH310" s="471"/>
      <c r="CI310" s="471"/>
      <c r="CJ310" s="160" t="str">
        <f t="shared" si="84"/>
        <v>No aplica</v>
      </c>
      <c r="CK310" s="160" t="str">
        <f t="shared" si="85"/>
        <v>No aplica</v>
      </c>
      <c r="CL310" s="83" t="str">
        <f t="shared" si="79"/>
        <v>No aplica, no hay meta</v>
      </c>
      <c r="CM310" s="89" t="str">
        <f t="shared" si="80"/>
        <v>No se reportó avance</v>
      </c>
      <c r="CN310" s="89" t="str">
        <f t="shared" si="81"/>
        <v>No se reportó avance</v>
      </c>
      <c r="CO310" s="159"/>
      <c r="CP310" s="159"/>
      <c r="CQ310" s="159"/>
      <c r="CR310" s="159"/>
      <c r="CS310" s="159"/>
      <c r="CT310" s="159"/>
      <c r="CU310" s="159"/>
      <c r="CV310" s="469"/>
      <c r="CW310" s="159"/>
      <c r="CX310" s="162"/>
      <c r="CY310" s="162"/>
      <c r="CZ310" s="469"/>
      <c r="DA310" s="469"/>
      <c r="DB310" s="469"/>
      <c r="DC310" s="469"/>
      <c r="DD310" s="469"/>
      <c r="DE310" s="159"/>
      <c r="DF310" s="159"/>
      <c r="DG310" s="159"/>
      <c r="DH310" s="483"/>
      <c r="DI310" s="159"/>
      <c r="DJ310" s="159"/>
      <c r="DK310" s="159"/>
      <c r="DL310" s="159"/>
      <c r="DM310" s="159"/>
      <c r="DN310" s="158"/>
      <c r="DO310" s="164"/>
      <c r="DP310" s="487"/>
      <c r="DQ310" s="164"/>
      <c r="DR310" s="164"/>
      <c r="DS310" s="158"/>
      <c r="DT310" s="164"/>
      <c r="DU310" s="487"/>
      <c r="DV310" s="164"/>
      <c r="DW310" s="164"/>
      <c r="DX310" s="158"/>
      <c r="DY310" s="164"/>
      <c r="DZ310" s="487"/>
      <c r="EA310" s="164"/>
      <c r="EB310" s="164"/>
      <c r="EC310" s="158"/>
      <c r="ED310" s="159"/>
      <c r="EE310" s="487"/>
      <c r="EF310" s="159"/>
      <c r="EG310" s="159"/>
      <c r="EH310" s="158"/>
      <c r="EI310" s="159"/>
      <c r="EJ310" s="159"/>
      <c r="EK310" s="159"/>
      <c r="EL310" s="91" t="str">
        <f t="shared" si="82"/>
        <v>No aplica, no hay meta</v>
      </c>
      <c r="EM310" s="83" t="str">
        <f t="shared" si="83"/>
        <v>No aplica, no hay meta</v>
      </c>
      <c r="EN310" s="164" t="s">
        <v>2827</v>
      </c>
    </row>
    <row r="311" spans="1:144" s="93" customFormat="1" ht="65.25" hidden="1" customHeight="1">
      <c r="A311" s="159" t="s">
        <v>2548</v>
      </c>
      <c r="B311" s="158" t="s">
        <v>2549</v>
      </c>
      <c r="C311" s="158" t="s">
        <v>2752</v>
      </c>
      <c r="D311" s="158" t="s">
        <v>2753</v>
      </c>
      <c r="E311" s="158" t="s">
        <v>2754</v>
      </c>
      <c r="F311" s="159" t="s">
        <v>2755</v>
      </c>
      <c r="G311" s="159" t="s">
        <v>154</v>
      </c>
      <c r="H311" s="159" t="s">
        <v>2685</v>
      </c>
      <c r="I311" s="159" t="s">
        <v>2555</v>
      </c>
      <c r="J311" s="159" t="s">
        <v>2556</v>
      </c>
      <c r="K311" s="159" t="s">
        <v>2686</v>
      </c>
      <c r="L311" s="159">
        <v>12</v>
      </c>
      <c r="M311" s="159" t="s">
        <v>2828</v>
      </c>
      <c r="N311" s="159" t="s">
        <v>2829</v>
      </c>
      <c r="O311" s="159" t="s">
        <v>2830</v>
      </c>
      <c r="P311" s="159" t="s">
        <v>161</v>
      </c>
      <c r="Q311" s="159" t="s">
        <v>233</v>
      </c>
      <c r="R311" s="160">
        <v>1</v>
      </c>
      <c r="S311" s="159" t="s">
        <v>402</v>
      </c>
      <c r="T311" s="162">
        <v>44927</v>
      </c>
      <c r="U311" s="162">
        <v>45291</v>
      </c>
      <c r="V311" s="162"/>
      <c r="W311" s="162"/>
      <c r="X311" s="162"/>
      <c r="Y311" s="162"/>
      <c r="Z311" s="476">
        <v>7</v>
      </c>
      <c r="AA311" s="476"/>
      <c r="AB311" s="476"/>
      <c r="AC311" s="476"/>
      <c r="AD311" s="476"/>
      <c r="AE311" s="476"/>
      <c r="AF311" s="476"/>
      <c r="AG311" s="476"/>
      <c r="AH311" s="476"/>
      <c r="AI311" s="476"/>
      <c r="AJ311" s="476"/>
      <c r="AK311" s="476"/>
      <c r="AL311" s="476"/>
      <c r="AM311" s="476"/>
      <c r="AN311" s="476"/>
      <c r="AO311" s="476"/>
      <c r="AP311" s="159">
        <f>+Z311</f>
        <v>7</v>
      </c>
      <c r="AQ311" s="159">
        <v>0</v>
      </c>
      <c r="AR311" s="159" t="s">
        <v>2831</v>
      </c>
      <c r="AS311" s="159">
        <v>0</v>
      </c>
      <c r="AT311" s="159" t="s">
        <v>2669</v>
      </c>
      <c r="AU311" s="159">
        <v>0</v>
      </c>
      <c r="AV311" s="159" t="s">
        <v>2760</v>
      </c>
      <c r="AW311" s="159">
        <v>5</v>
      </c>
      <c r="AX311" s="159" t="s">
        <v>2832</v>
      </c>
      <c r="AY311" s="159">
        <f>+AQ311+AS311+AU311+AW311</f>
        <v>5</v>
      </c>
      <c r="AZ311" s="164" t="s">
        <v>2833</v>
      </c>
      <c r="BA311" s="158" t="s">
        <v>182</v>
      </c>
      <c r="BB311" s="158" t="s">
        <v>182</v>
      </c>
      <c r="BC311" s="158" t="s">
        <v>182</v>
      </c>
      <c r="BD311" s="158" t="s">
        <v>182</v>
      </c>
      <c r="BE311" s="158" t="s">
        <v>182</v>
      </c>
      <c r="BF311" s="158" t="s">
        <v>182</v>
      </c>
      <c r="BG311" s="158" t="s">
        <v>182</v>
      </c>
      <c r="BH311" s="158" t="s">
        <v>182</v>
      </c>
      <c r="BI311" s="158" t="s">
        <v>182</v>
      </c>
      <c r="BJ311" s="164" t="s">
        <v>182</v>
      </c>
      <c r="BK311" s="158"/>
      <c r="BL311" s="164"/>
      <c r="BM311" s="158"/>
      <c r="BN311" s="164"/>
      <c r="BO311" s="158"/>
      <c r="BP311" s="164"/>
      <c r="BQ311" s="158"/>
      <c r="BR311" s="158"/>
      <c r="BS311" s="158"/>
      <c r="BT311" s="158"/>
      <c r="BU311" s="158"/>
      <c r="BV311" s="158"/>
      <c r="BW311" s="158"/>
      <c r="BX311" s="158"/>
      <c r="BY311" s="158"/>
      <c r="BZ311" s="158"/>
      <c r="CA311" s="158"/>
      <c r="CB311" s="158"/>
      <c r="CC311" s="158"/>
      <c r="CD311" s="158"/>
      <c r="CE311" s="159"/>
      <c r="CF311" s="159"/>
      <c r="CG311" s="471"/>
      <c r="CH311" s="471"/>
      <c r="CI311" s="471"/>
      <c r="CJ311" s="160" t="str">
        <f t="shared" si="84"/>
        <v>No aplica</v>
      </c>
      <c r="CK311" s="160" t="str">
        <f t="shared" si="85"/>
        <v>No aplica</v>
      </c>
      <c r="CL311" s="83" t="str">
        <f t="shared" si="79"/>
        <v>No aplica, no hay meta</v>
      </c>
      <c r="CM311" s="89" t="str">
        <f t="shared" si="80"/>
        <v>No aplica, no hay meta</v>
      </c>
      <c r="CN311" s="89" t="str">
        <f t="shared" si="81"/>
        <v>No se reportó avance</v>
      </c>
      <c r="CO311" s="159"/>
      <c r="CP311" s="159"/>
      <c r="CQ311" s="159"/>
      <c r="CR311" s="159"/>
      <c r="CS311" s="159"/>
      <c r="CT311" s="159"/>
      <c r="CU311" s="159"/>
      <c r="CV311" s="469"/>
      <c r="CW311" s="159"/>
      <c r="CX311" s="162"/>
      <c r="CY311" s="162"/>
      <c r="CZ311" s="469"/>
      <c r="DA311" s="469"/>
      <c r="DB311" s="469"/>
      <c r="DC311" s="469"/>
      <c r="DD311" s="469"/>
      <c r="DE311" s="159"/>
      <c r="DF311" s="159"/>
      <c r="DG311" s="159"/>
      <c r="DH311" s="483"/>
      <c r="DI311" s="159"/>
      <c r="DJ311" s="159"/>
      <c r="DK311" s="159"/>
      <c r="DL311" s="159"/>
      <c r="DM311" s="159"/>
      <c r="DN311" s="158"/>
      <c r="DO311" s="164"/>
      <c r="DP311" s="487"/>
      <c r="DQ311" s="164"/>
      <c r="DR311" s="164"/>
      <c r="DS311" s="158"/>
      <c r="DT311" s="164"/>
      <c r="DU311" s="487"/>
      <c r="DV311" s="164"/>
      <c r="DW311" s="164"/>
      <c r="DX311" s="158"/>
      <c r="DY311" s="164"/>
      <c r="DZ311" s="487"/>
      <c r="EA311" s="164"/>
      <c r="EB311" s="164"/>
      <c r="EC311" s="158"/>
      <c r="ED311" s="159"/>
      <c r="EE311" s="487"/>
      <c r="EF311" s="159"/>
      <c r="EG311" s="159"/>
      <c r="EH311" s="158"/>
      <c r="EI311" s="159"/>
      <c r="EJ311" s="159"/>
      <c r="EK311" s="159"/>
      <c r="EL311" s="91" t="str">
        <f t="shared" si="82"/>
        <v>No requiere reporte</v>
      </c>
      <c r="EM311" s="83" t="str">
        <f t="shared" si="83"/>
        <v>No requiere reporte</v>
      </c>
      <c r="EN311" s="164"/>
    </row>
    <row r="312" spans="1:144" s="93" customFormat="1" ht="65.25" hidden="1" customHeight="1">
      <c r="A312" s="159" t="s">
        <v>2548</v>
      </c>
      <c r="B312" s="158" t="s">
        <v>2549</v>
      </c>
      <c r="C312" s="158" t="s">
        <v>2752</v>
      </c>
      <c r="D312" s="158" t="s">
        <v>2753</v>
      </c>
      <c r="E312" s="158" t="s">
        <v>2754</v>
      </c>
      <c r="F312" s="159" t="s">
        <v>2755</v>
      </c>
      <c r="G312" s="159" t="s">
        <v>154</v>
      </c>
      <c r="H312" s="159" t="s">
        <v>2685</v>
      </c>
      <c r="I312" s="159" t="s">
        <v>2555</v>
      </c>
      <c r="J312" s="159" t="s">
        <v>2556</v>
      </c>
      <c r="K312" s="159" t="s">
        <v>2686</v>
      </c>
      <c r="L312" s="159">
        <v>13</v>
      </c>
      <c r="M312" s="159" t="s">
        <v>2834</v>
      </c>
      <c r="N312" s="159" t="s">
        <v>2835</v>
      </c>
      <c r="O312" s="159" t="s">
        <v>2836</v>
      </c>
      <c r="P312" s="159" t="s">
        <v>1161</v>
      </c>
      <c r="Q312" s="159" t="s">
        <v>233</v>
      </c>
      <c r="R312" s="486">
        <v>2</v>
      </c>
      <c r="S312" s="159" t="s">
        <v>234</v>
      </c>
      <c r="T312" s="162">
        <v>45175</v>
      </c>
      <c r="U312" s="162">
        <v>45291</v>
      </c>
      <c r="V312" s="162"/>
      <c r="W312" s="162"/>
      <c r="X312" s="162"/>
      <c r="Y312" s="162"/>
      <c r="Z312" s="476">
        <v>2</v>
      </c>
      <c r="AA312" s="476"/>
      <c r="AB312" s="476"/>
      <c r="AC312" s="476"/>
      <c r="AD312" s="476"/>
      <c r="AE312" s="476"/>
      <c r="AF312" s="476"/>
      <c r="AG312" s="476"/>
      <c r="AH312" s="476"/>
      <c r="AI312" s="476"/>
      <c r="AJ312" s="476"/>
      <c r="AK312" s="476"/>
      <c r="AL312" s="476"/>
      <c r="AM312" s="476"/>
      <c r="AN312" s="476"/>
      <c r="AO312" s="476">
        <v>2</v>
      </c>
      <c r="AP312" s="159">
        <f>+Z312</f>
        <v>2</v>
      </c>
      <c r="AQ312" s="159" t="s">
        <v>182</v>
      </c>
      <c r="AR312" s="159" t="s">
        <v>182</v>
      </c>
      <c r="AS312" s="159" t="s">
        <v>182</v>
      </c>
      <c r="AT312" s="159" t="s">
        <v>182</v>
      </c>
      <c r="AU312" s="159" t="s">
        <v>182</v>
      </c>
      <c r="AV312" s="159" t="s">
        <v>2837</v>
      </c>
      <c r="AW312" s="159">
        <v>2</v>
      </c>
      <c r="AX312" s="159" t="s">
        <v>2838</v>
      </c>
      <c r="AY312" s="159">
        <f>+AW312</f>
        <v>2</v>
      </c>
      <c r="AZ312" s="164" t="s">
        <v>2839</v>
      </c>
      <c r="BA312" s="158" t="s">
        <v>182</v>
      </c>
      <c r="BB312" s="158" t="s">
        <v>182</v>
      </c>
      <c r="BC312" s="158" t="s">
        <v>182</v>
      </c>
      <c r="BD312" s="158" t="s">
        <v>182</v>
      </c>
      <c r="BE312" s="158" t="s">
        <v>182</v>
      </c>
      <c r="BF312" s="158" t="s">
        <v>182</v>
      </c>
      <c r="BG312" s="158" t="s">
        <v>182</v>
      </c>
      <c r="BH312" s="158" t="s">
        <v>182</v>
      </c>
      <c r="BI312" s="158" t="s">
        <v>182</v>
      </c>
      <c r="BJ312" s="164" t="s">
        <v>182</v>
      </c>
      <c r="BK312" s="158"/>
      <c r="BL312" s="164"/>
      <c r="BM312" s="158"/>
      <c r="BN312" s="164"/>
      <c r="BO312" s="158"/>
      <c r="BP312" s="164"/>
      <c r="BQ312" s="158"/>
      <c r="BR312" s="158"/>
      <c r="BS312" s="158"/>
      <c r="BT312" s="158"/>
      <c r="BU312" s="158"/>
      <c r="BV312" s="158"/>
      <c r="BW312" s="158"/>
      <c r="BX312" s="158"/>
      <c r="BY312" s="158"/>
      <c r="BZ312" s="158"/>
      <c r="CA312" s="158"/>
      <c r="CB312" s="158"/>
      <c r="CC312" s="158"/>
      <c r="CD312" s="158"/>
      <c r="CE312" s="159"/>
      <c r="CF312" s="159"/>
      <c r="CG312" s="471"/>
      <c r="CH312" s="471"/>
      <c r="CI312" s="471"/>
      <c r="CJ312" s="160" t="str">
        <f t="shared" si="84"/>
        <v>No aplica</v>
      </c>
      <c r="CK312" s="160" t="str">
        <f t="shared" si="85"/>
        <v>No aplica</v>
      </c>
      <c r="CL312" s="83" t="str">
        <f t="shared" si="79"/>
        <v>No aplica, no hay meta</v>
      </c>
      <c r="CM312" s="89" t="str">
        <f t="shared" si="80"/>
        <v>No se reportó avance</v>
      </c>
      <c r="CN312" s="89" t="str">
        <f t="shared" si="81"/>
        <v>No se reportó avance</v>
      </c>
      <c r="CO312" s="159"/>
      <c r="CP312" s="159"/>
      <c r="CQ312" s="159"/>
      <c r="CR312" s="159"/>
      <c r="CS312" s="159"/>
      <c r="CT312" s="159"/>
      <c r="CU312" s="159"/>
      <c r="CV312" s="469"/>
      <c r="CW312" s="159"/>
      <c r="CX312" s="162"/>
      <c r="CY312" s="162"/>
      <c r="CZ312" s="469"/>
      <c r="DA312" s="469"/>
      <c r="DB312" s="469"/>
      <c r="DC312" s="469"/>
      <c r="DD312" s="469"/>
      <c r="DE312" s="159"/>
      <c r="DF312" s="159"/>
      <c r="DG312" s="159"/>
      <c r="DH312" s="483"/>
      <c r="DI312" s="159"/>
      <c r="DJ312" s="159"/>
      <c r="DK312" s="159"/>
      <c r="DL312" s="159"/>
      <c r="DM312" s="159"/>
      <c r="DN312" s="158"/>
      <c r="DO312" s="164"/>
      <c r="DP312" s="487"/>
      <c r="DQ312" s="164"/>
      <c r="DR312" s="164"/>
      <c r="DS312" s="158"/>
      <c r="DT312" s="164"/>
      <c r="DU312" s="487"/>
      <c r="DV312" s="164"/>
      <c r="DW312" s="164"/>
      <c r="DX312" s="158"/>
      <c r="DY312" s="164"/>
      <c r="DZ312" s="487"/>
      <c r="EA312" s="164"/>
      <c r="EB312" s="164"/>
      <c r="EC312" s="158"/>
      <c r="ED312" s="159"/>
      <c r="EE312" s="487"/>
      <c r="EF312" s="159"/>
      <c r="EG312" s="159"/>
      <c r="EH312" s="158"/>
      <c r="EI312" s="159"/>
      <c r="EJ312" s="159"/>
      <c r="EK312" s="159"/>
      <c r="EL312" s="91" t="str">
        <f t="shared" si="82"/>
        <v>No requiere reporte</v>
      </c>
      <c r="EM312" s="83" t="str">
        <f t="shared" si="83"/>
        <v>No requiere reporte</v>
      </c>
      <c r="EN312" s="164" t="s">
        <v>2840</v>
      </c>
    </row>
    <row r="313" spans="1:144" s="93" customFormat="1" ht="75" customHeight="1">
      <c r="A313" s="74" t="s">
        <v>2548</v>
      </c>
      <c r="B313" s="74" t="s">
        <v>2549</v>
      </c>
      <c r="C313" s="74" t="s">
        <v>2550</v>
      </c>
      <c r="D313" s="74" t="s">
        <v>2551</v>
      </c>
      <c r="E313" s="74" t="s">
        <v>2552</v>
      </c>
      <c r="F313" s="74" t="s">
        <v>2553</v>
      </c>
      <c r="G313" s="74" t="s">
        <v>154</v>
      </c>
      <c r="H313" s="74" t="s">
        <v>2554</v>
      </c>
      <c r="I313" s="74" t="s">
        <v>2555</v>
      </c>
      <c r="J313" s="121" t="s">
        <v>2556</v>
      </c>
      <c r="K313" s="74" t="s">
        <v>730</v>
      </c>
      <c r="L313" s="78">
        <v>14</v>
      </c>
      <c r="M313" s="80" t="s">
        <v>2841</v>
      </c>
      <c r="N313" s="80" t="s">
        <v>2842</v>
      </c>
      <c r="O313" s="80" t="s">
        <v>2559</v>
      </c>
      <c r="P313" s="80" t="s">
        <v>200</v>
      </c>
      <c r="Q313" s="80" t="s">
        <v>162</v>
      </c>
      <c r="R313" s="82">
        <v>1</v>
      </c>
      <c r="S313" s="82" t="s">
        <v>163</v>
      </c>
      <c r="T313" s="80">
        <v>45292</v>
      </c>
      <c r="U313" s="80">
        <v>46387</v>
      </c>
      <c r="V313" s="121"/>
      <c r="W313" s="121"/>
      <c r="X313" s="121"/>
      <c r="Y313" s="121"/>
      <c r="Z313" s="82">
        <v>1</v>
      </c>
      <c r="AA313" s="121">
        <v>1</v>
      </c>
      <c r="AB313" s="121">
        <v>1</v>
      </c>
      <c r="AC313" s="121">
        <v>1</v>
      </c>
      <c r="AD313" s="121">
        <v>1</v>
      </c>
      <c r="AE313" s="82">
        <v>1</v>
      </c>
      <c r="AF313" s="82">
        <v>1</v>
      </c>
      <c r="AG313" s="82">
        <v>1</v>
      </c>
      <c r="AH313" s="82">
        <v>1</v>
      </c>
      <c r="AI313" s="82">
        <v>1</v>
      </c>
      <c r="AJ313" s="82">
        <v>1</v>
      </c>
      <c r="AK313" s="121">
        <v>1</v>
      </c>
      <c r="AL313" s="121">
        <v>1</v>
      </c>
      <c r="AM313" s="121">
        <v>1</v>
      </c>
      <c r="AN313" s="121">
        <v>1</v>
      </c>
      <c r="AO313" s="82">
        <v>1</v>
      </c>
      <c r="AP313" s="82">
        <v>1</v>
      </c>
      <c r="AQ313" s="84" t="s">
        <v>182</v>
      </c>
      <c r="AR313" s="84" t="s">
        <v>182</v>
      </c>
      <c r="AS313" s="84" t="s">
        <v>182</v>
      </c>
      <c r="AT313" s="84" t="s">
        <v>182</v>
      </c>
      <c r="AU313" s="84" t="s">
        <v>182</v>
      </c>
      <c r="AV313" s="84" t="s">
        <v>182</v>
      </c>
      <c r="AW313" s="84" t="s">
        <v>182</v>
      </c>
      <c r="AX313" s="84" t="s">
        <v>182</v>
      </c>
      <c r="AY313" s="84" t="s">
        <v>182</v>
      </c>
      <c r="AZ313" s="86" t="s">
        <v>182</v>
      </c>
      <c r="BA313" s="85">
        <v>0</v>
      </c>
      <c r="BB313" s="84" t="s">
        <v>2843</v>
      </c>
      <c r="BC313" s="85">
        <v>0</v>
      </c>
      <c r="BD313" s="84" t="s">
        <v>2844</v>
      </c>
      <c r="BE313" s="85">
        <v>0</v>
      </c>
      <c r="BF313" s="85" t="s">
        <v>2845</v>
      </c>
      <c r="BG313" s="85">
        <v>0.25</v>
      </c>
      <c r="BH313" s="85" t="s">
        <v>2846</v>
      </c>
      <c r="BI313" s="85">
        <f>+BG313</f>
        <v>0.25</v>
      </c>
      <c r="BJ313" s="86" t="s">
        <v>2847</v>
      </c>
      <c r="BK313" s="85">
        <v>0</v>
      </c>
      <c r="BL313" s="86" t="s">
        <v>2848</v>
      </c>
      <c r="BM313" s="83">
        <f>(0/1+0/1+0/1)/3</f>
        <v>0</v>
      </c>
      <c r="BN313" s="86" t="s">
        <v>2849</v>
      </c>
      <c r="BO313" s="83">
        <f>+(1/1)/3</f>
        <v>0.33333333333333331</v>
      </c>
      <c r="BP313" s="86" t="s">
        <v>2850</v>
      </c>
      <c r="BQ313" s="85"/>
      <c r="BR313" s="85"/>
      <c r="BS313" s="83">
        <f>+BO313</f>
        <v>0.33333333333333331</v>
      </c>
      <c r="BT313" s="85"/>
      <c r="BU313" s="85"/>
      <c r="BV313" s="85"/>
      <c r="BW313" s="85"/>
      <c r="BX313" s="85"/>
      <c r="BY313" s="85"/>
      <c r="BZ313" s="85"/>
      <c r="CA313" s="85"/>
      <c r="CB313" s="85"/>
      <c r="CC313" s="85"/>
      <c r="CD313" s="85"/>
      <c r="CE313" s="85">
        <f>+BS313</f>
        <v>0.33333333333333331</v>
      </c>
      <c r="CF313" s="84"/>
      <c r="CG313" s="372">
        <f>SUM(DH313:DH316)</f>
        <v>726324560</v>
      </c>
      <c r="CH313" s="372"/>
      <c r="CI313" s="372"/>
      <c r="CJ313" s="83">
        <f t="shared" si="84"/>
        <v>0</v>
      </c>
      <c r="CK313" s="83">
        <f t="shared" si="85"/>
        <v>0</v>
      </c>
      <c r="CL313" s="83" t="str">
        <f t="shared" si="79"/>
        <v>No se reportó avance</v>
      </c>
      <c r="CM313" s="89" t="str">
        <f t="shared" si="80"/>
        <v>No se reportó avance</v>
      </c>
      <c r="CN313" s="89">
        <f t="shared" si="81"/>
        <v>0.33333333333333331</v>
      </c>
      <c r="CO313" s="84" t="s">
        <v>2256</v>
      </c>
      <c r="CP313" s="86" t="s">
        <v>2851</v>
      </c>
      <c r="CQ313" s="84" t="s">
        <v>2807</v>
      </c>
      <c r="CR313" s="84" t="s">
        <v>2852</v>
      </c>
      <c r="CS313" s="84" t="s">
        <v>2853</v>
      </c>
      <c r="CT313" s="84" t="s">
        <v>161</v>
      </c>
      <c r="CU313" s="84" t="s">
        <v>233</v>
      </c>
      <c r="CV313" s="84">
        <v>1</v>
      </c>
      <c r="CW313" s="84" t="s">
        <v>234</v>
      </c>
      <c r="CX313" s="90">
        <v>46023</v>
      </c>
      <c r="CY313" s="90">
        <v>46387</v>
      </c>
      <c r="CZ313" s="84">
        <v>0</v>
      </c>
      <c r="DA313" s="84">
        <v>0</v>
      </c>
      <c r="DB313" s="84">
        <v>1</v>
      </c>
      <c r="DC313" s="84">
        <v>0</v>
      </c>
      <c r="DD313" s="84">
        <f>DB313</f>
        <v>1</v>
      </c>
      <c r="DE313" s="84" t="s">
        <v>265</v>
      </c>
      <c r="DF313" s="84" t="s">
        <v>2854</v>
      </c>
      <c r="DG313" s="84" t="s">
        <v>2855</v>
      </c>
      <c r="DH313" s="675">
        <v>25313739</v>
      </c>
      <c r="DI313" s="84" t="s">
        <v>1633</v>
      </c>
      <c r="DJ313" s="84" t="s">
        <v>2714</v>
      </c>
      <c r="DK313" s="84" t="s">
        <v>1485</v>
      </c>
      <c r="DL313" s="84" t="s">
        <v>2581</v>
      </c>
      <c r="DM313" s="84" t="s">
        <v>2815</v>
      </c>
      <c r="DN313" s="84"/>
      <c r="DO313" s="86"/>
      <c r="DP313" s="84"/>
      <c r="DQ313" s="86"/>
      <c r="DR313" s="86"/>
      <c r="DS313" s="84"/>
      <c r="DT313" s="86"/>
      <c r="DU313" s="672"/>
      <c r="DV313" s="86"/>
      <c r="DW313" s="86"/>
      <c r="DX313" s="84"/>
      <c r="DY313" s="86"/>
      <c r="DZ313" s="672"/>
      <c r="EA313" s="86"/>
      <c r="EB313" s="86"/>
      <c r="EC313" s="85"/>
      <c r="ED313" s="84"/>
      <c r="EE313" s="672"/>
      <c r="EF313" s="84"/>
      <c r="EG313" s="84"/>
      <c r="EH313" s="84"/>
      <c r="EI313" s="84"/>
      <c r="EJ313" s="84"/>
      <c r="EK313" s="84"/>
      <c r="EL313" s="91" t="str">
        <f t="shared" si="82"/>
        <v>No aplica, no hay meta</v>
      </c>
      <c r="EM313" s="83" t="str">
        <f t="shared" si="83"/>
        <v>No se reportó avance</v>
      </c>
      <c r="EN313" s="86"/>
    </row>
    <row r="314" spans="1:144" s="93" customFormat="1" ht="78" customHeight="1">
      <c r="A314" s="84" t="s">
        <v>2548</v>
      </c>
      <c r="B314" s="84" t="s">
        <v>2549</v>
      </c>
      <c r="C314" s="84" t="s">
        <v>2550</v>
      </c>
      <c r="D314" s="84" t="s">
        <v>2551</v>
      </c>
      <c r="E314" s="84" t="s">
        <v>2552</v>
      </c>
      <c r="F314" s="84" t="s">
        <v>2553</v>
      </c>
      <c r="G314" s="84" t="s">
        <v>154</v>
      </c>
      <c r="H314" s="84" t="s">
        <v>2554</v>
      </c>
      <c r="I314" s="84" t="s">
        <v>2555</v>
      </c>
      <c r="J314" s="83" t="s">
        <v>2556</v>
      </c>
      <c r="K314" s="84" t="s">
        <v>730</v>
      </c>
      <c r="L314" s="84">
        <v>14</v>
      </c>
      <c r="M314" s="90" t="s">
        <v>2841</v>
      </c>
      <c r="N314" s="90" t="s">
        <v>2842</v>
      </c>
      <c r="O314" s="90" t="s">
        <v>2559</v>
      </c>
      <c r="P314" s="90" t="s">
        <v>200</v>
      </c>
      <c r="Q314" s="90" t="s">
        <v>162</v>
      </c>
      <c r="R314" s="83">
        <v>1</v>
      </c>
      <c r="S314" s="83" t="s">
        <v>163</v>
      </c>
      <c r="T314" s="90">
        <v>45292</v>
      </c>
      <c r="U314" s="90">
        <v>46387</v>
      </c>
      <c r="V314" s="83"/>
      <c r="W314" s="83"/>
      <c r="X314" s="188"/>
      <c r="Y314" s="188"/>
      <c r="Z314" s="83"/>
      <c r="AA314" s="83">
        <v>1</v>
      </c>
      <c r="AB314" s="83">
        <v>1</v>
      </c>
      <c r="AC314" s="83">
        <v>1</v>
      </c>
      <c r="AD314" s="83">
        <v>1</v>
      </c>
      <c r="AE314" s="83"/>
      <c r="AF314" s="83"/>
      <c r="AG314" s="83"/>
      <c r="AH314" s="83"/>
      <c r="AI314" s="84"/>
      <c r="AJ314" s="83"/>
      <c r="AK314" s="84"/>
      <c r="AL314" s="84"/>
      <c r="AM314" s="84"/>
      <c r="AN314" s="84"/>
      <c r="AO314" s="84"/>
      <c r="AP314" s="83"/>
      <c r="AQ314" s="84"/>
      <c r="AR314" s="84"/>
      <c r="AS314" s="84"/>
      <c r="AT314" s="84"/>
      <c r="AU314" s="84"/>
      <c r="AV314" s="84"/>
      <c r="AW314" s="84"/>
      <c r="AX314" s="84"/>
      <c r="AY314" s="84"/>
      <c r="AZ314" s="86"/>
      <c r="BA314" s="85"/>
      <c r="BB314" s="84"/>
      <c r="BC314" s="85"/>
      <c r="BD314" s="84"/>
      <c r="BE314" s="85"/>
      <c r="BF314" s="84"/>
      <c r="BG314" s="85"/>
      <c r="BH314" s="85"/>
      <c r="BI314" s="85"/>
      <c r="BJ314" s="86"/>
      <c r="BK314" s="85"/>
      <c r="BL314" s="86"/>
      <c r="BM314" s="85"/>
      <c r="BN314" s="86"/>
      <c r="BO314" s="85"/>
      <c r="BP314" s="86"/>
      <c r="BQ314" s="85"/>
      <c r="BR314" s="85"/>
      <c r="BS314" s="85"/>
      <c r="BT314" s="85"/>
      <c r="BU314" s="85"/>
      <c r="BV314" s="85"/>
      <c r="BW314" s="85"/>
      <c r="BX314" s="85"/>
      <c r="BY314" s="85"/>
      <c r="BZ314" s="85"/>
      <c r="CA314" s="85"/>
      <c r="CB314" s="85"/>
      <c r="CC314" s="85"/>
      <c r="CD314" s="85"/>
      <c r="CE314" s="85"/>
      <c r="CF314" s="84"/>
      <c r="CG314" s="372"/>
      <c r="CH314" s="372"/>
      <c r="CI314" s="372"/>
      <c r="CJ314" s="83" t="str">
        <f t="shared" si="84"/>
        <v>No aplica</v>
      </c>
      <c r="CK314" s="83" t="str">
        <f t="shared" si="85"/>
        <v>No aplica</v>
      </c>
      <c r="CL314" s="83" t="str">
        <f t="shared" si="79"/>
        <v>No requiere reporte</v>
      </c>
      <c r="CM314" s="89" t="str">
        <f t="shared" si="80"/>
        <v>No requiere reporte</v>
      </c>
      <c r="CN314" s="89" t="str">
        <f t="shared" si="81"/>
        <v>No requiere reporte</v>
      </c>
      <c r="CO314" s="84" t="s">
        <v>2263</v>
      </c>
      <c r="CP314" s="86" t="s">
        <v>2856</v>
      </c>
      <c r="CQ314" s="84" t="s">
        <v>2590</v>
      </c>
      <c r="CR314" s="84" t="s">
        <v>2857</v>
      </c>
      <c r="CS314" s="84" t="s">
        <v>2853</v>
      </c>
      <c r="CT314" s="84" t="s">
        <v>161</v>
      </c>
      <c r="CU314" s="84" t="s">
        <v>233</v>
      </c>
      <c r="CV314" s="84">
        <v>1</v>
      </c>
      <c r="CW314" s="84" t="s">
        <v>234</v>
      </c>
      <c r="CX314" s="90">
        <v>46204</v>
      </c>
      <c r="CY314" s="90">
        <v>46387</v>
      </c>
      <c r="CZ314" s="84">
        <v>0</v>
      </c>
      <c r="DA314" s="84">
        <v>0</v>
      </c>
      <c r="DB314" s="84">
        <v>1</v>
      </c>
      <c r="DC314" s="84">
        <v>0</v>
      </c>
      <c r="DD314" s="84">
        <v>1</v>
      </c>
      <c r="DE314" s="84" t="s">
        <v>265</v>
      </c>
      <c r="DF314" s="84" t="s">
        <v>2854</v>
      </c>
      <c r="DG314" s="84" t="s">
        <v>2855</v>
      </c>
      <c r="DH314" s="675">
        <v>118130782</v>
      </c>
      <c r="DI314" s="84" t="s">
        <v>1633</v>
      </c>
      <c r="DJ314" s="84" t="s">
        <v>2714</v>
      </c>
      <c r="DK314" s="84" t="s">
        <v>1485</v>
      </c>
      <c r="DL314" s="84" t="s">
        <v>2581</v>
      </c>
      <c r="DM314" s="84" t="s">
        <v>2815</v>
      </c>
      <c r="DN314" s="84"/>
      <c r="DO314" s="86"/>
      <c r="DP314" s="84"/>
      <c r="DQ314" s="86"/>
      <c r="DR314" s="86"/>
      <c r="DS314" s="84"/>
      <c r="DT314" s="86"/>
      <c r="DU314" s="122"/>
      <c r="DV314" s="86"/>
      <c r="DW314" s="86"/>
      <c r="DX314" s="84"/>
      <c r="DY314" s="86"/>
      <c r="DZ314" s="122"/>
      <c r="EA314" s="86"/>
      <c r="EB314" s="86"/>
      <c r="EC314" s="122"/>
      <c r="ED314" s="84"/>
      <c r="EE314" s="122"/>
      <c r="EF314" s="84"/>
      <c r="EG314" s="84"/>
      <c r="EH314" s="84"/>
      <c r="EI314" s="84"/>
      <c r="EJ314" s="84"/>
      <c r="EK314" s="84"/>
      <c r="EL314" s="91" t="str">
        <f t="shared" si="82"/>
        <v>No aplica, no hay meta</v>
      </c>
      <c r="EM314" s="83" t="str">
        <f t="shared" si="83"/>
        <v>No se reportó avance</v>
      </c>
      <c r="EN314" s="86"/>
    </row>
    <row r="315" spans="1:144" s="93" customFormat="1" ht="81" customHeight="1">
      <c r="A315" s="84" t="s">
        <v>2548</v>
      </c>
      <c r="B315" s="84" t="s">
        <v>2549</v>
      </c>
      <c r="C315" s="84" t="s">
        <v>2550</v>
      </c>
      <c r="D315" s="84" t="s">
        <v>2551</v>
      </c>
      <c r="E315" s="84" t="s">
        <v>2552</v>
      </c>
      <c r="F315" s="84" t="s">
        <v>2553</v>
      </c>
      <c r="G315" s="84" t="s">
        <v>154</v>
      </c>
      <c r="H315" s="84" t="s">
        <v>2554</v>
      </c>
      <c r="I315" s="84" t="s">
        <v>2555</v>
      </c>
      <c r="J315" s="83" t="s">
        <v>2556</v>
      </c>
      <c r="K315" s="84" t="s">
        <v>730</v>
      </c>
      <c r="L315" s="84">
        <v>14</v>
      </c>
      <c r="M315" s="90" t="s">
        <v>2841</v>
      </c>
      <c r="N315" s="90" t="s">
        <v>2842</v>
      </c>
      <c r="O315" s="90" t="s">
        <v>2559</v>
      </c>
      <c r="P315" s="90" t="s">
        <v>200</v>
      </c>
      <c r="Q315" s="90" t="s">
        <v>162</v>
      </c>
      <c r="R315" s="83">
        <v>1</v>
      </c>
      <c r="S315" s="83" t="s">
        <v>163</v>
      </c>
      <c r="T315" s="90">
        <v>45292</v>
      </c>
      <c r="U315" s="90">
        <v>46387</v>
      </c>
      <c r="V315" s="83"/>
      <c r="W315" s="83"/>
      <c r="X315" s="188"/>
      <c r="Y315" s="188"/>
      <c r="Z315" s="83"/>
      <c r="AA315" s="83">
        <v>1</v>
      </c>
      <c r="AB315" s="83">
        <v>1</v>
      </c>
      <c r="AC315" s="83">
        <v>1</v>
      </c>
      <c r="AD315" s="83">
        <v>1</v>
      </c>
      <c r="AE315" s="83"/>
      <c r="AF315" s="83"/>
      <c r="AG315" s="83"/>
      <c r="AH315" s="83"/>
      <c r="AI315" s="84"/>
      <c r="AJ315" s="83"/>
      <c r="AK315" s="83"/>
      <c r="AL315" s="84"/>
      <c r="AM315" s="84"/>
      <c r="AN315" s="84"/>
      <c r="AO315" s="84"/>
      <c r="AP315" s="84"/>
      <c r="AQ315" s="84"/>
      <c r="AR315" s="84"/>
      <c r="AS315" s="84"/>
      <c r="AT315" s="84"/>
      <c r="AU315" s="84"/>
      <c r="AV315" s="84"/>
      <c r="AW315" s="84"/>
      <c r="AX315" s="84"/>
      <c r="AY315" s="84"/>
      <c r="AZ315" s="86"/>
      <c r="BA315" s="85"/>
      <c r="BB315" s="84"/>
      <c r="BC315" s="85"/>
      <c r="BD315" s="84"/>
      <c r="BE315" s="85"/>
      <c r="BF315" s="85"/>
      <c r="BG315" s="85"/>
      <c r="BH315" s="85"/>
      <c r="BI315" s="85"/>
      <c r="BJ315" s="86"/>
      <c r="BK315" s="85"/>
      <c r="BL315" s="86"/>
      <c r="BM315" s="85"/>
      <c r="BN315" s="86"/>
      <c r="BO315" s="85"/>
      <c r="BP315" s="86"/>
      <c r="BQ315" s="85"/>
      <c r="BR315" s="85"/>
      <c r="BS315" s="85"/>
      <c r="BT315" s="85"/>
      <c r="BU315" s="85"/>
      <c r="BV315" s="85"/>
      <c r="BW315" s="85"/>
      <c r="BX315" s="85"/>
      <c r="BY315" s="85"/>
      <c r="BZ315" s="85"/>
      <c r="CA315" s="85"/>
      <c r="CB315" s="85"/>
      <c r="CC315" s="85"/>
      <c r="CD315" s="85"/>
      <c r="CE315" s="85"/>
      <c r="CF315" s="84"/>
      <c r="CG315" s="372"/>
      <c r="CH315" s="372"/>
      <c r="CI315" s="372"/>
      <c r="CJ315" s="83" t="str">
        <f t="shared" si="84"/>
        <v>No aplica</v>
      </c>
      <c r="CK315" s="83" t="str">
        <f t="shared" si="85"/>
        <v>No aplica</v>
      </c>
      <c r="CL315" s="83" t="str">
        <f t="shared" si="79"/>
        <v>No requiere reporte</v>
      </c>
      <c r="CM315" s="89" t="str">
        <f t="shared" si="80"/>
        <v>No requiere reporte</v>
      </c>
      <c r="CN315" s="89" t="str">
        <f t="shared" si="81"/>
        <v>No requiere reporte</v>
      </c>
      <c r="CO315" s="84" t="s">
        <v>2270</v>
      </c>
      <c r="CP315" s="86" t="s">
        <v>2858</v>
      </c>
      <c r="CQ315" s="84" t="s">
        <v>2859</v>
      </c>
      <c r="CR315" s="84" t="s">
        <v>2860</v>
      </c>
      <c r="CS315" s="84" t="s">
        <v>2861</v>
      </c>
      <c r="CT315" s="84" t="s">
        <v>200</v>
      </c>
      <c r="CU315" s="84" t="s">
        <v>233</v>
      </c>
      <c r="CV315" s="84">
        <v>1</v>
      </c>
      <c r="CW315" s="84" t="s">
        <v>234</v>
      </c>
      <c r="CX315" s="90">
        <v>46204</v>
      </c>
      <c r="CY315" s="90">
        <v>46387</v>
      </c>
      <c r="CZ315" s="84">
        <v>0</v>
      </c>
      <c r="DA315" s="84">
        <v>0</v>
      </c>
      <c r="DB315" s="84">
        <v>1</v>
      </c>
      <c r="DC315" s="84">
        <v>0</v>
      </c>
      <c r="DD315" s="84">
        <v>1</v>
      </c>
      <c r="DE315" s="84" t="s">
        <v>265</v>
      </c>
      <c r="DF315" s="84" t="s">
        <v>2854</v>
      </c>
      <c r="DG315" s="84" t="s">
        <v>2855</v>
      </c>
      <c r="DH315" s="675">
        <v>141956151</v>
      </c>
      <c r="DI315" s="84" t="s">
        <v>1633</v>
      </c>
      <c r="DJ315" s="84" t="s">
        <v>2613</v>
      </c>
      <c r="DK315" s="84" t="s">
        <v>559</v>
      </c>
      <c r="DL315" s="84" t="s">
        <v>2581</v>
      </c>
      <c r="DM315" s="84" t="s">
        <v>2862</v>
      </c>
      <c r="DN315" s="84"/>
      <c r="DO315" s="86"/>
      <c r="DP315" s="84"/>
      <c r="DQ315" s="86"/>
      <c r="DR315" s="86"/>
      <c r="DS315" s="84"/>
      <c r="DT315" s="86"/>
      <c r="DU315" s="122"/>
      <c r="DV315" s="86"/>
      <c r="DW315" s="86"/>
      <c r="DX315" s="84"/>
      <c r="DY315" s="86"/>
      <c r="DZ315" s="122"/>
      <c r="EA315" s="86"/>
      <c r="EB315" s="86"/>
      <c r="EC315" s="122"/>
      <c r="ED315" s="84"/>
      <c r="EE315" s="122"/>
      <c r="EF315" s="84"/>
      <c r="EG315" s="84"/>
      <c r="EH315" s="84"/>
      <c r="EI315" s="84"/>
      <c r="EJ315" s="84"/>
      <c r="EK315" s="84"/>
      <c r="EL315" s="91" t="str">
        <f t="shared" si="82"/>
        <v>No aplica, no hay meta</v>
      </c>
      <c r="EM315" s="83" t="str">
        <f t="shared" si="83"/>
        <v>No se reportó avance</v>
      </c>
      <c r="EN315" s="86"/>
    </row>
    <row r="316" spans="1:144" s="93" customFormat="1" ht="72" customHeight="1">
      <c r="A316" s="84" t="s">
        <v>2548</v>
      </c>
      <c r="B316" s="84" t="s">
        <v>2549</v>
      </c>
      <c r="C316" s="84" t="s">
        <v>2550</v>
      </c>
      <c r="D316" s="84" t="s">
        <v>2551</v>
      </c>
      <c r="E316" s="84" t="s">
        <v>2552</v>
      </c>
      <c r="F316" s="84" t="s">
        <v>2553</v>
      </c>
      <c r="G316" s="84" t="s">
        <v>154</v>
      </c>
      <c r="H316" s="84" t="s">
        <v>2554</v>
      </c>
      <c r="I316" s="84" t="s">
        <v>2555</v>
      </c>
      <c r="J316" s="83" t="s">
        <v>2556</v>
      </c>
      <c r="K316" s="84" t="s">
        <v>730</v>
      </c>
      <c r="L316" s="84">
        <v>14</v>
      </c>
      <c r="M316" s="90" t="s">
        <v>2841</v>
      </c>
      <c r="N316" s="90" t="s">
        <v>2842</v>
      </c>
      <c r="O316" s="90" t="s">
        <v>2559</v>
      </c>
      <c r="P316" s="90" t="s">
        <v>200</v>
      </c>
      <c r="Q316" s="90" t="s">
        <v>162</v>
      </c>
      <c r="R316" s="83">
        <v>1</v>
      </c>
      <c r="S316" s="83" t="s">
        <v>163</v>
      </c>
      <c r="T316" s="90">
        <v>45292</v>
      </c>
      <c r="U316" s="90">
        <v>46387</v>
      </c>
      <c r="V316" s="83"/>
      <c r="W316" s="83"/>
      <c r="X316" s="188"/>
      <c r="Y316" s="188"/>
      <c r="Z316" s="83"/>
      <c r="AA316" s="83">
        <v>1</v>
      </c>
      <c r="AB316" s="83">
        <v>1</v>
      </c>
      <c r="AC316" s="83">
        <v>1</v>
      </c>
      <c r="AD316" s="83">
        <v>1</v>
      </c>
      <c r="AE316" s="83"/>
      <c r="AF316" s="83"/>
      <c r="AG316" s="83"/>
      <c r="AH316" s="83"/>
      <c r="AI316" s="84"/>
      <c r="AJ316" s="83"/>
      <c r="AK316" s="84"/>
      <c r="AL316" s="84"/>
      <c r="AM316" s="84"/>
      <c r="AN316" s="84"/>
      <c r="AO316" s="84"/>
      <c r="AP316" s="83"/>
      <c r="AQ316" s="84"/>
      <c r="AR316" s="84"/>
      <c r="AS316" s="84"/>
      <c r="AT316" s="84"/>
      <c r="AU316" s="84"/>
      <c r="AV316" s="84"/>
      <c r="AW316" s="84"/>
      <c r="AX316" s="84"/>
      <c r="AY316" s="84"/>
      <c r="AZ316" s="86"/>
      <c r="BA316" s="122"/>
      <c r="BB316" s="84"/>
      <c r="BC316" s="122"/>
      <c r="BD316" s="84"/>
      <c r="BE316" s="122"/>
      <c r="BF316" s="84"/>
      <c r="BG316" s="122"/>
      <c r="BH316" s="122"/>
      <c r="BI316" s="122"/>
      <c r="BJ316" s="86"/>
      <c r="BK316" s="122"/>
      <c r="BL316" s="86"/>
      <c r="BM316" s="122"/>
      <c r="BN316" s="86"/>
      <c r="BO316" s="122"/>
      <c r="BP316" s="86"/>
      <c r="BQ316" s="122"/>
      <c r="BR316" s="122"/>
      <c r="BS316" s="122"/>
      <c r="BT316" s="122"/>
      <c r="BU316" s="122"/>
      <c r="BV316" s="122"/>
      <c r="BW316" s="122"/>
      <c r="BX316" s="122"/>
      <c r="BY316" s="122"/>
      <c r="BZ316" s="122"/>
      <c r="CA316" s="122"/>
      <c r="CB316" s="122"/>
      <c r="CC316" s="122"/>
      <c r="CD316" s="122"/>
      <c r="CE316" s="122"/>
      <c r="CF316" s="84"/>
      <c r="CG316" s="372"/>
      <c r="CH316" s="372"/>
      <c r="CI316" s="372"/>
      <c r="CJ316" s="83" t="str">
        <f t="shared" si="84"/>
        <v>No aplica</v>
      </c>
      <c r="CK316" s="83" t="str">
        <f t="shared" si="85"/>
        <v>No aplica</v>
      </c>
      <c r="CL316" s="83" t="str">
        <f t="shared" si="79"/>
        <v>No requiere reporte</v>
      </c>
      <c r="CM316" s="89" t="str">
        <f t="shared" si="80"/>
        <v>No requiere reporte</v>
      </c>
      <c r="CN316" s="89" t="str">
        <f t="shared" si="81"/>
        <v>No requiere reporte</v>
      </c>
      <c r="CO316" s="84" t="s">
        <v>2277</v>
      </c>
      <c r="CP316" s="86" t="s">
        <v>2863</v>
      </c>
      <c r="CQ316" s="84" t="s">
        <v>2590</v>
      </c>
      <c r="CR316" s="84" t="s">
        <v>2864</v>
      </c>
      <c r="CS316" s="84" t="s">
        <v>2865</v>
      </c>
      <c r="CT316" s="84" t="s">
        <v>200</v>
      </c>
      <c r="CU316" s="84" t="s">
        <v>233</v>
      </c>
      <c r="CV316" s="84">
        <v>4</v>
      </c>
      <c r="CW316" s="84" t="s">
        <v>234</v>
      </c>
      <c r="CX316" s="90">
        <v>46204</v>
      </c>
      <c r="CY316" s="90">
        <v>46387</v>
      </c>
      <c r="CZ316" s="84">
        <v>0</v>
      </c>
      <c r="DA316" s="84">
        <v>0</v>
      </c>
      <c r="DB316" s="84">
        <v>2</v>
      </c>
      <c r="DC316" s="84">
        <v>2</v>
      </c>
      <c r="DD316" s="84">
        <f>DB316+DC316</f>
        <v>4</v>
      </c>
      <c r="DE316" s="84" t="s">
        <v>265</v>
      </c>
      <c r="DF316" s="84" t="s">
        <v>2854</v>
      </c>
      <c r="DG316" s="84" t="s">
        <v>2855</v>
      </c>
      <c r="DH316" s="675">
        <v>440923888</v>
      </c>
      <c r="DI316" s="84" t="s">
        <v>1633</v>
      </c>
      <c r="DJ316" s="84" t="s">
        <v>2613</v>
      </c>
      <c r="DK316" s="84" t="s">
        <v>559</v>
      </c>
      <c r="DL316" s="84" t="s">
        <v>2581</v>
      </c>
      <c r="DM316" s="84" t="s">
        <v>2582</v>
      </c>
      <c r="DN316" s="84"/>
      <c r="DO316" s="86"/>
      <c r="DP316" s="84"/>
      <c r="DQ316" s="86"/>
      <c r="DR316" s="86"/>
      <c r="DS316" s="84"/>
      <c r="DT316" s="86"/>
      <c r="DU316" s="85"/>
      <c r="DV316" s="86"/>
      <c r="DW316" s="86"/>
      <c r="DX316" s="84"/>
      <c r="DY316" s="86"/>
      <c r="DZ316" s="85"/>
      <c r="EA316" s="86"/>
      <c r="EB316" s="86"/>
      <c r="EC316" s="85"/>
      <c r="ED316" s="84"/>
      <c r="EE316" s="85"/>
      <c r="EF316" s="84"/>
      <c r="EG316" s="84"/>
      <c r="EH316" s="84"/>
      <c r="EI316" s="84"/>
      <c r="EJ316" s="84"/>
      <c r="EK316" s="84"/>
      <c r="EL316" s="91" t="str">
        <f t="shared" si="82"/>
        <v>No aplica, no hay meta</v>
      </c>
      <c r="EM316" s="83" t="str">
        <f t="shared" si="83"/>
        <v>No se reportó avance</v>
      </c>
      <c r="EN316" s="86"/>
    </row>
    <row r="317" spans="1:144" s="93" customFormat="1" ht="77.25" customHeight="1">
      <c r="A317" s="74" t="s">
        <v>2548</v>
      </c>
      <c r="B317" s="74" t="s">
        <v>2549</v>
      </c>
      <c r="C317" s="74" t="s">
        <v>2550</v>
      </c>
      <c r="D317" s="74" t="s">
        <v>2551</v>
      </c>
      <c r="E317" s="74" t="s">
        <v>2552</v>
      </c>
      <c r="F317" s="74" t="s">
        <v>2553</v>
      </c>
      <c r="G317" s="74" t="s">
        <v>154</v>
      </c>
      <c r="H317" s="74" t="s">
        <v>2554</v>
      </c>
      <c r="I317" s="74" t="s">
        <v>2555</v>
      </c>
      <c r="J317" s="121" t="s">
        <v>2556</v>
      </c>
      <c r="K317" s="74" t="s">
        <v>730</v>
      </c>
      <c r="L317" s="176">
        <v>15</v>
      </c>
      <c r="M317" s="80" t="s">
        <v>2866</v>
      </c>
      <c r="N317" s="80" t="s">
        <v>2867</v>
      </c>
      <c r="O317" s="80" t="s">
        <v>2868</v>
      </c>
      <c r="P317" s="80" t="s">
        <v>200</v>
      </c>
      <c r="Q317" s="80" t="s">
        <v>233</v>
      </c>
      <c r="R317" s="82" t="s">
        <v>182</v>
      </c>
      <c r="S317" s="82" t="s">
        <v>402</v>
      </c>
      <c r="T317" s="80">
        <v>45292</v>
      </c>
      <c r="U317" s="80">
        <v>46387</v>
      </c>
      <c r="V317" s="368"/>
      <c r="W317" s="368"/>
      <c r="X317" s="368"/>
      <c r="Y317" s="368"/>
      <c r="Z317" s="366">
        <v>9</v>
      </c>
      <c r="AA317" s="368"/>
      <c r="AB317" s="368"/>
      <c r="AC317" s="368"/>
      <c r="AD317" s="368"/>
      <c r="AE317" s="366">
        <v>9</v>
      </c>
      <c r="AF317" s="366">
        <v>0</v>
      </c>
      <c r="AG317" s="366">
        <v>15</v>
      </c>
      <c r="AH317" s="366">
        <v>15</v>
      </c>
      <c r="AI317" s="366">
        <v>11</v>
      </c>
      <c r="AJ317" s="366">
        <f>+AF317+AG317+AH317+AI317</f>
        <v>41</v>
      </c>
      <c r="AK317" s="74">
        <v>6</v>
      </c>
      <c r="AL317" s="74">
        <v>15</v>
      </c>
      <c r="AM317" s="74">
        <v>15</v>
      </c>
      <c r="AN317" s="74">
        <v>5</v>
      </c>
      <c r="AO317" s="74">
        <f>AK317+AL317+AM317+AN317</f>
        <v>41</v>
      </c>
      <c r="AP317" s="176">
        <f>+Z317+AE317+AJ317+AO317</f>
        <v>100</v>
      </c>
      <c r="AQ317" s="84" t="s">
        <v>182</v>
      </c>
      <c r="AR317" s="84" t="s">
        <v>182</v>
      </c>
      <c r="AS317" s="84" t="s">
        <v>182</v>
      </c>
      <c r="AT317" s="84" t="s">
        <v>182</v>
      </c>
      <c r="AU317" s="84" t="s">
        <v>182</v>
      </c>
      <c r="AV317" s="84" t="s">
        <v>182</v>
      </c>
      <c r="AW317" s="84" t="s">
        <v>182</v>
      </c>
      <c r="AX317" s="84" t="s">
        <v>182</v>
      </c>
      <c r="AY317" s="84" t="s">
        <v>182</v>
      </c>
      <c r="AZ317" s="86" t="s">
        <v>182</v>
      </c>
      <c r="BA317" s="122" t="s">
        <v>182</v>
      </c>
      <c r="BB317" s="84" t="s">
        <v>2669</v>
      </c>
      <c r="BC317" s="122" t="s">
        <v>182</v>
      </c>
      <c r="BD317" s="84" t="s">
        <v>2669</v>
      </c>
      <c r="BE317" s="122">
        <v>0</v>
      </c>
      <c r="BF317" s="122" t="s">
        <v>2869</v>
      </c>
      <c r="BG317" s="122">
        <v>9</v>
      </c>
      <c r="BH317" s="122" t="s">
        <v>2870</v>
      </c>
      <c r="BI317" s="122">
        <f>+BG317</f>
        <v>9</v>
      </c>
      <c r="BJ317" s="86" t="s">
        <v>2871</v>
      </c>
      <c r="BK317" s="84" t="s">
        <v>182</v>
      </c>
      <c r="BL317" s="86" t="s">
        <v>2848</v>
      </c>
      <c r="BM317" s="84">
        <v>0</v>
      </c>
      <c r="BN317" s="86" t="s">
        <v>2872</v>
      </c>
      <c r="BO317" s="84">
        <v>17</v>
      </c>
      <c r="BP317" s="86" t="s">
        <v>2873</v>
      </c>
      <c r="BQ317" s="122"/>
      <c r="BR317" s="122"/>
      <c r="BS317" s="84">
        <f>+BO317</f>
        <v>17</v>
      </c>
      <c r="BT317" s="122"/>
      <c r="BU317" s="122"/>
      <c r="BV317" s="122"/>
      <c r="BW317" s="122"/>
      <c r="BX317" s="122"/>
      <c r="BY317" s="122"/>
      <c r="BZ317" s="122"/>
      <c r="CA317" s="122"/>
      <c r="CB317" s="122"/>
      <c r="CC317" s="122"/>
      <c r="CD317" s="122"/>
      <c r="CE317" s="122">
        <f>+BS317+BI317</f>
        <v>26</v>
      </c>
      <c r="CF317" s="84"/>
      <c r="CG317" s="372">
        <f>SUM(DH317:DH317)</f>
        <v>170175440</v>
      </c>
      <c r="CH317" s="372"/>
      <c r="CI317" s="372"/>
      <c r="CJ317" s="83">
        <f t="shared" si="84"/>
        <v>0</v>
      </c>
      <c r="CK317" s="83">
        <f t="shared" si="85"/>
        <v>0</v>
      </c>
      <c r="CL317" s="83" t="str">
        <f t="shared" si="79"/>
        <v>No se reportó avance</v>
      </c>
      <c r="CM317" s="89" t="str">
        <f t="shared" si="80"/>
        <v>No se reportó avance</v>
      </c>
      <c r="CN317" s="89">
        <f t="shared" si="81"/>
        <v>0.26</v>
      </c>
      <c r="CO317" s="84" t="s">
        <v>2331</v>
      </c>
      <c r="CP317" s="86" t="s">
        <v>2874</v>
      </c>
      <c r="CQ317" s="84" t="s">
        <v>2859</v>
      </c>
      <c r="CR317" s="84" t="s">
        <v>2875</v>
      </c>
      <c r="CS317" s="84" t="s">
        <v>416</v>
      </c>
      <c r="CT317" s="84" t="s">
        <v>200</v>
      </c>
      <c r="CU317" s="84" t="s">
        <v>233</v>
      </c>
      <c r="CV317" s="84">
        <v>41</v>
      </c>
      <c r="CW317" s="84" t="s">
        <v>234</v>
      </c>
      <c r="CX317" s="90">
        <v>46023</v>
      </c>
      <c r="CY317" s="90">
        <v>46387</v>
      </c>
      <c r="CZ317" s="84">
        <v>6</v>
      </c>
      <c r="DA317" s="84">
        <v>15</v>
      </c>
      <c r="DB317" s="84">
        <v>15</v>
      </c>
      <c r="DC317" s="84">
        <v>5</v>
      </c>
      <c r="DD317" s="84">
        <f>CZ317+DA317+DB317+DC317</f>
        <v>41</v>
      </c>
      <c r="DE317" s="84" t="s">
        <v>265</v>
      </c>
      <c r="DF317" s="84" t="s">
        <v>2854</v>
      </c>
      <c r="DG317" s="84" t="s">
        <v>2855</v>
      </c>
      <c r="DH317" s="676">
        <v>170175440</v>
      </c>
      <c r="DI317" s="84" t="s">
        <v>1633</v>
      </c>
      <c r="DJ317" s="84" t="s">
        <v>480</v>
      </c>
      <c r="DK317" s="84" t="s">
        <v>2580</v>
      </c>
      <c r="DL317" s="84" t="s">
        <v>2581</v>
      </c>
      <c r="DM317" s="84" t="s">
        <v>201</v>
      </c>
      <c r="DN317" s="84"/>
      <c r="DO317" s="86"/>
      <c r="DP317" s="84"/>
      <c r="DQ317" s="86"/>
      <c r="DR317" s="86"/>
      <c r="DS317" s="84"/>
      <c r="DT317" s="86"/>
      <c r="DU317" s="85"/>
      <c r="DV317" s="86"/>
      <c r="DW317" s="86"/>
      <c r="DX317" s="84"/>
      <c r="DY317" s="86"/>
      <c r="DZ317" s="85"/>
      <c r="EA317" s="86"/>
      <c r="EB317" s="86"/>
      <c r="EC317" s="85"/>
      <c r="ED317" s="84"/>
      <c r="EE317" s="85"/>
      <c r="EF317" s="84"/>
      <c r="EG317" s="84"/>
      <c r="EH317" s="84"/>
      <c r="EI317" s="84"/>
      <c r="EJ317" s="84"/>
      <c r="EK317" s="84"/>
      <c r="EL317" s="91" t="str">
        <f t="shared" si="82"/>
        <v>No se reportó avance</v>
      </c>
      <c r="EM317" s="83" t="str">
        <f t="shared" si="83"/>
        <v>No se reportó avance</v>
      </c>
      <c r="EN317" s="86"/>
    </row>
    <row r="318" spans="1:144" s="93" customFormat="1" ht="71.25" customHeight="1">
      <c r="A318" s="74" t="s">
        <v>2548</v>
      </c>
      <c r="B318" s="74" t="s">
        <v>2549</v>
      </c>
      <c r="C318" s="74" t="s">
        <v>2550</v>
      </c>
      <c r="D318" s="74" t="s">
        <v>2551</v>
      </c>
      <c r="E318" s="74" t="s">
        <v>2552</v>
      </c>
      <c r="F318" s="74" t="s">
        <v>2553</v>
      </c>
      <c r="G318" s="74" t="s">
        <v>154</v>
      </c>
      <c r="H318" s="74" t="s">
        <v>2554</v>
      </c>
      <c r="I318" s="74" t="s">
        <v>2555</v>
      </c>
      <c r="J318" s="121" t="s">
        <v>2556</v>
      </c>
      <c r="K318" s="74" t="s">
        <v>730</v>
      </c>
      <c r="L318" s="176">
        <v>16</v>
      </c>
      <c r="M318" s="80" t="s">
        <v>2876</v>
      </c>
      <c r="N318" s="80" t="s">
        <v>2877</v>
      </c>
      <c r="O318" s="80" t="s">
        <v>2878</v>
      </c>
      <c r="P318" s="80" t="s">
        <v>161</v>
      </c>
      <c r="Q318" s="80" t="s">
        <v>233</v>
      </c>
      <c r="R318" s="82" t="s">
        <v>182</v>
      </c>
      <c r="S318" s="82" t="s">
        <v>402</v>
      </c>
      <c r="T318" s="80">
        <v>45292</v>
      </c>
      <c r="U318" s="80">
        <v>46387</v>
      </c>
      <c r="V318" s="121"/>
      <c r="W318" s="121"/>
      <c r="X318" s="121"/>
      <c r="Y318" s="121"/>
      <c r="Z318" s="366">
        <v>0</v>
      </c>
      <c r="AA318" s="368"/>
      <c r="AB318" s="368"/>
      <c r="AC318" s="368"/>
      <c r="AD318" s="368"/>
      <c r="AE318" s="366">
        <v>1</v>
      </c>
      <c r="AF318" s="366">
        <v>0</v>
      </c>
      <c r="AG318" s="366">
        <v>0</v>
      </c>
      <c r="AH318" s="366">
        <v>0</v>
      </c>
      <c r="AI318" s="366">
        <v>1</v>
      </c>
      <c r="AJ318" s="366">
        <v>1</v>
      </c>
      <c r="AK318" s="74">
        <v>0</v>
      </c>
      <c r="AL318" s="74">
        <v>0</v>
      </c>
      <c r="AM318" s="74">
        <v>0</v>
      </c>
      <c r="AN318" s="74">
        <v>1</v>
      </c>
      <c r="AO318" s="74">
        <f>AN318</f>
        <v>1</v>
      </c>
      <c r="AP318" s="176">
        <f>+AO318+AJ318+AE318+Z318</f>
        <v>3</v>
      </c>
      <c r="AQ318" s="84" t="s">
        <v>182</v>
      </c>
      <c r="AR318" s="84" t="s">
        <v>182</v>
      </c>
      <c r="AS318" s="84" t="s">
        <v>182</v>
      </c>
      <c r="AT318" s="84" t="s">
        <v>182</v>
      </c>
      <c r="AU318" s="84" t="s">
        <v>182</v>
      </c>
      <c r="AV318" s="84" t="s">
        <v>182</v>
      </c>
      <c r="AW318" s="84" t="s">
        <v>182</v>
      </c>
      <c r="AX318" s="84" t="s">
        <v>182</v>
      </c>
      <c r="AY318" s="84" t="s">
        <v>182</v>
      </c>
      <c r="AZ318" s="86" t="s">
        <v>182</v>
      </c>
      <c r="BA318" s="122" t="s">
        <v>182</v>
      </c>
      <c r="BB318" s="84" t="s">
        <v>2837</v>
      </c>
      <c r="BC318" s="122" t="s">
        <v>182</v>
      </c>
      <c r="BD318" s="84" t="s">
        <v>2837</v>
      </c>
      <c r="BE318" s="122">
        <v>0</v>
      </c>
      <c r="BF318" s="122" t="s">
        <v>2869</v>
      </c>
      <c r="BG318" s="122">
        <v>0</v>
      </c>
      <c r="BH318" s="122" t="s">
        <v>2879</v>
      </c>
      <c r="BI318" s="122">
        <v>0</v>
      </c>
      <c r="BJ318" s="86" t="s">
        <v>2880</v>
      </c>
      <c r="BK318" s="84">
        <v>0</v>
      </c>
      <c r="BL318" s="86" t="s">
        <v>2881</v>
      </c>
      <c r="BM318" s="84">
        <f>1/1</f>
        <v>1</v>
      </c>
      <c r="BN318" s="86" t="s">
        <v>2882</v>
      </c>
      <c r="BO318" s="84">
        <v>1</v>
      </c>
      <c r="BP318" s="670" t="s">
        <v>2883</v>
      </c>
      <c r="BQ318" s="122"/>
      <c r="BR318" s="122"/>
      <c r="BS318" s="84">
        <f>+BM318+BO318</f>
        <v>2</v>
      </c>
      <c r="BT318" s="122"/>
      <c r="BU318" s="122"/>
      <c r="BV318" s="122"/>
      <c r="BW318" s="122"/>
      <c r="BX318" s="122"/>
      <c r="BY318" s="122"/>
      <c r="BZ318" s="122"/>
      <c r="CA318" s="122"/>
      <c r="CB318" s="122"/>
      <c r="CC318" s="122"/>
      <c r="CD318" s="122"/>
      <c r="CE318" s="122">
        <f>+BS318+BI318</f>
        <v>2</v>
      </c>
      <c r="CF318" s="84"/>
      <c r="CG318" s="372">
        <f>SUM(DH318:DH318)</f>
        <v>103500000</v>
      </c>
      <c r="CH318" s="372"/>
      <c r="CI318" s="372"/>
      <c r="CJ318" s="83">
        <f t="shared" si="84"/>
        <v>0</v>
      </c>
      <c r="CK318" s="83">
        <f t="shared" si="85"/>
        <v>0</v>
      </c>
      <c r="CL318" s="83" t="str">
        <f t="shared" si="79"/>
        <v>No aplica, no hay meta</v>
      </c>
      <c r="CM318" s="89" t="str">
        <f t="shared" si="80"/>
        <v>No se reportó avance</v>
      </c>
      <c r="CN318" s="89">
        <f t="shared" si="81"/>
        <v>0.66666666666666663</v>
      </c>
      <c r="CO318" s="84" t="s">
        <v>2884</v>
      </c>
      <c r="CP318" s="86" t="s">
        <v>2885</v>
      </c>
      <c r="CQ318" s="84" t="s">
        <v>2590</v>
      </c>
      <c r="CR318" s="84" t="s">
        <v>2886</v>
      </c>
      <c r="CS318" s="84" t="s">
        <v>2887</v>
      </c>
      <c r="CT318" s="84" t="s">
        <v>200</v>
      </c>
      <c r="CU318" s="84" t="s">
        <v>162</v>
      </c>
      <c r="CV318" s="84">
        <v>1</v>
      </c>
      <c r="CW318" s="84" t="s">
        <v>234</v>
      </c>
      <c r="CX318" s="90">
        <v>46023</v>
      </c>
      <c r="CY318" s="90">
        <v>46387</v>
      </c>
      <c r="CZ318" s="84">
        <v>1</v>
      </c>
      <c r="DA318" s="84">
        <v>1</v>
      </c>
      <c r="DB318" s="84">
        <v>1</v>
      </c>
      <c r="DC318" s="84">
        <v>1</v>
      </c>
      <c r="DD318" s="84">
        <f>DC318</f>
        <v>1</v>
      </c>
      <c r="DE318" s="84" t="s">
        <v>265</v>
      </c>
      <c r="DF318" s="84" t="s">
        <v>2854</v>
      </c>
      <c r="DG318" s="84" t="s">
        <v>2855</v>
      </c>
      <c r="DH318" s="675">
        <v>103500000</v>
      </c>
      <c r="DI318" s="84" t="s">
        <v>1633</v>
      </c>
      <c r="DJ318" s="84" t="s">
        <v>480</v>
      </c>
      <c r="DK318" s="84" t="s">
        <v>2580</v>
      </c>
      <c r="DL318" s="84" t="s">
        <v>2581</v>
      </c>
      <c r="DM318" s="84" t="s">
        <v>201</v>
      </c>
      <c r="DN318" s="84"/>
      <c r="DO318" s="86"/>
      <c r="DP318" s="84"/>
      <c r="DQ318" s="86"/>
      <c r="DR318" s="86"/>
      <c r="DS318" s="84"/>
      <c r="DT318" s="86"/>
      <c r="DU318" s="672"/>
      <c r="DV318" s="86"/>
      <c r="DW318" s="86"/>
      <c r="DX318" s="84"/>
      <c r="DY318" s="86"/>
      <c r="DZ318" s="672"/>
      <c r="EA318" s="86"/>
      <c r="EB318" s="86"/>
      <c r="EC318" s="122"/>
      <c r="ED318" s="84"/>
      <c r="EE318" s="672"/>
      <c r="EF318" s="84"/>
      <c r="EG318" s="84"/>
      <c r="EH318" s="84"/>
      <c r="EI318" s="84"/>
      <c r="EJ318" s="84"/>
      <c r="EK318" s="84"/>
      <c r="EL318" s="91" t="str">
        <f t="shared" si="82"/>
        <v>No se reportó avance</v>
      </c>
      <c r="EM318" s="83" t="str">
        <f t="shared" si="83"/>
        <v>No se reportó avance</v>
      </c>
      <c r="EN318" s="86" t="s">
        <v>2888</v>
      </c>
    </row>
    <row r="319" spans="1:144" s="93" customFormat="1" ht="58.5" hidden="1" customHeight="1">
      <c r="A319" s="159" t="s">
        <v>2548</v>
      </c>
      <c r="B319" s="159" t="s">
        <v>2549</v>
      </c>
      <c r="C319" s="159" t="s">
        <v>2550</v>
      </c>
      <c r="D319" s="159" t="s">
        <v>2551</v>
      </c>
      <c r="E319" s="159" t="s">
        <v>2552</v>
      </c>
      <c r="F319" s="159" t="s">
        <v>2553</v>
      </c>
      <c r="G319" s="159" t="s">
        <v>154</v>
      </c>
      <c r="H319" s="159" t="s">
        <v>2554</v>
      </c>
      <c r="I319" s="159" t="s">
        <v>2555</v>
      </c>
      <c r="J319" s="160" t="s">
        <v>2556</v>
      </c>
      <c r="K319" s="159" t="s">
        <v>730</v>
      </c>
      <c r="L319" s="469">
        <v>17</v>
      </c>
      <c r="M319" s="159" t="s">
        <v>2889</v>
      </c>
      <c r="N319" s="159" t="s">
        <v>2890</v>
      </c>
      <c r="O319" s="159" t="s">
        <v>2891</v>
      </c>
      <c r="P319" s="159" t="s">
        <v>200</v>
      </c>
      <c r="Q319" s="159" t="s">
        <v>233</v>
      </c>
      <c r="R319" s="160" t="s">
        <v>182</v>
      </c>
      <c r="S319" s="159" t="s">
        <v>234</v>
      </c>
      <c r="T319" s="162">
        <v>45292</v>
      </c>
      <c r="U319" s="162">
        <v>46387</v>
      </c>
      <c r="V319" s="160"/>
      <c r="W319" s="160"/>
      <c r="X319" s="160"/>
      <c r="Y319" s="160"/>
      <c r="Z319" s="486" t="s">
        <v>182</v>
      </c>
      <c r="AA319" s="486">
        <v>0</v>
      </c>
      <c r="AB319" s="486">
        <v>6</v>
      </c>
      <c r="AC319" s="486">
        <v>4</v>
      </c>
      <c r="AD319" s="486">
        <v>2</v>
      </c>
      <c r="AE319" s="486">
        <v>12</v>
      </c>
      <c r="AF319" s="486"/>
      <c r="AG319" s="486"/>
      <c r="AH319" s="486"/>
      <c r="AI319" s="486"/>
      <c r="AJ319" s="486">
        <v>12</v>
      </c>
      <c r="AK319" s="469"/>
      <c r="AL319" s="469"/>
      <c r="AM319" s="469"/>
      <c r="AN319" s="469"/>
      <c r="AO319" s="486"/>
      <c r="AP319" s="469">
        <f>+AE319</f>
        <v>12</v>
      </c>
      <c r="AQ319" s="159" t="s">
        <v>182</v>
      </c>
      <c r="AR319" s="159" t="s">
        <v>182</v>
      </c>
      <c r="AS319" s="159" t="s">
        <v>182</v>
      </c>
      <c r="AT319" s="159" t="s">
        <v>182</v>
      </c>
      <c r="AU319" s="159" t="s">
        <v>182</v>
      </c>
      <c r="AV319" s="159" t="s">
        <v>182</v>
      </c>
      <c r="AW319" s="159" t="s">
        <v>182</v>
      </c>
      <c r="AX319" s="159" t="s">
        <v>182</v>
      </c>
      <c r="AY319" s="159" t="s">
        <v>182</v>
      </c>
      <c r="AZ319" s="164" t="s">
        <v>182</v>
      </c>
      <c r="BA319" s="469" t="s">
        <v>182</v>
      </c>
      <c r="BB319" s="159" t="s">
        <v>2831</v>
      </c>
      <c r="BC319" s="469">
        <v>0</v>
      </c>
      <c r="BD319" s="159" t="s">
        <v>2892</v>
      </c>
      <c r="BE319" s="469">
        <v>0</v>
      </c>
      <c r="BF319" s="469" t="s">
        <v>2869</v>
      </c>
      <c r="BG319" s="469">
        <v>3</v>
      </c>
      <c r="BH319" s="469" t="s">
        <v>2893</v>
      </c>
      <c r="BI319" s="469">
        <f>+BC319+BE319+BG319</f>
        <v>3</v>
      </c>
      <c r="BJ319" s="164" t="s">
        <v>2894</v>
      </c>
      <c r="BK319" s="469"/>
      <c r="BL319" s="164"/>
      <c r="BM319" s="469"/>
      <c r="BN319" s="164"/>
      <c r="BO319" s="469"/>
      <c r="BP319" s="164"/>
      <c r="BQ319" s="469"/>
      <c r="BR319" s="469"/>
      <c r="BS319" s="469"/>
      <c r="BT319" s="469"/>
      <c r="BU319" s="469"/>
      <c r="BV319" s="469"/>
      <c r="BW319" s="469"/>
      <c r="BX319" s="469"/>
      <c r="BY319" s="469"/>
      <c r="BZ319" s="469"/>
      <c r="CA319" s="469"/>
      <c r="CB319" s="469"/>
      <c r="CC319" s="469"/>
      <c r="CD319" s="469"/>
      <c r="CE319" s="469"/>
      <c r="CF319" s="159"/>
      <c r="CG319" s="471"/>
      <c r="CH319" s="471"/>
      <c r="CI319" s="471"/>
      <c r="CJ319" s="160" t="str">
        <f t="shared" si="84"/>
        <v>No aplica</v>
      </c>
      <c r="CK319" s="160" t="str">
        <f t="shared" si="85"/>
        <v>No aplica</v>
      </c>
      <c r="CL319" s="83" t="str">
        <f t="shared" si="79"/>
        <v>No aplica, no hay meta</v>
      </c>
      <c r="CM319" s="89" t="str">
        <f t="shared" si="80"/>
        <v>No aplica, no hay meta</v>
      </c>
      <c r="CN319" s="89" t="str">
        <f t="shared" si="81"/>
        <v>No se reportó avance</v>
      </c>
      <c r="CO319" s="159"/>
      <c r="CP319" s="159"/>
      <c r="CQ319" s="159"/>
      <c r="CR319" s="159"/>
      <c r="CS319" s="159"/>
      <c r="CT319" s="159"/>
      <c r="CU319" s="159"/>
      <c r="CV319" s="469"/>
      <c r="CW319" s="159"/>
      <c r="CX319" s="162"/>
      <c r="CY319" s="162"/>
      <c r="CZ319" s="469"/>
      <c r="DA319" s="469"/>
      <c r="DB319" s="469"/>
      <c r="DC319" s="469"/>
      <c r="DD319" s="469"/>
      <c r="DE319" s="159"/>
      <c r="DF319" s="159"/>
      <c r="DG319" s="159"/>
      <c r="DH319" s="483"/>
      <c r="DI319" s="159"/>
      <c r="DJ319" s="159"/>
      <c r="DK319" s="159"/>
      <c r="DL319" s="159"/>
      <c r="DM319" s="159"/>
      <c r="DN319" s="469"/>
      <c r="DO319" s="164"/>
      <c r="DP319" s="487"/>
      <c r="DQ319" s="164"/>
      <c r="DR319" s="164"/>
      <c r="DS319" s="469"/>
      <c r="DT319" s="164"/>
      <c r="DU319" s="487"/>
      <c r="DV319" s="164"/>
      <c r="DW319" s="164"/>
      <c r="DX319" s="469"/>
      <c r="DY319" s="164"/>
      <c r="DZ319" s="487"/>
      <c r="EA319" s="164"/>
      <c r="EB319" s="164"/>
      <c r="EC319" s="469"/>
      <c r="ED319" s="159"/>
      <c r="EE319" s="487"/>
      <c r="EF319" s="159"/>
      <c r="EG319" s="159"/>
      <c r="EH319" s="469"/>
      <c r="EI319" s="159"/>
      <c r="EJ319" s="159"/>
      <c r="EK319" s="159"/>
      <c r="EL319" s="91" t="str">
        <f t="shared" si="82"/>
        <v>No aplica, no hay meta</v>
      </c>
      <c r="EM319" s="83" t="str">
        <f t="shared" si="83"/>
        <v>No aplica, no hay meta</v>
      </c>
      <c r="EN319" s="164" t="s">
        <v>2630</v>
      </c>
    </row>
    <row r="320" spans="1:144" s="93" customFormat="1" ht="54.75" hidden="1" customHeight="1">
      <c r="A320" s="159" t="s">
        <v>2548</v>
      </c>
      <c r="B320" s="159" t="s">
        <v>2549</v>
      </c>
      <c r="C320" s="159" t="s">
        <v>2550</v>
      </c>
      <c r="D320" s="159" t="s">
        <v>2551</v>
      </c>
      <c r="E320" s="159" t="s">
        <v>2552</v>
      </c>
      <c r="F320" s="159" t="s">
        <v>2553</v>
      </c>
      <c r="G320" s="159" t="s">
        <v>154</v>
      </c>
      <c r="H320" s="159" t="s">
        <v>2554</v>
      </c>
      <c r="I320" s="159" t="s">
        <v>2555</v>
      </c>
      <c r="J320" s="160" t="s">
        <v>2556</v>
      </c>
      <c r="K320" s="159" t="s">
        <v>730</v>
      </c>
      <c r="L320" s="469">
        <v>18</v>
      </c>
      <c r="M320" s="159" t="s">
        <v>2895</v>
      </c>
      <c r="N320" s="159" t="s">
        <v>2896</v>
      </c>
      <c r="O320" s="159" t="s">
        <v>2897</v>
      </c>
      <c r="P320" s="159" t="s">
        <v>200</v>
      </c>
      <c r="Q320" s="159" t="s">
        <v>233</v>
      </c>
      <c r="R320" s="160" t="s">
        <v>182</v>
      </c>
      <c r="S320" s="159" t="s">
        <v>234</v>
      </c>
      <c r="T320" s="162">
        <v>45292</v>
      </c>
      <c r="U320" s="162">
        <v>46387</v>
      </c>
      <c r="V320" s="160"/>
      <c r="W320" s="160"/>
      <c r="X320" s="160"/>
      <c r="Y320" s="160"/>
      <c r="Z320" s="486" t="s">
        <v>182</v>
      </c>
      <c r="AA320" s="486">
        <v>0</v>
      </c>
      <c r="AB320" s="486">
        <v>0</v>
      </c>
      <c r="AC320" s="486">
        <v>1</v>
      </c>
      <c r="AD320" s="486">
        <v>4</v>
      </c>
      <c r="AE320" s="486">
        <v>5</v>
      </c>
      <c r="AF320" s="486"/>
      <c r="AG320" s="486"/>
      <c r="AH320" s="486"/>
      <c r="AI320" s="486"/>
      <c r="AJ320" s="486">
        <v>5</v>
      </c>
      <c r="AK320" s="469"/>
      <c r="AL320" s="469"/>
      <c r="AM320" s="469"/>
      <c r="AN320" s="469"/>
      <c r="AO320" s="469">
        <v>5</v>
      </c>
      <c r="AP320" s="469">
        <f>+AE320</f>
        <v>5</v>
      </c>
      <c r="AQ320" s="159" t="s">
        <v>182</v>
      </c>
      <c r="AR320" s="159" t="s">
        <v>182</v>
      </c>
      <c r="AS320" s="159" t="s">
        <v>182</v>
      </c>
      <c r="AT320" s="159" t="s">
        <v>182</v>
      </c>
      <c r="AU320" s="159" t="s">
        <v>182</v>
      </c>
      <c r="AV320" s="159" t="s">
        <v>182</v>
      </c>
      <c r="AW320" s="159" t="s">
        <v>182</v>
      </c>
      <c r="AX320" s="159" t="s">
        <v>182</v>
      </c>
      <c r="AY320" s="159" t="s">
        <v>182</v>
      </c>
      <c r="AZ320" s="164" t="s">
        <v>182</v>
      </c>
      <c r="BA320" s="469" t="s">
        <v>182</v>
      </c>
      <c r="BB320" s="159" t="s">
        <v>2898</v>
      </c>
      <c r="BC320" s="469" t="s">
        <v>182</v>
      </c>
      <c r="BD320" s="159" t="s">
        <v>2898</v>
      </c>
      <c r="BE320" s="469">
        <v>0</v>
      </c>
      <c r="BF320" s="469" t="s">
        <v>2869</v>
      </c>
      <c r="BG320" s="469">
        <v>0</v>
      </c>
      <c r="BH320" s="469" t="s">
        <v>2899</v>
      </c>
      <c r="BI320" s="469">
        <f>+BE320+BG320</f>
        <v>0</v>
      </c>
      <c r="BJ320" s="164" t="s">
        <v>2899</v>
      </c>
      <c r="BK320" s="469"/>
      <c r="BL320" s="164"/>
      <c r="BM320" s="469"/>
      <c r="BN320" s="164"/>
      <c r="BO320" s="469"/>
      <c r="BP320" s="164"/>
      <c r="BQ320" s="469"/>
      <c r="BR320" s="469"/>
      <c r="BS320" s="469"/>
      <c r="BT320" s="469"/>
      <c r="BU320" s="469"/>
      <c r="BV320" s="469"/>
      <c r="BW320" s="469"/>
      <c r="BX320" s="469"/>
      <c r="BY320" s="469"/>
      <c r="BZ320" s="469"/>
      <c r="CA320" s="469"/>
      <c r="CB320" s="469"/>
      <c r="CC320" s="469"/>
      <c r="CD320" s="469"/>
      <c r="CE320" s="469"/>
      <c r="CF320" s="159"/>
      <c r="CG320" s="471"/>
      <c r="CH320" s="471"/>
      <c r="CI320" s="471"/>
      <c r="CJ320" s="160" t="str">
        <f t="shared" si="84"/>
        <v>No aplica</v>
      </c>
      <c r="CK320" s="160" t="str">
        <f t="shared" si="85"/>
        <v>No aplica</v>
      </c>
      <c r="CL320" s="83" t="str">
        <f t="shared" si="79"/>
        <v>No aplica, no hay meta</v>
      </c>
      <c r="CM320" s="89" t="str">
        <f t="shared" si="80"/>
        <v>No se reportó avance</v>
      </c>
      <c r="CN320" s="89" t="str">
        <f t="shared" si="81"/>
        <v>No se reportó avance</v>
      </c>
      <c r="CO320" s="159"/>
      <c r="CP320" s="159"/>
      <c r="CQ320" s="159"/>
      <c r="CR320" s="159"/>
      <c r="CS320" s="159"/>
      <c r="CT320" s="159"/>
      <c r="CU320" s="159"/>
      <c r="CV320" s="469"/>
      <c r="CW320" s="159"/>
      <c r="CX320" s="162"/>
      <c r="CY320" s="162"/>
      <c r="CZ320" s="469"/>
      <c r="DA320" s="469"/>
      <c r="DB320" s="469"/>
      <c r="DC320" s="469"/>
      <c r="DD320" s="469"/>
      <c r="DE320" s="159"/>
      <c r="DF320" s="159"/>
      <c r="DG320" s="159"/>
      <c r="DH320" s="483"/>
      <c r="DI320" s="159"/>
      <c r="DJ320" s="159"/>
      <c r="DK320" s="159"/>
      <c r="DL320" s="159"/>
      <c r="DM320" s="159"/>
      <c r="DN320" s="469"/>
      <c r="DO320" s="164"/>
      <c r="DP320" s="487"/>
      <c r="DQ320" s="164"/>
      <c r="DR320" s="164"/>
      <c r="DS320" s="469"/>
      <c r="DT320" s="164"/>
      <c r="DU320" s="487"/>
      <c r="DV320" s="164"/>
      <c r="DW320" s="164"/>
      <c r="DX320" s="469"/>
      <c r="DY320" s="164"/>
      <c r="DZ320" s="487"/>
      <c r="EA320" s="164"/>
      <c r="EB320" s="164"/>
      <c r="EC320" s="469"/>
      <c r="ED320" s="159"/>
      <c r="EE320" s="487"/>
      <c r="EF320" s="159"/>
      <c r="EG320" s="159"/>
      <c r="EH320" s="469"/>
      <c r="EI320" s="159"/>
      <c r="EJ320" s="159"/>
      <c r="EK320" s="159"/>
      <c r="EL320" s="91" t="str">
        <f t="shared" si="82"/>
        <v>No requiere reporte</v>
      </c>
      <c r="EM320" s="83" t="str">
        <f t="shared" si="83"/>
        <v>No requiere reporte</v>
      </c>
      <c r="EN320" s="164" t="s">
        <v>2630</v>
      </c>
    </row>
    <row r="321" spans="1:146" s="93" customFormat="1" ht="66" customHeight="1">
      <c r="A321" s="74" t="s">
        <v>2548</v>
      </c>
      <c r="B321" s="75" t="s">
        <v>2549</v>
      </c>
      <c r="C321" s="75" t="s">
        <v>2682</v>
      </c>
      <c r="D321" s="75" t="s">
        <v>2683</v>
      </c>
      <c r="E321" s="75" t="s">
        <v>2684</v>
      </c>
      <c r="F321" s="74" t="s">
        <v>154</v>
      </c>
      <c r="G321" s="74" t="s">
        <v>154</v>
      </c>
      <c r="H321" s="74" t="s">
        <v>2685</v>
      </c>
      <c r="I321" s="74" t="s">
        <v>2555</v>
      </c>
      <c r="J321" s="74" t="s">
        <v>2556</v>
      </c>
      <c r="K321" s="74" t="s">
        <v>2900</v>
      </c>
      <c r="L321" s="78">
        <v>19</v>
      </c>
      <c r="M321" s="78" t="s">
        <v>2901</v>
      </c>
      <c r="N321" s="78" t="s">
        <v>2902</v>
      </c>
      <c r="O321" s="78" t="s">
        <v>2689</v>
      </c>
      <c r="P321" s="78" t="s">
        <v>200</v>
      </c>
      <c r="Q321" s="78" t="s">
        <v>162</v>
      </c>
      <c r="R321" s="82" t="s">
        <v>182</v>
      </c>
      <c r="S321" s="78" t="s">
        <v>163</v>
      </c>
      <c r="T321" s="80">
        <v>45292</v>
      </c>
      <c r="U321" s="80">
        <v>46387</v>
      </c>
      <c r="V321" s="81" t="s">
        <v>182</v>
      </c>
      <c r="W321" s="121">
        <v>1</v>
      </c>
      <c r="X321" s="121">
        <v>1</v>
      </c>
      <c r="Y321" s="121">
        <v>1</v>
      </c>
      <c r="Z321" s="82">
        <f>+Y321</f>
        <v>1</v>
      </c>
      <c r="AA321" s="121">
        <v>1</v>
      </c>
      <c r="AB321" s="121">
        <v>1</v>
      </c>
      <c r="AC321" s="121">
        <v>1</v>
      </c>
      <c r="AD321" s="121">
        <v>1</v>
      </c>
      <c r="AE321" s="82">
        <f>+AD321</f>
        <v>1</v>
      </c>
      <c r="AF321" s="82">
        <v>1</v>
      </c>
      <c r="AG321" s="82">
        <v>1</v>
      </c>
      <c r="AH321" s="82">
        <v>1</v>
      </c>
      <c r="AI321" s="82">
        <v>1</v>
      </c>
      <c r="AJ321" s="82">
        <f>+AI321</f>
        <v>1</v>
      </c>
      <c r="AK321" s="121">
        <v>1</v>
      </c>
      <c r="AL321" s="121">
        <v>1</v>
      </c>
      <c r="AM321" s="121">
        <v>1</v>
      </c>
      <c r="AN321" s="121">
        <v>1</v>
      </c>
      <c r="AO321" s="491">
        <v>1</v>
      </c>
      <c r="AP321" s="82">
        <f>+AJ321</f>
        <v>1</v>
      </c>
      <c r="AQ321" s="84" t="s">
        <v>182</v>
      </c>
      <c r="AR321" s="84" t="s">
        <v>182</v>
      </c>
      <c r="AS321" s="84" t="s">
        <v>182</v>
      </c>
      <c r="AT321" s="84" t="s">
        <v>182</v>
      </c>
      <c r="AU321" s="84" t="s">
        <v>182</v>
      </c>
      <c r="AV321" s="84" t="s">
        <v>182</v>
      </c>
      <c r="AW321" s="84" t="s">
        <v>182</v>
      </c>
      <c r="AX321" s="84" t="s">
        <v>182</v>
      </c>
      <c r="AY321" s="84" t="s">
        <v>182</v>
      </c>
      <c r="AZ321" s="86" t="s">
        <v>182</v>
      </c>
      <c r="BA321" s="83">
        <v>0.32500000000000001</v>
      </c>
      <c r="BB321" s="84" t="s">
        <v>2903</v>
      </c>
      <c r="BC321" s="83">
        <v>0.25416</v>
      </c>
      <c r="BD321" s="84" t="s">
        <v>2904</v>
      </c>
      <c r="BE321" s="83">
        <v>0.83</v>
      </c>
      <c r="BF321" s="84" t="s">
        <v>2905</v>
      </c>
      <c r="BG321" s="83">
        <v>0.6</v>
      </c>
      <c r="BH321" s="84" t="s">
        <v>2906</v>
      </c>
      <c r="BI321" s="83">
        <f>+(5/7)</f>
        <v>0.7142857142857143</v>
      </c>
      <c r="BJ321" s="86" t="s">
        <v>2907</v>
      </c>
      <c r="BK321" s="83">
        <v>0</v>
      </c>
      <c r="BL321" s="86" t="s">
        <v>2848</v>
      </c>
      <c r="BM321" s="83">
        <f>(26/40+20/20+0/1)/3</f>
        <v>0.54999999999999993</v>
      </c>
      <c r="BN321" s="86" t="s">
        <v>2908</v>
      </c>
      <c r="BO321" s="83">
        <f>(50/50+20/20+0/1)/3</f>
        <v>0.66666666666666663</v>
      </c>
      <c r="BP321" s="86" t="s">
        <v>2909</v>
      </c>
      <c r="BQ321" s="84"/>
      <c r="BR321" s="84"/>
      <c r="BS321" s="83">
        <f>+BO321</f>
        <v>0.66666666666666663</v>
      </c>
      <c r="BT321" s="84"/>
      <c r="BU321" s="84"/>
      <c r="BV321" s="84"/>
      <c r="BW321" s="84"/>
      <c r="BX321" s="84"/>
      <c r="BY321" s="84"/>
      <c r="BZ321" s="84"/>
      <c r="CA321" s="84"/>
      <c r="CB321" s="84"/>
      <c r="CC321" s="84"/>
      <c r="CD321" s="84"/>
      <c r="CE321" s="85">
        <f>+BS321</f>
        <v>0.66666666666666663</v>
      </c>
      <c r="CF321" s="84"/>
      <c r="CG321" s="372">
        <f>SUM(DH321:DH323)</f>
        <v>4000000000</v>
      </c>
      <c r="CH321" s="372"/>
      <c r="CI321" s="372"/>
      <c r="CJ321" s="83">
        <f t="shared" si="84"/>
        <v>0</v>
      </c>
      <c r="CK321" s="83">
        <f t="shared" si="85"/>
        <v>0</v>
      </c>
      <c r="CL321" s="83" t="str">
        <f t="shared" si="79"/>
        <v>No se reportó avance</v>
      </c>
      <c r="CM321" s="89" t="str">
        <f t="shared" si="80"/>
        <v>No se reportó avance</v>
      </c>
      <c r="CN321" s="89">
        <f t="shared" si="81"/>
        <v>0.66666666666666663</v>
      </c>
      <c r="CO321" s="84" t="s">
        <v>2407</v>
      </c>
      <c r="CP321" s="673" t="s">
        <v>2910</v>
      </c>
      <c r="CQ321" s="84" t="s">
        <v>2590</v>
      </c>
      <c r="CR321" s="84" t="s">
        <v>2911</v>
      </c>
      <c r="CS321" s="84" t="s">
        <v>2130</v>
      </c>
      <c r="CT321" s="84" t="s">
        <v>161</v>
      </c>
      <c r="CU321" s="84" t="s">
        <v>233</v>
      </c>
      <c r="CV321" s="84">
        <v>135</v>
      </c>
      <c r="CW321" s="84" t="s">
        <v>234</v>
      </c>
      <c r="CX321" s="90">
        <v>46023</v>
      </c>
      <c r="CY321" s="90">
        <v>46387</v>
      </c>
      <c r="CZ321" s="84">
        <v>40</v>
      </c>
      <c r="DA321" s="84">
        <v>70</v>
      </c>
      <c r="DB321" s="84">
        <v>70</v>
      </c>
      <c r="DC321" s="84">
        <v>70</v>
      </c>
      <c r="DD321" s="84">
        <f>CZ321+DA321+DB321+DC321</f>
        <v>250</v>
      </c>
      <c r="DE321" s="84" t="s">
        <v>265</v>
      </c>
      <c r="DF321" s="84" t="s">
        <v>2912</v>
      </c>
      <c r="DG321" s="84" t="s">
        <v>2913</v>
      </c>
      <c r="DH321" s="675">
        <v>2944000000</v>
      </c>
      <c r="DI321" s="84" t="s">
        <v>1633</v>
      </c>
      <c r="DJ321" s="84" t="s">
        <v>480</v>
      </c>
      <c r="DK321" s="84" t="s">
        <v>1485</v>
      </c>
      <c r="DL321" s="84" t="s">
        <v>2581</v>
      </c>
      <c r="DM321" s="84" t="s">
        <v>2914</v>
      </c>
      <c r="DN321" s="84"/>
      <c r="DO321" s="86"/>
      <c r="DP321" s="84"/>
      <c r="DQ321" s="86"/>
      <c r="DR321" s="86"/>
      <c r="DS321" s="84"/>
      <c r="DT321" s="86"/>
      <c r="DU321" s="84"/>
      <c r="DV321" s="86"/>
      <c r="DW321" s="86"/>
      <c r="DX321" s="84"/>
      <c r="DY321" s="86"/>
      <c r="DZ321" s="84"/>
      <c r="EA321" s="86"/>
      <c r="EB321" s="86"/>
      <c r="EC321" s="84"/>
      <c r="ED321" s="84"/>
      <c r="EE321" s="84"/>
      <c r="EF321" s="84"/>
      <c r="EG321" s="84"/>
      <c r="EH321" s="84"/>
      <c r="EI321" s="84"/>
      <c r="EJ321" s="84"/>
      <c r="EK321" s="84"/>
      <c r="EL321" s="91" t="str">
        <f t="shared" si="82"/>
        <v>No se reportó avance</v>
      </c>
      <c r="EM321" s="83" t="str">
        <f t="shared" si="83"/>
        <v>No se reportó avance</v>
      </c>
      <c r="EN321" s="86"/>
    </row>
    <row r="322" spans="1:146" s="93" customFormat="1" ht="82.5" customHeight="1">
      <c r="A322" s="84" t="s">
        <v>2548</v>
      </c>
      <c r="B322" s="85" t="s">
        <v>2549</v>
      </c>
      <c r="C322" s="85" t="s">
        <v>2682</v>
      </c>
      <c r="D322" s="85" t="s">
        <v>2683</v>
      </c>
      <c r="E322" s="85" t="s">
        <v>2684</v>
      </c>
      <c r="F322" s="84" t="s">
        <v>154</v>
      </c>
      <c r="G322" s="84" t="s">
        <v>154</v>
      </c>
      <c r="H322" s="84" t="s">
        <v>2685</v>
      </c>
      <c r="I322" s="84" t="s">
        <v>2555</v>
      </c>
      <c r="J322" s="84" t="s">
        <v>2556</v>
      </c>
      <c r="K322" s="84" t="s">
        <v>2900</v>
      </c>
      <c r="L322" s="84">
        <v>19</v>
      </c>
      <c r="M322" s="84" t="s">
        <v>2901</v>
      </c>
      <c r="N322" s="84" t="s">
        <v>2902</v>
      </c>
      <c r="O322" s="84" t="s">
        <v>2559</v>
      </c>
      <c r="P322" s="84" t="s">
        <v>200</v>
      </c>
      <c r="Q322" s="84" t="s">
        <v>162</v>
      </c>
      <c r="R322" s="83" t="s">
        <v>182</v>
      </c>
      <c r="S322" s="84" t="s">
        <v>163</v>
      </c>
      <c r="T322" s="90">
        <v>45292</v>
      </c>
      <c r="U322" s="90">
        <v>46387</v>
      </c>
      <c r="V322" s="90" t="s">
        <v>182</v>
      </c>
      <c r="W322" s="83">
        <v>1</v>
      </c>
      <c r="X322" s="83">
        <v>1</v>
      </c>
      <c r="Y322" s="83">
        <v>1</v>
      </c>
      <c r="Z322" s="83"/>
      <c r="AA322" s="83">
        <v>1</v>
      </c>
      <c r="AB322" s="83">
        <v>1</v>
      </c>
      <c r="AC322" s="83">
        <v>1</v>
      </c>
      <c r="AD322" s="83">
        <v>1</v>
      </c>
      <c r="AE322" s="83"/>
      <c r="AF322" s="83">
        <v>1</v>
      </c>
      <c r="AG322" s="83">
        <v>1</v>
      </c>
      <c r="AH322" s="83">
        <v>1</v>
      </c>
      <c r="AI322" s="83">
        <v>1</v>
      </c>
      <c r="AJ322" s="83"/>
      <c r="AK322" s="84"/>
      <c r="AL322" s="84"/>
      <c r="AM322" s="84"/>
      <c r="AN322" s="84"/>
      <c r="AO322" s="84"/>
      <c r="AP322" s="83"/>
      <c r="AQ322" s="84"/>
      <c r="AR322" s="84"/>
      <c r="AS322" s="84"/>
      <c r="AT322" s="84"/>
      <c r="AU322" s="84"/>
      <c r="AV322" s="84"/>
      <c r="AW322" s="84"/>
      <c r="AX322" s="84"/>
      <c r="AY322" s="84"/>
      <c r="AZ322" s="86"/>
      <c r="BA322" s="85"/>
      <c r="BB322" s="84"/>
      <c r="BC322" s="85"/>
      <c r="BD322" s="84"/>
      <c r="BE322" s="85"/>
      <c r="BF322" s="85"/>
      <c r="BG322" s="85"/>
      <c r="BH322" s="85"/>
      <c r="BI322" s="85"/>
      <c r="BJ322" s="86"/>
      <c r="BK322" s="85"/>
      <c r="BL322" s="86"/>
      <c r="BM322" s="85"/>
      <c r="BN322" s="86"/>
      <c r="BO322" s="85"/>
      <c r="BP322" s="86"/>
      <c r="BQ322" s="85"/>
      <c r="BR322" s="85"/>
      <c r="BS322" s="85"/>
      <c r="BT322" s="85"/>
      <c r="BU322" s="85"/>
      <c r="BV322" s="85"/>
      <c r="BW322" s="85"/>
      <c r="BX322" s="85"/>
      <c r="BY322" s="85"/>
      <c r="BZ322" s="85"/>
      <c r="CA322" s="85"/>
      <c r="CB322" s="85"/>
      <c r="CC322" s="85"/>
      <c r="CD322" s="85"/>
      <c r="CE322" s="85"/>
      <c r="CF322" s="84"/>
      <c r="CG322" s="372"/>
      <c r="CH322" s="372"/>
      <c r="CI322" s="372"/>
      <c r="CJ322" s="83" t="str">
        <f t="shared" si="84"/>
        <v>No aplica</v>
      </c>
      <c r="CK322" s="83" t="str">
        <f t="shared" si="85"/>
        <v>No aplica</v>
      </c>
      <c r="CL322" s="83" t="str">
        <f t="shared" si="79"/>
        <v>No requiere reporte</v>
      </c>
      <c r="CM322" s="89" t="str">
        <f t="shared" si="80"/>
        <v>No requiere reporte</v>
      </c>
      <c r="CN322" s="89" t="str">
        <f t="shared" si="81"/>
        <v>No requiere reporte</v>
      </c>
      <c r="CO322" s="84" t="s">
        <v>2415</v>
      </c>
      <c r="CP322" s="673" t="s">
        <v>2915</v>
      </c>
      <c r="CQ322" s="84" t="s">
        <v>2590</v>
      </c>
      <c r="CR322" s="84" t="s">
        <v>2911</v>
      </c>
      <c r="CS322" s="84" t="s">
        <v>2130</v>
      </c>
      <c r="CT322" s="84" t="s">
        <v>161</v>
      </c>
      <c r="CU322" s="84" t="s">
        <v>233</v>
      </c>
      <c r="CV322" s="84">
        <v>55</v>
      </c>
      <c r="CW322" s="84" t="s">
        <v>234</v>
      </c>
      <c r="CX322" s="90">
        <v>46023</v>
      </c>
      <c r="CY322" s="90">
        <v>46387</v>
      </c>
      <c r="CZ322" s="84">
        <v>10</v>
      </c>
      <c r="DA322" s="84">
        <v>20</v>
      </c>
      <c r="DB322" s="84">
        <v>10</v>
      </c>
      <c r="DC322" s="84">
        <v>15</v>
      </c>
      <c r="DD322" s="84">
        <f>CZ322+DA322+DB322+DC322</f>
        <v>55</v>
      </c>
      <c r="DE322" s="84" t="s">
        <v>265</v>
      </c>
      <c r="DF322" s="84" t="s">
        <v>2912</v>
      </c>
      <c r="DG322" s="84" t="s">
        <v>2913</v>
      </c>
      <c r="DH322" s="675">
        <v>400000000</v>
      </c>
      <c r="DI322" s="84" t="s">
        <v>1633</v>
      </c>
      <c r="DJ322" s="84" t="s">
        <v>480</v>
      </c>
      <c r="DK322" s="84" t="s">
        <v>1485</v>
      </c>
      <c r="DL322" s="84" t="s">
        <v>2581</v>
      </c>
      <c r="DM322" s="84" t="s">
        <v>2914</v>
      </c>
      <c r="DN322" s="84"/>
      <c r="DO322" s="86"/>
      <c r="DP322" s="84"/>
      <c r="DQ322" s="86"/>
      <c r="DR322" s="86"/>
      <c r="DS322" s="84"/>
      <c r="DT322" s="86"/>
      <c r="DU322" s="672"/>
      <c r="DV322" s="86"/>
      <c r="DW322" s="86"/>
      <c r="DX322" s="84"/>
      <c r="DY322" s="86"/>
      <c r="DZ322" s="672"/>
      <c r="EA322" s="86"/>
      <c r="EB322" s="86"/>
      <c r="EC322" s="85"/>
      <c r="ED322" s="84"/>
      <c r="EE322" s="672"/>
      <c r="EF322" s="84"/>
      <c r="EG322" s="84"/>
      <c r="EH322" s="84"/>
      <c r="EI322" s="84"/>
      <c r="EJ322" s="84"/>
      <c r="EK322" s="84"/>
      <c r="EL322" s="91" t="str">
        <f t="shared" si="82"/>
        <v>No se reportó avance</v>
      </c>
      <c r="EM322" s="83" t="str">
        <f t="shared" si="83"/>
        <v>No se reportó avance</v>
      </c>
      <c r="EN322" s="86"/>
    </row>
    <row r="323" spans="1:146" s="93" customFormat="1" ht="68.25" customHeight="1" thickBot="1">
      <c r="A323" s="84" t="s">
        <v>2548</v>
      </c>
      <c r="B323" s="85" t="s">
        <v>2549</v>
      </c>
      <c r="C323" s="85" t="s">
        <v>2682</v>
      </c>
      <c r="D323" s="85" t="s">
        <v>2683</v>
      </c>
      <c r="E323" s="85" t="s">
        <v>2684</v>
      </c>
      <c r="F323" s="84" t="s">
        <v>154</v>
      </c>
      <c r="G323" s="84" t="s">
        <v>154</v>
      </c>
      <c r="H323" s="84" t="s">
        <v>2685</v>
      </c>
      <c r="I323" s="84" t="s">
        <v>2555</v>
      </c>
      <c r="J323" s="84" t="s">
        <v>2556</v>
      </c>
      <c r="K323" s="84" t="s">
        <v>2900</v>
      </c>
      <c r="L323" s="84">
        <v>19</v>
      </c>
      <c r="M323" s="84" t="s">
        <v>2901</v>
      </c>
      <c r="N323" s="84" t="s">
        <v>2902</v>
      </c>
      <c r="O323" s="84" t="s">
        <v>2559</v>
      </c>
      <c r="P323" s="84" t="s">
        <v>200</v>
      </c>
      <c r="Q323" s="84" t="s">
        <v>162</v>
      </c>
      <c r="R323" s="83" t="s">
        <v>182</v>
      </c>
      <c r="S323" s="84" t="s">
        <v>163</v>
      </c>
      <c r="T323" s="90">
        <v>45292</v>
      </c>
      <c r="U323" s="90">
        <v>46387</v>
      </c>
      <c r="V323" s="90" t="s">
        <v>182</v>
      </c>
      <c r="W323" s="83">
        <v>1</v>
      </c>
      <c r="X323" s="83">
        <v>1</v>
      </c>
      <c r="Y323" s="83">
        <v>1</v>
      </c>
      <c r="Z323" s="83"/>
      <c r="AA323" s="83">
        <v>1</v>
      </c>
      <c r="AB323" s="83">
        <v>1</v>
      </c>
      <c r="AC323" s="83">
        <v>1</v>
      </c>
      <c r="AD323" s="83">
        <v>1</v>
      </c>
      <c r="AE323" s="83"/>
      <c r="AF323" s="83">
        <v>1</v>
      </c>
      <c r="AG323" s="83">
        <v>1</v>
      </c>
      <c r="AH323" s="83">
        <v>1</v>
      </c>
      <c r="AI323" s="83">
        <v>1</v>
      </c>
      <c r="AJ323" s="83"/>
      <c r="AK323" s="84"/>
      <c r="AL323" s="84"/>
      <c r="AM323" s="84"/>
      <c r="AN323" s="84"/>
      <c r="AO323" s="84"/>
      <c r="AP323" s="83"/>
      <c r="AQ323" s="84"/>
      <c r="AR323" s="84"/>
      <c r="AS323" s="84"/>
      <c r="AT323" s="84"/>
      <c r="AU323" s="84"/>
      <c r="AV323" s="84"/>
      <c r="AW323" s="84"/>
      <c r="AX323" s="84"/>
      <c r="AY323" s="84"/>
      <c r="AZ323" s="86"/>
      <c r="BA323" s="85"/>
      <c r="BB323" s="84"/>
      <c r="BC323" s="85"/>
      <c r="BD323" s="84"/>
      <c r="BE323" s="85"/>
      <c r="BF323" s="85"/>
      <c r="BG323" s="85"/>
      <c r="BH323" s="85"/>
      <c r="BI323" s="85"/>
      <c r="BJ323" s="86"/>
      <c r="BK323" s="85"/>
      <c r="BL323" s="86"/>
      <c r="BM323" s="85"/>
      <c r="BN323" s="86"/>
      <c r="BO323" s="85"/>
      <c r="BP323" s="86"/>
      <c r="BQ323" s="85"/>
      <c r="BR323" s="85"/>
      <c r="BS323" s="85"/>
      <c r="BT323" s="85"/>
      <c r="BU323" s="85"/>
      <c r="BV323" s="85"/>
      <c r="BW323" s="85"/>
      <c r="BX323" s="85"/>
      <c r="BY323" s="85"/>
      <c r="BZ323" s="85"/>
      <c r="CA323" s="85"/>
      <c r="CB323" s="85"/>
      <c r="CC323" s="85"/>
      <c r="CD323" s="85"/>
      <c r="CE323" s="85"/>
      <c r="CF323" s="84"/>
      <c r="CG323" s="372"/>
      <c r="CH323" s="372"/>
      <c r="CI323" s="372"/>
      <c r="CJ323" s="83" t="str">
        <f t="shared" si="84"/>
        <v>No aplica</v>
      </c>
      <c r="CK323" s="83" t="str">
        <f t="shared" si="85"/>
        <v>No aplica</v>
      </c>
      <c r="CL323" s="83" t="str">
        <f t="shared" si="79"/>
        <v>No requiere reporte</v>
      </c>
      <c r="CM323" s="89" t="str">
        <f t="shared" si="80"/>
        <v>No requiere reporte</v>
      </c>
      <c r="CN323" s="89" t="str">
        <f t="shared" si="81"/>
        <v>No requiere reporte</v>
      </c>
      <c r="CO323" s="84" t="s">
        <v>2916</v>
      </c>
      <c r="CP323" s="86" t="s">
        <v>2917</v>
      </c>
      <c r="CQ323" s="84" t="s">
        <v>2590</v>
      </c>
      <c r="CR323" s="84" t="s">
        <v>2918</v>
      </c>
      <c r="CS323" s="84" t="s">
        <v>2919</v>
      </c>
      <c r="CT323" s="84" t="s">
        <v>161</v>
      </c>
      <c r="CU323" s="84" t="s">
        <v>233</v>
      </c>
      <c r="CV323" s="84">
        <v>3</v>
      </c>
      <c r="CW323" s="84" t="s">
        <v>234</v>
      </c>
      <c r="CX323" s="90">
        <v>46023</v>
      </c>
      <c r="CY323" s="84" t="s">
        <v>2920</v>
      </c>
      <c r="CZ323" s="84">
        <v>0</v>
      </c>
      <c r="DA323" s="84">
        <v>1</v>
      </c>
      <c r="DB323" s="84">
        <v>0</v>
      </c>
      <c r="DC323" s="84">
        <v>1</v>
      </c>
      <c r="DD323" s="84">
        <f>DA323+DC323</f>
        <v>2</v>
      </c>
      <c r="DE323" s="84" t="s">
        <v>265</v>
      </c>
      <c r="DF323" s="84" t="s">
        <v>2912</v>
      </c>
      <c r="DG323" s="84" t="s">
        <v>2913</v>
      </c>
      <c r="DH323" s="675">
        <v>656000000</v>
      </c>
      <c r="DI323" s="84" t="s">
        <v>1633</v>
      </c>
      <c r="DJ323" s="84" t="s">
        <v>2613</v>
      </c>
      <c r="DK323" s="84" t="s">
        <v>559</v>
      </c>
      <c r="DL323" s="84" t="s">
        <v>2581</v>
      </c>
      <c r="DM323" s="84" t="s">
        <v>2582</v>
      </c>
      <c r="DN323" s="84"/>
      <c r="DO323" s="86"/>
      <c r="DP323" s="84"/>
      <c r="DQ323" s="86"/>
      <c r="DR323" s="86"/>
      <c r="DS323" s="84"/>
      <c r="DT323" s="86"/>
      <c r="DU323" s="672"/>
      <c r="DV323" s="86"/>
      <c r="DW323" s="86"/>
      <c r="DX323" s="84"/>
      <c r="DY323" s="86"/>
      <c r="DZ323" s="672"/>
      <c r="EA323" s="86"/>
      <c r="EB323" s="86"/>
      <c r="EC323" s="85"/>
      <c r="ED323" s="84"/>
      <c r="EE323" s="672"/>
      <c r="EF323" s="84"/>
      <c r="EG323" s="84"/>
      <c r="EH323" s="84"/>
      <c r="EI323" s="84"/>
      <c r="EJ323" s="84"/>
      <c r="EK323" s="84"/>
      <c r="EL323" s="91" t="str">
        <f t="shared" si="82"/>
        <v>No aplica, no hay meta</v>
      </c>
      <c r="EM323" s="83" t="str">
        <f t="shared" si="83"/>
        <v>No se reportó avance</v>
      </c>
      <c r="EN323" s="86"/>
    </row>
    <row r="324" spans="1:146" s="93" customFormat="1" ht="91.5" hidden="1" customHeight="1" thickBot="1">
      <c r="A324" s="159" t="s">
        <v>2548</v>
      </c>
      <c r="B324" s="158" t="s">
        <v>2549</v>
      </c>
      <c r="C324" s="158" t="s">
        <v>2682</v>
      </c>
      <c r="D324" s="158" t="s">
        <v>2683</v>
      </c>
      <c r="E324" s="158" t="s">
        <v>2684</v>
      </c>
      <c r="F324" s="159" t="s">
        <v>154</v>
      </c>
      <c r="G324" s="159" t="s">
        <v>154</v>
      </c>
      <c r="H324" s="159" t="s">
        <v>2685</v>
      </c>
      <c r="I324" s="159" t="s">
        <v>2555</v>
      </c>
      <c r="J324" s="159" t="s">
        <v>2556</v>
      </c>
      <c r="K324" s="159" t="s">
        <v>2900</v>
      </c>
      <c r="L324" s="159">
        <v>20</v>
      </c>
      <c r="M324" s="159" t="s">
        <v>2921</v>
      </c>
      <c r="N324" s="159" t="s">
        <v>2922</v>
      </c>
      <c r="O324" s="159" t="s">
        <v>2559</v>
      </c>
      <c r="P324" s="159" t="s">
        <v>200</v>
      </c>
      <c r="Q324" s="159" t="s">
        <v>162</v>
      </c>
      <c r="R324" s="160" t="s">
        <v>182</v>
      </c>
      <c r="S324" s="159" t="s">
        <v>163</v>
      </c>
      <c r="T324" s="162">
        <v>45292</v>
      </c>
      <c r="U324" s="162">
        <v>46387</v>
      </c>
      <c r="V324" s="162"/>
      <c r="W324" s="160"/>
      <c r="X324" s="160"/>
      <c r="Y324" s="160"/>
      <c r="Z324" s="160" t="s">
        <v>182</v>
      </c>
      <c r="AA324" s="160">
        <v>1</v>
      </c>
      <c r="AB324" s="160">
        <v>1</v>
      </c>
      <c r="AC324" s="160">
        <v>1</v>
      </c>
      <c r="AD324" s="160">
        <v>1</v>
      </c>
      <c r="AE324" s="160">
        <v>1</v>
      </c>
      <c r="AF324" s="160"/>
      <c r="AG324" s="160"/>
      <c r="AH324" s="160"/>
      <c r="AI324" s="160"/>
      <c r="AJ324" s="160"/>
      <c r="AK324" s="160"/>
      <c r="AL324" s="160"/>
      <c r="AM324" s="160"/>
      <c r="AN324" s="160"/>
      <c r="AO324" s="160">
        <v>1</v>
      </c>
      <c r="AP324" s="160">
        <v>1</v>
      </c>
      <c r="AQ324" s="159" t="s">
        <v>182</v>
      </c>
      <c r="AR324" s="159" t="s">
        <v>182</v>
      </c>
      <c r="AS324" s="159" t="s">
        <v>182</v>
      </c>
      <c r="AT324" s="159" t="s">
        <v>182</v>
      </c>
      <c r="AU324" s="159" t="s">
        <v>182</v>
      </c>
      <c r="AV324" s="159" t="s">
        <v>182</v>
      </c>
      <c r="AW324" s="159" t="s">
        <v>182</v>
      </c>
      <c r="AX324" s="159" t="s">
        <v>182</v>
      </c>
      <c r="AY324" s="159" t="s">
        <v>182</v>
      </c>
      <c r="AZ324" s="164" t="s">
        <v>182</v>
      </c>
      <c r="BA324" s="158">
        <v>0</v>
      </c>
      <c r="BB324" s="159" t="s">
        <v>2843</v>
      </c>
      <c r="BC324" s="158">
        <v>0</v>
      </c>
      <c r="BD324" s="159" t="s">
        <v>2923</v>
      </c>
      <c r="BE324" s="158">
        <v>0</v>
      </c>
      <c r="BF324" s="158" t="s">
        <v>2924</v>
      </c>
      <c r="BG324" s="158">
        <v>0</v>
      </c>
      <c r="BH324" s="158" t="s">
        <v>2899</v>
      </c>
      <c r="BI324" s="158">
        <v>0</v>
      </c>
      <c r="BJ324" s="164" t="s">
        <v>2899</v>
      </c>
      <c r="BK324" s="158"/>
      <c r="BL324" s="164"/>
      <c r="BM324" s="158"/>
      <c r="BN324" s="164"/>
      <c r="BO324" s="158"/>
      <c r="BP324" s="164"/>
      <c r="BQ324" s="158"/>
      <c r="BR324" s="158"/>
      <c r="BS324" s="158"/>
      <c r="BT324" s="158"/>
      <c r="BU324" s="158"/>
      <c r="BV324" s="158"/>
      <c r="BW324" s="158"/>
      <c r="BX324" s="158"/>
      <c r="BY324" s="158"/>
      <c r="BZ324" s="158"/>
      <c r="CA324" s="158"/>
      <c r="CB324" s="158"/>
      <c r="CC324" s="158"/>
      <c r="CD324" s="158"/>
      <c r="CE324" s="158"/>
      <c r="CF324" s="159"/>
      <c r="CG324" s="471"/>
      <c r="CH324" s="471"/>
      <c r="CI324" s="471"/>
      <c r="CJ324" s="160" t="str">
        <f t="shared" si="84"/>
        <v>No aplica</v>
      </c>
      <c r="CK324" s="160" t="str">
        <f t="shared" si="85"/>
        <v>No aplica</v>
      </c>
      <c r="CL324" s="83" t="str">
        <f t="shared" si="79"/>
        <v>No aplica, no hay meta</v>
      </c>
      <c r="CM324" s="89" t="str">
        <f t="shared" si="80"/>
        <v>No se reportó avance</v>
      </c>
      <c r="CN324" s="89" t="str">
        <f t="shared" si="81"/>
        <v>No se reportó avance</v>
      </c>
      <c r="CO324" s="159"/>
      <c r="CP324" s="159"/>
      <c r="CQ324" s="159"/>
      <c r="CR324" s="159"/>
      <c r="CS324" s="159"/>
      <c r="CT324" s="159"/>
      <c r="CU324" s="159"/>
      <c r="CV324" s="469"/>
      <c r="CW324" s="159"/>
      <c r="CX324" s="162"/>
      <c r="CY324" s="162"/>
      <c r="CZ324" s="469"/>
      <c r="DA324" s="469"/>
      <c r="DB324" s="469"/>
      <c r="DC324" s="469"/>
      <c r="DD324" s="469"/>
      <c r="DE324" s="159"/>
      <c r="DF324" s="159"/>
      <c r="DG324" s="159"/>
      <c r="DH324" s="483"/>
      <c r="DI324" s="159"/>
      <c r="DJ324" s="159"/>
      <c r="DK324" s="159"/>
      <c r="DL324" s="159"/>
      <c r="DM324" s="159"/>
      <c r="DN324" s="158"/>
      <c r="DO324" s="164"/>
      <c r="DP324" s="487"/>
      <c r="DQ324" s="164"/>
      <c r="DR324" s="164"/>
      <c r="DS324" s="158"/>
      <c r="DT324" s="164"/>
      <c r="DU324" s="487"/>
      <c r="DV324" s="164"/>
      <c r="DW324" s="164"/>
      <c r="DX324" s="158"/>
      <c r="DY324" s="164"/>
      <c r="DZ324" s="487"/>
      <c r="EA324" s="164"/>
      <c r="EB324" s="164"/>
      <c r="EC324" s="158"/>
      <c r="ED324" s="159"/>
      <c r="EE324" s="487"/>
      <c r="EF324" s="159"/>
      <c r="EG324" s="159"/>
      <c r="EH324" s="158"/>
      <c r="EI324" s="159"/>
      <c r="EJ324" s="159"/>
      <c r="EK324" s="159"/>
      <c r="EL324" s="91" t="str">
        <f t="shared" si="82"/>
        <v>No aplica, no hay meta</v>
      </c>
      <c r="EM324" s="83" t="str">
        <f t="shared" si="83"/>
        <v>No aplica, no hay meta</v>
      </c>
      <c r="EN324" s="164" t="s">
        <v>2630</v>
      </c>
    </row>
    <row r="325" spans="1:146" ht="409.5">
      <c r="A325" s="74" t="s">
        <v>2925</v>
      </c>
      <c r="B325" s="75" t="s">
        <v>2926</v>
      </c>
      <c r="C325" s="75" t="s">
        <v>2927</v>
      </c>
      <c r="D325" s="75" t="s">
        <v>2928</v>
      </c>
      <c r="E325" s="75" t="s">
        <v>2929</v>
      </c>
      <c r="F325" s="74" t="s">
        <v>182</v>
      </c>
      <c r="G325" s="74" t="s">
        <v>2930</v>
      </c>
      <c r="H325" s="74" t="s">
        <v>182</v>
      </c>
      <c r="I325" s="74" t="s">
        <v>2426</v>
      </c>
      <c r="J325" s="74" t="s">
        <v>2427</v>
      </c>
      <c r="K325" s="74" t="s">
        <v>2931</v>
      </c>
      <c r="L325" s="78">
        <v>1</v>
      </c>
      <c r="M325" s="78" t="s">
        <v>2932</v>
      </c>
      <c r="N325" s="78" t="s">
        <v>2933</v>
      </c>
      <c r="O325" s="78" t="s">
        <v>2934</v>
      </c>
      <c r="P325" s="78" t="s">
        <v>161</v>
      </c>
      <c r="Q325" s="78" t="s">
        <v>233</v>
      </c>
      <c r="R325" s="78">
        <v>158</v>
      </c>
      <c r="S325" s="78" t="s">
        <v>402</v>
      </c>
      <c r="T325" s="80">
        <v>45292</v>
      </c>
      <c r="U325" s="80">
        <v>46357</v>
      </c>
      <c r="V325" s="192">
        <v>5</v>
      </c>
      <c r="W325" s="192">
        <v>8</v>
      </c>
      <c r="X325" s="192">
        <v>12</v>
      </c>
      <c r="Y325" s="192">
        <v>16</v>
      </c>
      <c r="Z325" s="492">
        <v>41</v>
      </c>
      <c r="AA325" s="493">
        <v>5</v>
      </c>
      <c r="AB325" s="493">
        <v>10</v>
      </c>
      <c r="AC325" s="493">
        <v>10</v>
      </c>
      <c r="AD325" s="493">
        <v>20</v>
      </c>
      <c r="AE325" s="492">
        <f>SUM(AA325:AD325)</f>
        <v>45</v>
      </c>
      <c r="AF325" s="492">
        <v>3</v>
      </c>
      <c r="AG325" s="492">
        <v>15</v>
      </c>
      <c r="AH325" s="492">
        <v>15</v>
      </c>
      <c r="AI325" s="492">
        <v>20</v>
      </c>
      <c r="AJ325" s="492">
        <v>53</v>
      </c>
      <c r="AK325" s="492">
        <v>5</v>
      </c>
      <c r="AL325" s="492">
        <v>14</v>
      </c>
      <c r="AM325" s="492">
        <v>25</v>
      </c>
      <c r="AN325" s="492">
        <v>18</v>
      </c>
      <c r="AO325" s="492">
        <f>SUM(AK325:AN325)</f>
        <v>62</v>
      </c>
      <c r="AP325" s="492">
        <f>+Z325+AE325+AJ325+AO325</f>
        <v>201</v>
      </c>
      <c r="AQ325" s="84">
        <v>10</v>
      </c>
      <c r="AR325" s="84" t="s">
        <v>2935</v>
      </c>
      <c r="AS325" s="84">
        <v>11</v>
      </c>
      <c r="AT325" s="84" t="s">
        <v>2936</v>
      </c>
      <c r="AU325" s="84">
        <v>8</v>
      </c>
      <c r="AV325" s="84" t="s">
        <v>2937</v>
      </c>
      <c r="AW325" s="84">
        <v>40</v>
      </c>
      <c r="AX325" s="84" t="s">
        <v>2938</v>
      </c>
      <c r="AY325" s="84">
        <f>+AQ325+AS325+AU325+AW325</f>
        <v>69</v>
      </c>
      <c r="AZ325" s="86" t="s">
        <v>2939</v>
      </c>
      <c r="BA325" s="84">
        <v>4</v>
      </c>
      <c r="BB325" s="84" t="s">
        <v>2940</v>
      </c>
      <c r="BC325" s="84">
        <v>13</v>
      </c>
      <c r="BD325" s="84" t="s">
        <v>2941</v>
      </c>
      <c r="BE325" s="84">
        <v>9</v>
      </c>
      <c r="BF325" s="84" t="s">
        <v>2942</v>
      </c>
      <c r="BG325" s="84">
        <f>21+14</f>
        <v>35</v>
      </c>
      <c r="BH325" s="84" t="s">
        <v>2943</v>
      </c>
      <c r="BI325" s="84">
        <f>+BA325+BC325+BE325+BG325</f>
        <v>61</v>
      </c>
      <c r="BJ325" s="86" t="s">
        <v>2944</v>
      </c>
      <c r="BK325" s="84">
        <f>4</f>
        <v>4</v>
      </c>
      <c r="BL325" s="86" t="s">
        <v>2945</v>
      </c>
      <c r="BM325" s="84">
        <v>8</v>
      </c>
      <c r="BN325" s="86" t="s">
        <v>2946</v>
      </c>
      <c r="BO325" s="145">
        <v>2</v>
      </c>
      <c r="BP325" s="677" t="s">
        <v>2947</v>
      </c>
      <c r="BQ325" s="84"/>
      <c r="BR325" s="84"/>
      <c r="BS325" s="145">
        <f>BK325+BM325+BO325</f>
        <v>14</v>
      </c>
      <c r="BT325" s="84"/>
      <c r="BU325" s="84"/>
      <c r="BV325" s="84"/>
      <c r="BW325" s="84"/>
      <c r="BX325" s="84"/>
      <c r="BY325" s="84"/>
      <c r="BZ325" s="84"/>
      <c r="CA325" s="84"/>
      <c r="CB325" s="84"/>
      <c r="CC325" s="84"/>
      <c r="CD325" s="84"/>
      <c r="CE325" s="145">
        <f>BS325+AY325+BI325</f>
        <v>144</v>
      </c>
      <c r="CF325" s="84"/>
      <c r="CG325" s="468">
        <f>SUM(DH325:DH328)</f>
        <v>627264000000</v>
      </c>
      <c r="CH325" s="475">
        <v>518321477561.21002</v>
      </c>
      <c r="CI325" s="465"/>
      <c r="CJ325" s="83">
        <f t="shared" ref="CJ325:CK334" si="86">+IFERROR(CH325/CG325,"No aplica")</f>
        <v>0.82632109855054658</v>
      </c>
      <c r="CK325" s="83">
        <f t="shared" ref="CK325:CK333" si="87">+IFERROR(CI325/CG325,"No aplica")</f>
        <v>0</v>
      </c>
      <c r="CL325" s="83" t="str">
        <f t="shared" si="79"/>
        <v>No se reportó avance</v>
      </c>
      <c r="CM325" s="89" t="str">
        <f t="shared" si="80"/>
        <v>No se reportó avance</v>
      </c>
      <c r="CN325" s="89">
        <f t="shared" si="81"/>
        <v>0.71641791044776115</v>
      </c>
      <c r="CO325" s="84" t="s">
        <v>177</v>
      </c>
      <c r="CP325" s="678" t="s">
        <v>2948</v>
      </c>
      <c r="CQ325" s="84" t="s">
        <v>2949</v>
      </c>
      <c r="CR325" s="94" t="s">
        <v>2933</v>
      </c>
      <c r="CS325" s="84" t="s">
        <v>2950</v>
      </c>
      <c r="CT325" s="84" t="s">
        <v>1219</v>
      </c>
      <c r="CU325" s="84" t="s">
        <v>233</v>
      </c>
      <c r="CV325" s="84">
        <v>221</v>
      </c>
      <c r="CW325" s="84" t="s">
        <v>402</v>
      </c>
      <c r="CX325" s="90">
        <v>46023</v>
      </c>
      <c r="CY325" s="90">
        <v>46387</v>
      </c>
      <c r="CZ325" s="122">
        <v>5</v>
      </c>
      <c r="DA325" s="122">
        <v>14</v>
      </c>
      <c r="DB325" s="122">
        <v>25</v>
      </c>
      <c r="DC325" s="122">
        <v>18</v>
      </c>
      <c r="DD325" s="122">
        <f>SUM(CZ325:DC325)</f>
        <v>62</v>
      </c>
      <c r="DE325" s="84" t="s">
        <v>2951</v>
      </c>
      <c r="DF325" s="84" t="s">
        <v>2952</v>
      </c>
      <c r="DG325" s="84" t="s">
        <v>2953</v>
      </c>
      <c r="DH325" s="622">
        <v>608446080000</v>
      </c>
      <c r="DI325" s="84" t="s">
        <v>268</v>
      </c>
      <c r="DJ325" s="84" t="s">
        <v>2606</v>
      </c>
      <c r="DK325" s="84" t="s">
        <v>2954</v>
      </c>
      <c r="DL325" s="84" t="s">
        <v>2708</v>
      </c>
      <c r="DM325" s="84" t="s">
        <v>2955</v>
      </c>
      <c r="DN325" s="84"/>
      <c r="DO325" s="863"/>
      <c r="DP325" s="84"/>
      <c r="DQ325" s="86"/>
      <c r="DR325" s="86"/>
      <c r="DS325" s="84"/>
      <c r="DT325" s="86"/>
      <c r="DU325" s="84"/>
      <c r="DV325" s="86"/>
      <c r="DW325" s="86"/>
      <c r="DX325" s="145"/>
      <c r="DY325" s="677"/>
      <c r="DZ325" s="145"/>
      <c r="EA325" s="677"/>
      <c r="EB325" s="677"/>
      <c r="EC325" s="84"/>
      <c r="ED325" s="84"/>
      <c r="EE325" s="84"/>
      <c r="EF325" s="84"/>
      <c r="EG325" s="84"/>
      <c r="EH325" s="145"/>
      <c r="EI325" s="84"/>
      <c r="EJ325" s="84"/>
      <c r="EK325" s="131"/>
      <c r="EL325" s="91" t="str">
        <f t="shared" si="82"/>
        <v>No se reportó avance</v>
      </c>
      <c r="EM325" s="83" t="str">
        <f t="shared" si="83"/>
        <v>No se reportó avance</v>
      </c>
      <c r="EN325" s="86"/>
    </row>
    <row r="326" spans="1:146" ht="60">
      <c r="A326" s="84" t="s">
        <v>2925</v>
      </c>
      <c r="B326" s="85" t="s">
        <v>2926</v>
      </c>
      <c r="C326" s="85" t="s">
        <v>2927</v>
      </c>
      <c r="D326" s="85" t="s">
        <v>2928</v>
      </c>
      <c r="E326" s="85" t="s">
        <v>2929</v>
      </c>
      <c r="F326" s="84" t="s">
        <v>182</v>
      </c>
      <c r="G326" s="84" t="s">
        <v>2930</v>
      </c>
      <c r="H326" s="84" t="s">
        <v>182</v>
      </c>
      <c r="I326" s="84" t="s">
        <v>2426</v>
      </c>
      <c r="J326" s="84" t="s">
        <v>2427</v>
      </c>
      <c r="K326" s="84"/>
      <c r="L326" s="84">
        <v>1</v>
      </c>
      <c r="M326" s="84" t="s">
        <v>2956</v>
      </c>
      <c r="N326" s="84" t="s">
        <v>2957</v>
      </c>
      <c r="O326" s="84" t="s">
        <v>2958</v>
      </c>
      <c r="P326" s="84" t="s">
        <v>161</v>
      </c>
      <c r="Q326" s="84" t="s">
        <v>233</v>
      </c>
      <c r="R326" s="84">
        <v>158</v>
      </c>
      <c r="S326" s="84" t="s">
        <v>402</v>
      </c>
      <c r="T326" s="90">
        <v>45292</v>
      </c>
      <c r="U326" s="90">
        <v>46357</v>
      </c>
      <c r="V326" s="84"/>
      <c r="W326" s="84"/>
      <c r="X326" s="84"/>
      <c r="Y326" s="84"/>
      <c r="Z326" s="494"/>
      <c r="AA326" s="494"/>
      <c r="AB326" s="494"/>
      <c r="AC326" s="494"/>
      <c r="AD326" s="494"/>
      <c r="AE326" s="494"/>
      <c r="AF326" s="494"/>
      <c r="AG326" s="494"/>
      <c r="AH326" s="494"/>
      <c r="AI326" s="494"/>
      <c r="AJ326" s="494"/>
      <c r="AK326" s="494"/>
      <c r="AL326" s="494"/>
      <c r="AM326" s="494"/>
      <c r="AN326" s="494"/>
      <c r="AO326" s="494"/>
      <c r="AP326" s="494"/>
      <c r="AQ326" s="84"/>
      <c r="AR326" s="84"/>
      <c r="AS326" s="84"/>
      <c r="AT326" s="84"/>
      <c r="AU326" s="84"/>
      <c r="AV326" s="84"/>
      <c r="AW326" s="84"/>
      <c r="AX326" s="84"/>
      <c r="AY326" s="84"/>
      <c r="AZ326" s="86"/>
      <c r="BA326" s="84"/>
      <c r="BB326" s="84"/>
      <c r="BC326" s="84"/>
      <c r="BD326" s="84"/>
      <c r="BE326" s="84"/>
      <c r="BF326" s="84"/>
      <c r="BG326" s="84"/>
      <c r="BH326" s="84"/>
      <c r="BI326" s="84"/>
      <c r="BJ326" s="86"/>
      <c r="BK326" s="84"/>
      <c r="BL326" s="86"/>
      <c r="BM326" s="84"/>
      <c r="BN326" s="86"/>
      <c r="BO326" s="84"/>
      <c r="BP326" s="86"/>
      <c r="BQ326" s="84"/>
      <c r="BR326" s="84"/>
      <c r="BS326" s="84"/>
      <c r="BT326" s="84"/>
      <c r="BU326" s="84"/>
      <c r="BV326" s="84"/>
      <c r="BW326" s="84"/>
      <c r="BX326" s="84"/>
      <c r="BY326" s="84"/>
      <c r="BZ326" s="84"/>
      <c r="CA326" s="84"/>
      <c r="CB326" s="84"/>
      <c r="CC326" s="84"/>
      <c r="CD326" s="84"/>
      <c r="CE326" s="84"/>
      <c r="CF326" s="84"/>
      <c r="CG326" s="372"/>
      <c r="CH326" s="155"/>
      <c r="CI326" s="84"/>
      <c r="CJ326" s="83" t="str">
        <f t="shared" si="86"/>
        <v>No aplica</v>
      </c>
      <c r="CK326" s="83" t="str">
        <f t="shared" si="87"/>
        <v>No aplica</v>
      </c>
      <c r="CL326" s="83" t="str">
        <f t="shared" si="79"/>
        <v>No aplica, no hay meta</v>
      </c>
      <c r="CM326" s="89" t="str">
        <f t="shared" si="80"/>
        <v>No aplica, no hay meta</v>
      </c>
      <c r="CN326" s="89" t="str">
        <f t="shared" si="81"/>
        <v>No aplica, no hay meta</v>
      </c>
      <c r="CO326" s="84" t="s">
        <v>185</v>
      </c>
      <c r="CP326" s="678" t="s">
        <v>2959</v>
      </c>
      <c r="CQ326" s="84" t="s">
        <v>2960</v>
      </c>
      <c r="CR326" s="94" t="s">
        <v>2961</v>
      </c>
      <c r="CS326" s="94" t="s">
        <v>2962</v>
      </c>
      <c r="CT326" s="84" t="s">
        <v>1219</v>
      </c>
      <c r="CU326" s="84" t="s">
        <v>233</v>
      </c>
      <c r="CV326" s="84">
        <v>0</v>
      </c>
      <c r="CW326" s="84" t="s">
        <v>402</v>
      </c>
      <c r="CX326" s="90">
        <v>46023</v>
      </c>
      <c r="CY326" s="90">
        <v>46387</v>
      </c>
      <c r="CZ326" s="122">
        <v>50</v>
      </c>
      <c r="DA326" s="122">
        <v>80</v>
      </c>
      <c r="DB326" s="122">
        <v>100</v>
      </c>
      <c r="DC326" s="122">
        <v>120</v>
      </c>
      <c r="DD326" s="122">
        <f>SUM(CZ326:DC326)</f>
        <v>350</v>
      </c>
      <c r="DE326" s="84" t="s">
        <v>2951</v>
      </c>
      <c r="DF326" s="84" t="s">
        <v>2952</v>
      </c>
      <c r="DG326" s="84" t="s">
        <v>2953</v>
      </c>
      <c r="DH326" s="622">
        <v>0</v>
      </c>
      <c r="DI326" s="84" t="s">
        <v>268</v>
      </c>
      <c r="DJ326" s="84" t="s">
        <v>2606</v>
      </c>
      <c r="DK326" s="84" t="s">
        <v>2954</v>
      </c>
      <c r="DL326" s="84" t="s">
        <v>2708</v>
      </c>
      <c r="DM326" s="84" t="s">
        <v>2955</v>
      </c>
      <c r="DN326" s="84"/>
      <c r="DO326" s="86"/>
      <c r="DP326" s="84"/>
      <c r="DQ326" s="86"/>
      <c r="DR326" s="86"/>
      <c r="DS326" s="84"/>
      <c r="DT326" s="86"/>
      <c r="DU326" s="84"/>
      <c r="DV326" s="86"/>
      <c r="DW326" s="86"/>
      <c r="DX326" s="145"/>
      <c r="DY326" s="677"/>
      <c r="DZ326" s="145"/>
      <c r="EA326" s="677"/>
      <c r="EB326" s="677"/>
      <c r="EC326" s="84"/>
      <c r="ED326" s="84"/>
      <c r="EE326" s="84"/>
      <c r="EF326" s="84"/>
      <c r="EG326" s="84"/>
      <c r="EH326" s="145"/>
      <c r="EI326" s="84"/>
      <c r="EJ326" s="84"/>
      <c r="EK326" s="131"/>
      <c r="EL326" s="91" t="str">
        <f t="shared" si="82"/>
        <v>No se reportó avance</v>
      </c>
      <c r="EM326" s="83" t="str">
        <f t="shared" si="83"/>
        <v>No se reportó avance</v>
      </c>
      <c r="EN326" s="153"/>
    </row>
    <row r="327" spans="1:146" ht="60">
      <c r="A327" s="84" t="s">
        <v>2925</v>
      </c>
      <c r="B327" s="85" t="s">
        <v>2926</v>
      </c>
      <c r="C327" s="85" t="s">
        <v>2927</v>
      </c>
      <c r="D327" s="85" t="s">
        <v>2928</v>
      </c>
      <c r="E327" s="85" t="s">
        <v>2929</v>
      </c>
      <c r="F327" s="84" t="s">
        <v>182</v>
      </c>
      <c r="G327" s="84" t="s">
        <v>2930</v>
      </c>
      <c r="H327" s="84" t="s">
        <v>182</v>
      </c>
      <c r="I327" s="84" t="s">
        <v>2426</v>
      </c>
      <c r="J327" s="84" t="s">
        <v>2427</v>
      </c>
      <c r="K327" s="84"/>
      <c r="L327" s="84">
        <v>1</v>
      </c>
      <c r="M327" s="84" t="s">
        <v>2956</v>
      </c>
      <c r="N327" s="84" t="s">
        <v>2957</v>
      </c>
      <c r="O327" s="84" t="s">
        <v>2958</v>
      </c>
      <c r="P327" s="84" t="s">
        <v>161</v>
      </c>
      <c r="Q327" s="84" t="s">
        <v>233</v>
      </c>
      <c r="R327" s="84">
        <v>158</v>
      </c>
      <c r="S327" s="84" t="s">
        <v>402</v>
      </c>
      <c r="T327" s="90">
        <v>45292</v>
      </c>
      <c r="U327" s="90">
        <v>46357</v>
      </c>
      <c r="V327" s="84"/>
      <c r="W327" s="84"/>
      <c r="X327" s="84"/>
      <c r="Y327" s="84"/>
      <c r="Z327" s="494"/>
      <c r="AA327" s="494"/>
      <c r="AB327" s="494"/>
      <c r="AC327" s="494"/>
      <c r="AD327" s="494"/>
      <c r="AE327" s="494"/>
      <c r="AF327" s="494"/>
      <c r="AG327" s="494"/>
      <c r="AH327" s="494"/>
      <c r="AI327" s="494"/>
      <c r="AJ327" s="494"/>
      <c r="AK327" s="494"/>
      <c r="AL327" s="494"/>
      <c r="AM327" s="494"/>
      <c r="AN327" s="494"/>
      <c r="AO327" s="494"/>
      <c r="AP327" s="494"/>
      <c r="AQ327" s="84"/>
      <c r="AR327" s="84"/>
      <c r="AS327" s="84"/>
      <c r="AT327" s="84"/>
      <c r="AU327" s="84"/>
      <c r="AV327" s="84"/>
      <c r="AW327" s="84"/>
      <c r="AX327" s="84"/>
      <c r="AY327" s="84"/>
      <c r="AZ327" s="86"/>
      <c r="BA327" s="84"/>
      <c r="BB327" s="84"/>
      <c r="BC327" s="84"/>
      <c r="BD327" s="84"/>
      <c r="BE327" s="84"/>
      <c r="BF327" s="84"/>
      <c r="BG327" s="84"/>
      <c r="BH327" s="84"/>
      <c r="BI327" s="84"/>
      <c r="BJ327" s="86"/>
      <c r="BK327" s="84"/>
      <c r="BL327" s="86"/>
      <c r="BM327" s="84"/>
      <c r="BN327" s="86"/>
      <c r="BO327" s="84"/>
      <c r="BP327" s="86"/>
      <c r="BQ327" s="84"/>
      <c r="BR327" s="84"/>
      <c r="BS327" s="84"/>
      <c r="BT327" s="84"/>
      <c r="BU327" s="84"/>
      <c r="BV327" s="84"/>
      <c r="BW327" s="84"/>
      <c r="BX327" s="84"/>
      <c r="BY327" s="84"/>
      <c r="BZ327" s="84"/>
      <c r="CA327" s="84"/>
      <c r="CB327" s="84"/>
      <c r="CC327" s="84"/>
      <c r="CD327" s="84"/>
      <c r="CE327" s="84"/>
      <c r="CF327" s="84"/>
      <c r="CG327" s="372"/>
      <c r="CH327" s="155"/>
      <c r="CI327" s="84"/>
      <c r="CJ327" s="83" t="str">
        <f t="shared" si="86"/>
        <v>No aplica</v>
      </c>
      <c r="CK327" s="83" t="str">
        <f t="shared" si="87"/>
        <v>No aplica</v>
      </c>
      <c r="CL327" s="83" t="str">
        <f t="shared" si="79"/>
        <v>No requiere reporte</v>
      </c>
      <c r="CM327" s="89" t="str">
        <f t="shared" si="80"/>
        <v>No requiere reporte</v>
      </c>
      <c r="CN327" s="89" t="str">
        <f t="shared" si="81"/>
        <v>No requiere reporte</v>
      </c>
      <c r="CO327" s="84" t="s">
        <v>190</v>
      </c>
      <c r="CP327" s="678" t="s">
        <v>2963</v>
      </c>
      <c r="CQ327" s="84" t="s">
        <v>2964</v>
      </c>
      <c r="CR327" s="94" t="s">
        <v>2965</v>
      </c>
      <c r="CS327" s="84" t="s">
        <v>2966</v>
      </c>
      <c r="CT327" s="84" t="s">
        <v>1219</v>
      </c>
      <c r="CU327" s="94" t="s">
        <v>275</v>
      </c>
      <c r="CV327" s="291">
        <v>0</v>
      </c>
      <c r="CW327" s="84" t="s">
        <v>252</v>
      </c>
      <c r="CX327" s="90">
        <v>46023</v>
      </c>
      <c r="CY327" s="90">
        <v>46387</v>
      </c>
      <c r="CZ327" s="83">
        <v>0.1</v>
      </c>
      <c r="DA327" s="83">
        <v>0.3</v>
      </c>
      <c r="DB327" s="83">
        <v>0.55000000000000004</v>
      </c>
      <c r="DC327" s="146">
        <v>1</v>
      </c>
      <c r="DD327" s="146">
        <v>1</v>
      </c>
      <c r="DE327" s="83" t="s">
        <v>2951</v>
      </c>
      <c r="DF327" s="83" t="s">
        <v>2952</v>
      </c>
      <c r="DG327" s="83" t="s">
        <v>2953</v>
      </c>
      <c r="DH327" s="622">
        <v>18817920000</v>
      </c>
      <c r="DI327" s="84" t="s">
        <v>268</v>
      </c>
      <c r="DJ327" s="83" t="s">
        <v>2606</v>
      </c>
      <c r="DK327" s="83" t="s">
        <v>2954</v>
      </c>
      <c r="DL327" s="83" t="s">
        <v>2708</v>
      </c>
      <c r="DM327" s="83" t="s">
        <v>1331</v>
      </c>
      <c r="DN327" s="130"/>
      <c r="DO327" s="86"/>
      <c r="DP327" s="84"/>
      <c r="DQ327" s="86"/>
      <c r="DR327" s="86"/>
      <c r="DS327" s="130"/>
      <c r="DT327" s="86"/>
      <c r="DU327" s="84"/>
      <c r="DV327" s="86"/>
      <c r="DW327" s="86"/>
      <c r="DX327" s="864"/>
      <c r="DY327" s="677"/>
      <c r="DZ327" s="145"/>
      <c r="EA327" s="677"/>
      <c r="EB327" s="677"/>
      <c r="EC327" s="84"/>
      <c r="ED327" s="84"/>
      <c r="EE327" s="84"/>
      <c r="EF327" s="84"/>
      <c r="EG327" s="84"/>
      <c r="EH327" s="146"/>
      <c r="EI327" s="84"/>
      <c r="EJ327" s="84"/>
      <c r="EK327" s="131"/>
      <c r="EL327" s="91" t="str">
        <f t="shared" si="82"/>
        <v>No se reportó avance</v>
      </c>
      <c r="EM327" s="83" t="str">
        <f t="shared" si="83"/>
        <v>No se reportó avance</v>
      </c>
      <c r="EN327" s="153"/>
    </row>
    <row r="328" spans="1:146" ht="60">
      <c r="A328" s="84" t="s">
        <v>2925</v>
      </c>
      <c r="B328" s="85" t="s">
        <v>2926</v>
      </c>
      <c r="C328" s="85" t="s">
        <v>2927</v>
      </c>
      <c r="D328" s="85" t="s">
        <v>2928</v>
      </c>
      <c r="E328" s="85" t="s">
        <v>2929</v>
      </c>
      <c r="F328" s="84" t="s">
        <v>182</v>
      </c>
      <c r="G328" s="84" t="s">
        <v>2930</v>
      </c>
      <c r="H328" s="84" t="s">
        <v>182</v>
      </c>
      <c r="I328" s="84" t="s">
        <v>2426</v>
      </c>
      <c r="J328" s="84" t="s">
        <v>2427</v>
      </c>
      <c r="K328" s="84"/>
      <c r="L328" s="84">
        <v>1</v>
      </c>
      <c r="M328" s="84" t="s">
        <v>2956</v>
      </c>
      <c r="N328" s="84" t="s">
        <v>2957</v>
      </c>
      <c r="O328" s="84" t="s">
        <v>2958</v>
      </c>
      <c r="P328" s="84" t="s">
        <v>161</v>
      </c>
      <c r="Q328" s="84" t="s">
        <v>233</v>
      </c>
      <c r="R328" s="84">
        <v>158</v>
      </c>
      <c r="S328" s="84" t="s">
        <v>402</v>
      </c>
      <c r="T328" s="90">
        <v>45292</v>
      </c>
      <c r="U328" s="90">
        <v>46357</v>
      </c>
      <c r="V328" s="84"/>
      <c r="W328" s="84"/>
      <c r="X328" s="84"/>
      <c r="Y328" s="84"/>
      <c r="Z328" s="494"/>
      <c r="AA328" s="494"/>
      <c r="AB328" s="494"/>
      <c r="AC328" s="494"/>
      <c r="AD328" s="494"/>
      <c r="AE328" s="494"/>
      <c r="AF328" s="494"/>
      <c r="AG328" s="494"/>
      <c r="AH328" s="494"/>
      <c r="AI328" s="494"/>
      <c r="AJ328" s="494"/>
      <c r="AK328" s="494"/>
      <c r="AL328" s="494"/>
      <c r="AM328" s="494"/>
      <c r="AN328" s="494"/>
      <c r="AO328" s="494"/>
      <c r="AP328" s="494"/>
      <c r="AQ328" s="84"/>
      <c r="AR328" s="84"/>
      <c r="AS328" s="84"/>
      <c r="AT328" s="84"/>
      <c r="AU328" s="84"/>
      <c r="AV328" s="84"/>
      <c r="AW328" s="84"/>
      <c r="AX328" s="84"/>
      <c r="AY328" s="84"/>
      <c r="AZ328" s="86"/>
      <c r="BA328" s="84"/>
      <c r="BB328" s="84"/>
      <c r="BC328" s="84"/>
      <c r="BD328" s="84"/>
      <c r="BE328" s="84"/>
      <c r="BF328" s="84"/>
      <c r="BG328" s="84"/>
      <c r="BH328" s="84"/>
      <c r="BI328" s="84"/>
      <c r="BJ328" s="86"/>
      <c r="BK328" s="84"/>
      <c r="BL328" s="86"/>
      <c r="BM328" s="84"/>
      <c r="BN328" s="86"/>
      <c r="BO328" s="84"/>
      <c r="BP328" s="86"/>
      <c r="BQ328" s="84"/>
      <c r="BR328" s="84"/>
      <c r="BS328" s="84"/>
      <c r="BT328" s="84"/>
      <c r="BU328" s="84"/>
      <c r="BV328" s="84"/>
      <c r="BW328" s="84"/>
      <c r="BX328" s="84"/>
      <c r="BY328" s="84"/>
      <c r="BZ328" s="84"/>
      <c r="CA328" s="84"/>
      <c r="CB328" s="84"/>
      <c r="CC328" s="84"/>
      <c r="CD328" s="84"/>
      <c r="CE328" s="84"/>
      <c r="CF328" s="84"/>
      <c r="CG328" s="372"/>
      <c r="CH328" s="155"/>
      <c r="CI328" s="84"/>
      <c r="CJ328" s="83" t="str">
        <f t="shared" si="86"/>
        <v>No aplica</v>
      </c>
      <c r="CK328" s="83" t="str">
        <f t="shared" si="87"/>
        <v>No aplica</v>
      </c>
      <c r="CL328" s="83" t="str">
        <f t="shared" si="79"/>
        <v>No requiere reporte</v>
      </c>
      <c r="CM328" s="89" t="str">
        <f t="shared" si="80"/>
        <v>No requiere reporte</v>
      </c>
      <c r="CN328" s="89" t="str">
        <f t="shared" si="81"/>
        <v>No requiere reporte</v>
      </c>
      <c r="CO328" s="84" t="s">
        <v>195</v>
      </c>
      <c r="CP328" s="678" t="s">
        <v>2967</v>
      </c>
      <c r="CQ328" s="84" t="s">
        <v>2949</v>
      </c>
      <c r="CR328" s="94" t="s">
        <v>2968</v>
      </c>
      <c r="CS328" s="84" t="s">
        <v>2969</v>
      </c>
      <c r="CT328" s="84" t="s">
        <v>1219</v>
      </c>
      <c r="CU328" s="84" t="s">
        <v>233</v>
      </c>
      <c r="CV328" s="84">
        <v>0</v>
      </c>
      <c r="CW328" s="84" t="s">
        <v>402</v>
      </c>
      <c r="CX328" s="90">
        <v>46023</v>
      </c>
      <c r="CY328" s="90">
        <v>46387</v>
      </c>
      <c r="CZ328" s="122">
        <v>3</v>
      </c>
      <c r="DA328" s="122">
        <v>3</v>
      </c>
      <c r="DB328" s="122">
        <v>3</v>
      </c>
      <c r="DC328" s="122">
        <v>6</v>
      </c>
      <c r="DD328" s="122">
        <f>SUM(CZ328:DC328)</f>
        <v>15</v>
      </c>
      <c r="DE328" s="84" t="s">
        <v>2951</v>
      </c>
      <c r="DF328" s="84" t="s">
        <v>2952</v>
      </c>
      <c r="DG328" s="84" t="s">
        <v>2953</v>
      </c>
      <c r="DH328" s="622">
        <v>0</v>
      </c>
      <c r="DI328" s="84" t="s">
        <v>268</v>
      </c>
      <c r="DJ328" s="84" t="s">
        <v>2606</v>
      </c>
      <c r="DK328" s="84" t="s">
        <v>2954</v>
      </c>
      <c r="DL328" s="84" t="s">
        <v>2708</v>
      </c>
      <c r="DM328" s="84" t="s">
        <v>2955</v>
      </c>
      <c r="DN328" s="85"/>
      <c r="DO328" s="86"/>
      <c r="DP328" s="84"/>
      <c r="DQ328" s="86"/>
      <c r="DR328" s="86"/>
      <c r="DS328" s="83"/>
      <c r="DT328" s="87"/>
      <c r="DU328" s="84"/>
      <c r="DV328" s="86"/>
      <c r="DW328" s="86"/>
      <c r="DX328" s="146"/>
      <c r="DY328" s="865"/>
      <c r="DZ328" s="145"/>
      <c r="EA328" s="677"/>
      <c r="EB328" s="677"/>
      <c r="EC328" s="84"/>
      <c r="ED328" s="84"/>
      <c r="EE328" s="84"/>
      <c r="EF328" s="84"/>
      <c r="EG328" s="84"/>
      <c r="EH328" s="146"/>
      <c r="EI328" s="84"/>
      <c r="EJ328" s="84"/>
      <c r="EK328" s="131"/>
      <c r="EL328" s="91" t="str">
        <f t="shared" si="82"/>
        <v>No se reportó avance</v>
      </c>
      <c r="EM328" s="83" t="str">
        <f t="shared" si="83"/>
        <v>No se reportó avance</v>
      </c>
      <c r="EN328" s="866"/>
    </row>
    <row r="329" spans="1:146" ht="409.5">
      <c r="A329" s="74" t="s">
        <v>2925</v>
      </c>
      <c r="B329" s="75" t="s">
        <v>2926</v>
      </c>
      <c r="C329" s="75" t="s">
        <v>2927</v>
      </c>
      <c r="D329" s="75" t="s">
        <v>2928</v>
      </c>
      <c r="E329" s="75" t="s">
        <v>2929</v>
      </c>
      <c r="F329" s="74" t="s">
        <v>182</v>
      </c>
      <c r="G329" s="74" t="s">
        <v>2930</v>
      </c>
      <c r="H329" s="74" t="s">
        <v>182</v>
      </c>
      <c r="I329" s="74" t="s">
        <v>2426</v>
      </c>
      <c r="J329" s="74" t="s">
        <v>2427</v>
      </c>
      <c r="K329" s="74" t="s">
        <v>2931</v>
      </c>
      <c r="L329" s="78">
        <v>2</v>
      </c>
      <c r="M329" s="78" t="s">
        <v>2970</v>
      </c>
      <c r="N329" s="78" t="s">
        <v>2971</v>
      </c>
      <c r="O329" s="77" t="s">
        <v>2972</v>
      </c>
      <c r="P329" s="78" t="s">
        <v>1161</v>
      </c>
      <c r="Q329" s="77" t="s">
        <v>275</v>
      </c>
      <c r="R329" s="78" t="s">
        <v>182</v>
      </c>
      <c r="S329" s="78" t="s">
        <v>402</v>
      </c>
      <c r="T329" s="80">
        <v>45292</v>
      </c>
      <c r="U329" s="80">
        <v>46357</v>
      </c>
      <c r="V329" s="74"/>
      <c r="W329" s="74"/>
      <c r="X329" s="74"/>
      <c r="Y329" s="74">
        <v>42</v>
      </c>
      <c r="Z329" s="492">
        <v>42</v>
      </c>
      <c r="AA329" s="493">
        <v>0</v>
      </c>
      <c r="AB329" s="493">
        <v>0</v>
      </c>
      <c r="AC329" s="493">
        <v>0</v>
      </c>
      <c r="AD329" s="493">
        <v>42</v>
      </c>
      <c r="AE329" s="492">
        <f>SUM(AA329:AD329)</f>
        <v>42</v>
      </c>
      <c r="AF329" s="492">
        <v>42</v>
      </c>
      <c r="AG329" s="492">
        <v>42</v>
      </c>
      <c r="AH329" s="492">
        <v>42</v>
      </c>
      <c r="AI329" s="492">
        <v>42</v>
      </c>
      <c r="AJ329" s="492">
        <v>42</v>
      </c>
      <c r="AK329" s="493">
        <v>19</v>
      </c>
      <c r="AL329" s="493">
        <v>19</v>
      </c>
      <c r="AM329" s="493">
        <v>19</v>
      </c>
      <c r="AN329" s="493">
        <v>19</v>
      </c>
      <c r="AO329" s="492">
        <v>19</v>
      </c>
      <c r="AP329" s="495">
        <f>MAX(Z329,AE329,AJ329,AO329)</f>
        <v>42</v>
      </c>
      <c r="AQ329" s="84">
        <v>0</v>
      </c>
      <c r="AR329" s="84" t="s">
        <v>2973</v>
      </c>
      <c r="AS329" s="84">
        <v>19</v>
      </c>
      <c r="AT329" s="84" t="s">
        <v>2973</v>
      </c>
      <c r="AU329" s="84">
        <v>0</v>
      </c>
      <c r="AV329" s="84" t="s">
        <v>2974</v>
      </c>
      <c r="AW329" s="84">
        <v>19</v>
      </c>
      <c r="AX329" s="84" t="s">
        <v>2975</v>
      </c>
      <c r="AY329" s="84">
        <v>19</v>
      </c>
      <c r="AZ329" s="86" t="s">
        <v>2976</v>
      </c>
      <c r="BA329" s="84">
        <v>0</v>
      </c>
      <c r="BB329" s="84" t="s">
        <v>2977</v>
      </c>
      <c r="BC329" s="84">
        <v>0</v>
      </c>
      <c r="BD329" s="84" t="s">
        <v>2978</v>
      </c>
      <c r="BE329" s="84">
        <v>42</v>
      </c>
      <c r="BF329" s="84" t="s">
        <v>2979</v>
      </c>
      <c r="BG329" s="84">
        <v>42</v>
      </c>
      <c r="BH329" s="84" t="s">
        <v>2980</v>
      </c>
      <c r="BI329" s="84">
        <f>+BG329</f>
        <v>42</v>
      </c>
      <c r="BJ329" s="86" t="s">
        <v>2980</v>
      </c>
      <c r="BK329" s="115">
        <v>0</v>
      </c>
      <c r="BL329" s="86" t="s">
        <v>2981</v>
      </c>
      <c r="BM329" s="84">
        <v>42</v>
      </c>
      <c r="BN329" s="86" t="s">
        <v>2982</v>
      </c>
      <c r="BO329" s="145">
        <v>42</v>
      </c>
      <c r="BP329" s="677" t="s">
        <v>2983</v>
      </c>
      <c r="BQ329" s="84"/>
      <c r="BR329" s="84"/>
      <c r="BS329" s="145">
        <f>BK329+BM329+BO329</f>
        <v>84</v>
      </c>
      <c r="BT329" s="84"/>
      <c r="BU329" s="84"/>
      <c r="BV329" s="84"/>
      <c r="BW329" s="84"/>
      <c r="BX329" s="84"/>
      <c r="BY329" s="84"/>
      <c r="BZ329" s="84"/>
      <c r="CA329" s="84"/>
      <c r="CB329" s="84"/>
      <c r="CC329" s="84"/>
      <c r="CD329" s="84"/>
      <c r="CE329" s="145">
        <f>BS329+AY329+BI329</f>
        <v>145</v>
      </c>
      <c r="CF329" s="84"/>
      <c r="CG329" s="468">
        <f>SUM(DH329)</f>
        <v>81291000000</v>
      </c>
      <c r="CH329" s="496">
        <v>17203016263</v>
      </c>
      <c r="CI329" s="465">
        <v>0</v>
      </c>
      <c r="CJ329" s="83">
        <f t="shared" si="86"/>
        <v>0.21162264288789656</v>
      </c>
      <c r="CK329" s="83">
        <f t="shared" si="87"/>
        <v>0</v>
      </c>
      <c r="CL329" s="83" t="str">
        <f t="shared" si="79"/>
        <v>No se reportó avance</v>
      </c>
      <c r="CM329" s="89" t="str">
        <f t="shared" si="80"/>
        <v>No se reportó avance</v>
      </c>
      <c r="CN329" s="89">
        <f t="shared" si="81"/>
        <v>1.0000100000000001</v>
      </c>
      <c r="CO329" s="84" t="s">
        <v>225</v>
      </c>
      <c r="CP329" s="94" t="s">
        <v>2984</v>
      </c>
      <c r="CQ329" s="94" t="s">
        <v>2964</v>
      </c>
      <c r="CR329" s="94" t="s">
        <v>2985</v>
      </c>
      <c r="CS329" s="84" t="s">
        <v>2966</v>
      </c>
      <c r="CT329" s="84" t="s">
        <v>1219</v>
      </c>
      <c r="CU329" s="94" t="s">
        <v>275</v>
      </c>
      <c r="CV329" s="291">
        <v>0</v>
      </c>
      <c r="CW329" s="84" t="s">
        <v>252</v>
      </c>
      <c r="CX329" s="90">
        <v>46023</v>
      </c>
      <c r="CY329" s="90">
        <v>46387</v>
      </c>
      <c r="CZ329" s="83">
        <v>0</v>
      </c>
      <c r="DA329" s="83">
        <v>0.05</v>
      </c>
      <c r="DB329" s="83">
        <v>0.09</v>
      </c>
      <c r="DC329" s="146">
        <v>1</v>
      </c>
      <c r="DD329" s="146">
        <v>1</v>
      </c>
      <c r="DE329" s="84" t="s">
        <v>2986</v>
      </c>
      <c r="DF329" s="84" t="s">
        <v>2987</v>
      </c>
      <c r="DG329" s="84" t="s">
        <v>2988</v>
      </c>
      <c r="DH329" s="622">
        <v>81291000000</v>
      </c>
      <c r="DI329" s="84" t="s">
        <v>268</v>
      </c>
      <c r="DJ329" s="84" t="s">
        <v>2606</v>
      </c>
      <c r="DK329" s="84" t="s">
        <v>2954</v>
      </c>
      <c r="DL329" s="84" t="s">
        <v>2708</v>
      </c>
      <c r="DM329" s="84" t="s">
        <v>2955</v>
      </c>
      <c r="DN329" s="83"/>
      <c r="DO329" s="87"/>
      <c r="DP329" s="84"/>
      <c r="DQ329" s="86"/>
      <c r="DR329" s="86"/>
      <c r="DS329" s="85"/>
      <c r="DT329" s="86"/>
      <c r="DU329" s="84"/>
      <c r="DV329" s="86"/>
      <c r="DW329" s="86"/>
      <c r="DX329" s="157"/>
      <c r="DY329" s="677"/>
      <c r="DZ329" s="145"/>
      <c r="EA329" s="677"/>
      <c r="EB329" s="677"/>
      <c r="EC329" s="84"/>
      <c r="ED329" s="84"/>
      <c r="EE329" s="84"/>
      <c r="EF329" s="84"/>
      <c r="EG329" s="84"/>
      <c r="EH329" s="146"/>
      <c r="EI329" s="84"/>
      <c r="EJ329" s="84"/>
      <c r="EK329" s="131"/>
      <c r="EL329" s="91" t="str">
        <f t="shared" si="82"/>
        <v>No aplica, no hay meta</v>
      </c>
      <c r="EM329" s="83" t="str">
        <f t="shared" si="83"/>
        <v>No se reportó avance</v>
      </c>
      <c r="EN329" s="673" t="s">
        <v>2989</v>
      </c>
    </row>
    <row r="330" spans="1:146" ht="96">
      <c r="A330" s="84" t="s">
        <v>2925</v>
      </c>
      <c r="B330" s="85" t="s">
        <v>2926</v>
      </c>
      <c r="C330" s="85" t="s">
        <v>2927</v>
      </c>
      <c r="D330" s="85" t="s">
        <v>2928</v>
      </c>
      <c r="E330" s="85" t="s">
        <v>2929</v>
      </c>
      <c r="F330" s="84" t="s">
        <v>182</v>
      </c>
      <c r="G330" s="84" t="s">
        <v>2930</v>
      </c>
      <c r="H330" s="84" t="s">
        <v>182</v>
      </c>
      <c r="I330" s="84" t="s">
        <v>2426</v>
      </c>
      <c r="J330" s="84" t="s">
        <v>2427</v>
      </c>
      <c r="K330" s="84"/>
      <c r="L330" s="84">
        <v>2</v>
      </c>
      <c r="M330" s="84" t="s">
        <v>2970</v>
      </c>
      <c r="N330" s="84" t="s">
        <v>2971</v>
      </c>
      <c r="O330" s="94" t="s">
        <v>2990</v>
      </c>
      <c r="P330" s="84" t="s">
        <v>1161</v>
      </c>
      <c r="Q330" s="84" t="s">
        <v>275</v>
      </c>
      <c r="R330" s="84" t="s">
        <v>182</v>
      </c>
      <c r="S330" s="84" t="s">
        <v>402</v>
      </c>
      <c r="T330" s="90">
        <v>45292</v>
      </c>
      <c r="U330" s="90">
        <v>46357</v>
      </c>
      <c r="V330" s="84"/>
      <c r="W330" s="84"/>
      <c r="X330" s="84"/>
      <c r="Y330" s="84"/>
      <c r="Z330" s="494"/>
      <c r="AA330" s="494"/>
      <c r="AB330" s="494"/>
      <c r="AC330" s="494"/>
      <c r="AD330" s="494"/>
      <c r="AE330" s="494"/>
      <c r="AF330" s="494"/>
      <c r="AG330" s="494"/>
      <c r="AH330" s="494"/>
      <c r="AI330" s="494"/>
      <c r="AJ330" s="494"/>
      <c r="AK330" s="494"/>
      <c r="AL330" s="494"/>
      <c r="AM330" s="494"/>
      <c r="AN330" s="494"/>
      <c r="AO330" s="494"/>
      <c r="AP330" s="494"/>
      <c r="AQ330" s="84"/>
      <c r="AR330" s="84"/>
      <c r="AS330" s="84"/>
      <c r="AT330" s="84"/>
      <c r="AU330" s="84"/>
      <c r="AV330" s="84"/>
      <c r="AW330" s="84"/>
      <c r="AX330" s="84"/>
      <c r="AY330" s="84"/>
      <c r="AZ330" s="86"/>
      <c r="BA330" s="84"/>
      <c r="BB330" s="84"/>
      <c r="BC330" s="84"/>
      <c r="BD330" s="84"/>
      <c r="BE330" s="84"/>
      <c r="BF330" s="84"/>
      <c r="BG330" s="84"/>
      <c r="BH330" s="84"/>
      <c r="BI330" s="84"/>
      <c r="BJ330" s="86"/>
      <c r="BK330" s="84"/>
      <c r="BL330" s="86"/>
      <c r="BM330" s="84"/>
      <c r="BN330" s="86"/>
      <c r="BO330" s="84"/>
      <c r="BP330" s="86"/>
      <c r="BQ330" s="84"/>
      <c r="BR330" s="84"/>
      <c r="BS330" s="84"/>
      <c r="BT330" s="84"/>
      <c r="BU330" s="84"/>
      <c r="BV330" s="84"/>
      <c r="BW330" s="84"/>
      <c r="BX330" s="84"/>
      <c r="BY330" s="84"/>
      <c r="BZ330" s="84"/>
      <c r="CA330" s="84"/>
      <c r="CB330" s="84"/>
      <c r="CC330" s="84"/>
      <c r="CD330" s="84"/>
      <c r="CE330" s="84"/>
      <c r="CF330" s="84"/>
      <c r="CG330" s="468"/>
      <c r="CH330" s="155"/>
      <c r="CI330" s="84"/>
      <c r="CJ330" s="83" t="str">
        <f t="shared" si="86"/>
        <v>No aplica</v>
      </c>
      <c r="CK330" s="83" t="str">
        <f t="shared" si="87"/>
        <v>No aplica</v>
      </c>
      <c r="CL330" s="83" t="str">
        <f t="shared" si="79"/>
        <v>No requiere reporte</v>
      </c>
      <c r="CM330" s="89" t="str">
        <f t="shared" si="80"/>
        <v>No requiere reporte</v>
      </c>
      <c r="CN330" s="89" t="str">
        <f t="shared" si="81"/>
        <v>No requiere reporte</v>
      </c>
      <c r="CO330" s="84" t="s">
        <v>313</v>
      </c>
      <c r="CP330" s="94" t="s">
        <v>2991</v>
      </c>
      <c r="CQ330" s="94" t="s">
        <v>2949</v>
      </c>
      <c r="CR330" s="94" t="s">
        <v>2992</v>
      </c>
      <c r="CS330" s="94" t="s">
        <v>2993</v>
      </c>
      <c r="CT330" s="94" t="s">
        <v>2994</v>
      </c>
      <c r="CU330" s="94" t="s">
        <v>233</v>
      </c>
      <c r="CV330" s="84">
        <v>0</v>
      </c>
      <c r="CW330" s="84" t="s">
        <v>402</v>
      </c>
      <c r="CX330" s="90">
        <v>46023</v>
      </c>
      <c r="CY330" s="90">
        <v>46387</v>
      </c>
      <c r="CZ330" s="710">
        <v>27</v>
      </c>
      <c r="DA330" s="710">
        <v>31</v>
      </c>
      <c r="DB330" s="710">
        <v>30</v>
      </c>
      <c r="DC330" s="710">
        <v>18</v>
      </c>
      <c r="DD330" s="710">
        <f>SUM(CZ330:DC330)</f>
        <v>106</v>
      </c>
      <c r="DE330" s="84" t="s">
        <v>2986</v>
      </c>
      <c r="DF330" s="84" t="s">
        <v>2987</v>
      </c>
      <c r="DG330" s="84" t="s">
        <v>2988</v>
      </c>
      <c r="DH330" s="622">
        <v>0</v>
      </c>
      <c r="DI330" s="84" t="s">
        <v>268</v>
      </c>
      <c r="DJ330" s="84" t="s">
        <v>2606</v>
      </c>
      <c r="DK330" s="84" t="s">
        <v>2954</v>
      </c>
      <c r="DL330" s="84" t="s">
        <v>2708</v>
      </c>
      <c r="DM330" s="84" t="s">
        <v>2955</v>
      </c>
      <c r="DN330" s="84"/>
      <c r="DO330" s="86"/>
      <c r="DP330" s="84"/>
      <c r="DQ330" s="86"/>
      <c r="DR330" s="86"/>
      <c r="DS330" s="84"/>
      <c r="DT330" s="86"/>
      <c r="DU330" s="84"/>
      <c r="DV330" s="86"/>
      <c r="DW330" s="86"/>
      <c r="DX330" s="145"/>
      <c r="DY330" s="677"/>
      <c r="DZ330" s="145"/>
      <c r="EA330" s="677"/>
      <c r="EB330" s="677"/>
      <c r="EC330" s="84"/>
      <c r="ED330" s="84"/>
      <c r="EE330" s="84"/>
      <c r="EF330" s="84"/>
      <c r="EG330" s="84"/>
      <c r="EH330" s="145"/>
      <c r="EI330" s="84"/>
      <c r="EJ330" s="84"/>
      <c r="EK330" s="131"/>
      <c r="EL330" s="91" t="str">
        <f t="shared" si="82"/>
        <v>No se reportó avance</v>
      </c>
      <c r="EM330" s="83" t="str">
        <f t="shared" si="83"/>
        <v>No se reportó avance</v>
      </c>
      <c r="EN330" s="153"/>
    </row>
    <row r="331" spans="1:146" ht="409.5">
      <c r="A331" s="74" t="s">
        <v>2925</v>
      </c>
      <c r="B331" s="75" t="s">
        <v>2926</v>
      </c>
      <c r="C331" s="75" t="s">
        <v>2927</v>
      </c>
      <c r="D331" s="75" t="s">
        <v>2928</v>
      </c>
      <c r="E331" s="75" t="s">
        <v>2929</v>
      </c>
      <c r="F331" s="74" t="s">
        <v>182</v>
      </c>
      <c r="G331" s="74" t="s">
        <v>2930</v>
      </c>
      <c r="H331" s="74" t="s">
        <v>182</v>
      </c>
      <c r="I331" s="74" t="s">
        <v>2426</v>
      </c>
      <c r="J331" s="74" t="s">
        <v>2427</v>
      </c>
      <c r="K331" s="74" t="s">
        <v>2931</v>
      </c>
      <c r="L331" s="78">
        <v>3</v>
      </c>
      <c r="M331" s="78" t="s">
        <v>2995</v>
      </c>
      <c r="N331" s="78" t="s">
        <v>2996</v>
      </c>
      <c r="O331" s="78" t="s">
        <v>2997</v>
      </c>
      <c r="P331" s="78" t="s">
        <v>161</v>
      </c>
      <c r="Q331" s="78" t="s">
        <v>233</v>
      </c>
      <c r="R331" s="78">
        <v>14</v>
      </c>
      <c r="S331" s="78" t="s">
        <v>402</v>
      </c>
      <c r="T331" s="80">
        <v>45292</v>
      </c>
      <c r="U331" s="80">
        <v>46357</v>
      </c>
      <c r="V331" s="192">
        <v>0</v>
      </c>
      <c r="W331" s="192">
        <v>0</v>
      </c>
      <c r="X331" s="192">
        <v>5</v>
      </c>
      <c r="Y331" s="192">
        <v>10</v>
      </c>
      <c r="Z331" s="492">
        <v>15</v>
      </c>
      <c r="AA331" s="493">
        <v>1</v>
      </c>
      <c r="AB331" s="493">
        <v>3</v>
      </c>
      <c r="AC331" s="493">
        <v>5</v>
      </c>
      <c r="AD331" s="493">
        <v>8</v>
      </c>
      <c r="AE331" s="492">
        <f>SUM(AA331:AD331)</f>
        <v>17</v>
      </c>
      <c r="AF331" s="492">
        <v>1</v>
      </c>
      <c r="AG331" s="492">
        <v>3</v>
      </c>
      <c r="AH331" s="492">
        <v>5</v>
      </c>
      <c r="AI331" s="492">
        <v>8</v>
      </c>
      <c r="AJ331" s="492">
        <v>17</v>
      </c>
      <c r="AK331" s="493">
        <v>0</v>
      </c>
      <c r="AL331" s="493">
        <v>0</v>
      </c>
      <c r="AM331" s="493">
        <v>1109</v>
      </c>
      <c r="AN331" s="493">
        <v>0</v>
      </c>
      <c r="AO331" s="492">
        <v>1109</v>
      </c>
      <c r="AP331" s="492">
        <f>+Z331+AE331+AJ331+AO331</f>
        <v>1158</v>
      </c>
      <c r="AQ331" s="84"/>
      <c r="AR331" s="84" t="s">
        <v>2998</v>
      </c>
      <c r="AS331" s="84">
        <v>8</v>
      </c>
      <c r="AT331" s="84" t="s">
        <v>2999</v>
      </c>
      <c r="AU331" s="84">
        <v>0</v>
      </c>
      <c r="AV331" s="84" t="s">
        <v>3000</v>
      </c>
      <c r="AW331" s="84">
        <v>6</v>
      </c>
      <c r="AX331" s="84" t="s">
        <v>3001</v>
      </c>
      <c r="AY331" s="84">
        <f>+AQ331+AS331+AU331+AW331</f>
        <v>14</v>
      </c>
      <c r="AZ331" s="86" t="s">
        <v>3002</v>
      </c>
      <c r="BA331" s="84">
        <v>1</v>
      </c>
      <c r="BB331" s="84" t="s">
        <v>3003</v>
      </c>
      <c r="BC331" s="84">
        <v>0</v>
      </c>
      <c r="BD331" s="84" t="s">
        <v>3004</v>
      </c>
      <c r="BE331" s="84">
        <v>1</v>
      </c>
      <c r="BF331" s="84" t="s">
        <v>3005</v>
      </c>
      <c r="BG331" s="84">
        <v>570</v>
      </c>
      <c r="BH331" s="84" t="s">
        <v>3006</v>
      </c>
      <c r="BI331" s="84">
        <f>+BA331+BC331+BE331+BG331</f>
        <v>572</v>
      </c>
      <c r="BJ331" s="86" t="s">
        <v>3006</v>
      </c>
      <c r="BK331" s="84">
        <v>0</v>
      </c>
      <c r="BL331" s="86" t="s">
        <v>3007</v>
      </c>
      <c r="BM331" s="84">
        <v>0</v>
      </c>
      <c r="BN331" s="86" t="s">
        <v>3008</v>
      </c>
      <c r="BO331" s="145">
        <f>DX331</f>
        <v>0</v>
      </c>
      <c r="BP331" s="677">
        <f>DY331</f>
        <v>0</v>
      </c>
      <c r="BQ331" s="84"/>
      <c r="BR331" s="84"/>
      <c r="BS331" s="145">
        <f>BK331+BM331+BO331</f>
        <v>0</v>
      </c>
      <c r="BT331" s="84"/>
      <c r="BU331" s="84"/>
      <c r="BV331" s="84"/>
      <c r="BW331" s="84"/>
      <c r="BX331" s="84"/>
      <c r="BY331" s="84"/>
      <c r="BZ331" s="84"/>
      <c r="CA331" s="84"/>
      <c r="CB331" s="84"/>
      <c r="CC331" s="84"/>
      <c r="CD331" s="84"/>
      <c r="CE331" s="145">
        <f>BS331+AY331+BI331</f>
        <v>586</v>
      </c>
      <c r="CF331" s="84"/>
      <c r="CG331" s="497">
        <v>60000000000</v>
      </c>
      <c r="CH331" s="498">
        <v>48500000000</v>
      </c>
      <c r="CI331" s="372"/>
      <c r="CJ331" s="83">
        <f t="shared" si="86"/>
        <v>0.80833333333333335</v>
      </c>
      <c r="CK331" s="83">
        <f t="shared" si="87"/>
        <v>0</v>
      </c>
      <c r="CL331" s="83" t="str">
        <f t="shared" si="79"/>
        <v>No aplica, no hay meta</v>
      </c>
      <c r="CM331" s="89" t="str">
        <f t="shared" si="80"/>
        <v>No se reportó avance</v>
      </c>
      <c r="CN331" s="89">
        <f t="shared" si="81"/>
        <v>0.50604490500863553</v>
      </c>
      <c r="CO331" s="84" t="s">
        <v>236</v>
      </c>
      <c r="CP331" s="678" t="s">
        <v>3009</v>
      </c>
      <c r="CQ331" s="84" t="s">
        <v>2949</v>
      </c>
      <c r="CR331" s="94" t="s">
        <v>3010</v>
      </c>
      <c r="CS331" s="94" t="s">
        <v>3011</v>
      </c>
      <c r="CT331" s="84" t="s">
        <v>1219</v>
      </c>
      <c r="CU331" s="84" t="s">
        <v>233</v>
      </c>
      <c r="CV331" s="84">
        <v>0</v>
      </c>
      <c r="CW331" s="84" t="s">
        <v>402</v>
      </c>
      <c r="CX331" s="90">
        <v>46023</v>
      </c>
      <c r="CY331" s="90">
        <v>46387</v>
      </c>
      <c r="CZ331" s="122">
        <v>0</v>
      </c>
      <c r="DA331" s="122">
        <v>0</v>
      </c>
      <c r="DB331" s="122">
        <v>1109</v>
      </c>
      <c r="DC331" s="122">
        <v>0</v>
      </c>
      <c r="DD331" s="122">
        <f>SUM(CZ331:DC331)</f>
        <v>1109</v>
      </c>
      <c r="DE331" s="84" t="s">
        <v>3012</v>
      </c>
      <c r="DF331" s="84" t="s">
        <v>3013</v>
      </c>
      <c r="DG331" s="84" t="s">
        <v>3014</v>
      </c>
      <c r="DH331" s="622">
        <v>58200000000</v>
      </c>
      <c r="DI331" s="84" t="s">
        <v>268</v>
      </c>
      <c r="DJ331" s="84" t="s">
        <v>2606</v>
      </c>
      <c r="DK331" s="84" t="s">
        <v>2954</v>
      </c>
      <c r="DL331" s="84" t="s">
        <v>2708</v>
      </c>
      <c r="DM331" s="84" t="s">
        <v>2955</v>
      </c>
      <c r="DN331" s="115"/>
      <c r="DO331" s="87"/>
      <c r="DP331" s="84"/>
      <c r="DQ331" s="86"/>
      <c r="DR331" s="86"/>
      <c r="DS331" s="84"/>
      <c r="DT331" s="86"/>
      <c r="DU331" s="84"/>
      <c r="DV331" s="86"/>
      <c r="DW331" s="86"/>
      <c r="DX331" s="145"/>
      <c r="DY331" s="677"/>
      <c r="DZ331" s="145"/>
      <c r="EA331" s="677"/>
      <c r="EB331" s="677"/>
      <c r="EC331" s="84"/>
      <c r="ED331" s="84"/>
      <c r="EE331" s="84"/>
      <c r="EF331" s="84"/>
      <c r="EG331" s="84"/>
      <c r="EH331" s="145"/>
      <c r="EI331" s="84"/>
      <c r="EJ331" s="84"/>
      <c r="EK331" s="131"/>
      <c r="EL331" s="91" t="str">
        <f t="shared" si="82"/>
        <v>No aplica, no hay meta</v>
      </c>
      <c r="EM331" s="83" t="str">
        <f t="shared" si="83"/>
        <v>No se reportó avance</v>
      </c>
      <c r="EN331" s="153"/>
    </row>
    <row r="332" spans="1:146" ht="60">
      <c r="A332" s="84" t="s">
        <v>2925</v>
      </c>
      <c r="B332" s="85" t="s">
        <v>2926</v>
      </c>
      <c r="C332" s="85" t="s">
        <v>2927</v>
      </c>
      <c r="D332" s="85" t="s">
        <v>2928</v>
      </c>
      <c r="E332" s="85" t="s">
        <v>2929</v>
      </c>
      <c r="F332" s="84" t="s">
        <v>182</v>
      </c>
      <c r="G332" s="84" t="s">
        <v>2930</v>
      </c>
      <c r="H332" s="84" t="s">
        <v>182</v>
      </c>
      <c r="I332" s="84" t="s">
        <v>2426</v>
      </c>
      <c r="J332" s="84" t="s">
        <v>2427</v>
      </c>
      <c r="K332" s="84"/>
      <c r="L332" s="84">
        <v>3</v>
      </c>
      <c r="M332" s="84" t="s">
        <v>2995</v>
      </c>
      <c r="N332" s="84" t="s">
        <v>2996</v>
      </c>
      <c r="O332" s="84" t="s">
        <v>2997</v>
      </c>
      <c r="P332" s="84" t="s">
        <v>161</v>
      </c>
      <c r="Q332" s="84" t="s">
        <v>233</v>
      </c>
      <c r="R332" s="122">
        <v>14</v>
      </c>
      <c r="S332" s="84" t="s">
        <v>402</v>
      </c>
      <c r="T332" s="90">
        <v>45292</v>
      </c>
      <c r="U332" s="90">
        <v>46357</v>
      </c>
      <c r="V332" s="84"/>
      <c r="W332" s="84"/>
      <c r="X332" s="84"/>
      <c r="Y332" s="84"/>
      <c r="Z332" s="494"/>
      <c r="AA332" s="494"/>
      <c r="AB332" s="494"/>
      <c r="AC332" s="494"/>
      <c r="AD332" s="494"/>
      <c r="AE332" s="494"/>
      <c r="AF332" s="494"/>
      <c r="AG332" s="494"/>
      <c r="AH332" s="494"/>
      <c r="AI332" s="494"/>
      <c r="AJ332" s="494"/>
      <c r="AK332" s="494"/>
      <c r="AL332" s="494"/>
      <c r="AM332" s="494"/>
      <c r="AN332" s="494"/>
      <c r="AO332" s="494"/>
      <c r="AP332" s="494"/>
      <c r="AQ332" s="84"/>
      <c r="AR332" s="84"/>
      <c r="AS332" s="84"/>
      <c r="AT332" s="84"/>
      <c r="AU332" s="84"/>
      <c r="AV332" s="84"/>
      <c r="AW332" s="84"/>
      <c r="AX332" s="84"/>
      <c r="AY332" s="84"/>
      <c r="AZ332" s="86"/>
      <c r="BA332" s="84"/>
      <c r="BB332" s="84"/>
      <c r="BC332" s="84"/>
      <c r="BD332" s="84"/>
      <c r="BE332" s="84"/>
      <c r="BF332" s="84"/>
      <c r="BG332" s="84"/>
      <c r="BH332" s="84"/>
      <c r="BI332" s="84"/>
      <c r="BJ332" s="86"/>
      <c r="BK332" s="84"/>
      <c r="BL332" s="86"/>
      <c r="BM332" s="84"/>
      <c r="BN332" s="86"/>
      <c r="BO332" s="84"/>
      <c r="BP332" s="86"/>
      <c r="BQ332" s="84"/>
      <c r="BR332" s="84"/>
      <c r="BS332" s="84"/>
      <c r="BT332" s="84"/>
      <c r="BU332" s="84"/>
      <c r="BV332" s="84"/>
      <c r="BW332" s="84"/>
      <c r="BX332" s="84"/>
      <c r="BY332" s="84"/>
      <c r="BZ332" s="84"/>
      <c r="CA332" s="84"/>
      <c r="CB332" s="84"/>
      <c r="CC332" s="84"/>
      <c r="CD332" s="84"/>
      <c r="CE332" s="84"/>
      <c r="CF332" s="84"/>
      <c r="CG332" s="465"/>
      <c r="CH332" s="155"/>
      <c r="CI332" s="84"/>
      <c r="CJ332" s="83" t="str">
        <f t="shared" si="86"/>
        <v>No aplica</v>
      </c>
      <c r="CK332" s="83" t="str">
        <f t="shared" si="87"/>
        <v>No aplica</v>
      </c>
      <c r="CL332" s="83" t="str">
        <f t="shared" si="79"/>
        <v>No requiere reporte</v>
      </c>
      <c r="CM332" s="89" t="str">
        <f t="shared" si="80"/>
        <v>No requiere reporte</v>
      </c>
      <c r="CN332" s="89" t="str">
        <f t="shared" si="81"/>
        <v>No requiere reporte</v>
      </c>
      <c r="CO332" s="84" t="s">
        <v>361</v>
      </c>
      <c r="CP332" s="678" t="s">
        <v>3015</v>
      </c>
      <c r="CQ332" s="84" t="s">
        <v>2964</v>
      </c>
      <c r="CR332" s="94" t="s">
        <v>3016</v>
      </c>
      <c r="CS332" s="84" t="s">
        <v>2966</v>
      </c>
      <c r="CT332" s="84" t="s">
        <v>1219</v>
      </c>
      <c r="CU332" s="94" t="s">
        <v>275</v>
      </c>
      <c r="CV332" s="291">
        <v>0</v>
      </c>
      <c r="CW332" s="84" t="s">
        <v>252</v>
      </c>
      <c r="CX332" s="90">
        <v>46023</v>
      </c>
      <c r="CY332" s="90">
        <v>46387</v>
      </c>
      <c r="CZ332" s="83">
        <v>0.1</v>
      </c>
      <c r="DA332" s="83">
        <v>0.3</v>
      </c>
      <c r="DB332" s="83">
        <v>0.55000000000000004</v>
      </c>
      <c r="DC332" s="146">
        <v>1</v>
      </c>
      <c r="DD332" s="146">
        <v>1</v>
      </c>
      <c r="DE332" s="83" t="s">
        <v>3012</v>
      </c>
      <c r="DF332" s="83" t="s">
        <v>3013</v>
      </c>
      <c r="DG332" s="83" t="s">
        <v>3014</v>
      </c>
      <c r="DH332" s="622">
        <v>1800000000</v>
      </c>
      <c r="DI332" s="84" t="s">
        <v>268</v>
      </c>
      <c r="DJ332" s="83" t="s">
        <v>2606</v>
      </c>
      <c r="DK332" s="83" t="s">
        <v>2954</v>
      </c>
      <c r="DL332" s="83" t="s">
        <v>2708</v>
      </c>
      <c r="DM332" s="83" t="s">
        <v>2955</v>
      </c>
      <c r="DN332" s="130"/>
      <c r="DO332" s="86"/>
      <c r="DP332" s="84"/>
      <c r="DQ332" s="86"/>
      <c r="DR332" s="86"/>
      <c r="DS332" s="130"/>
      <c r="DT332" s="86"/>
      <c r="DU332" s="84"/>
      <c r="DV332" s="86"/>
      <c r="DW332" s="86"/>
      <c r="DX332" s="864"/>
      <c r="DY332" s="677"/>
      <c r="DZ332" s="145"/>
      <c r="EA332" s="677"/>
      <c r="EB332" s="677"/>
      <c r="EC332" s="84"/>
      <c r="ED332" s="84"/>
      <c r="EE332" s="84"/>
      <c r="EF332" s="84"/>
      <c r="EG332" s="84"/>
      <c r="EH332" s="146"/>
      <c r="EI332" s="84"/>
      <c r="EJ332" s="84"/>
      <c r="EK332" s="131"/>
      <c r="EL332" s="91" t="str">
        <f t="shared" si="82"/>
        <v>No se reportó avance</v>
      </c>
      <c r="EM332" s="83" t="str">
        <f t="shared" si="83"/>
        <v>No se reportó avance</v>
      </c>
      <c r="EN332" s="153"/>
    </row>
    <row r="333" spans="1:146" s="93" customFormat="1" ht="150" customHeight="1">
      <c r="A333" s="74" t="s">
        <v>3017</v>
      </c>
      <c r="B333" s="75" t="s">
        <v>3018</v>
      </c>
      <c r="C333" s="75" t="s">
        <v>182</v>
      </c>
      <c r="D333" s="75" t="s">
        <v>3019</v>
      </c>
      <c r="E333" s="75" t="s">
        <v>3020</v>
      </c>
      <c r="F333" s="74" t="s">
        <v>182</v>
      </c>
      <c r="G333" s="74" t="s">
        <v>182</v>
      </c>
      <c r="H333" s="74" t="s">
        <v>182</v>
      </c>
      <c r="I333" s="74"/>
      <c r="J333" s="74" t="s">
        <v>3021</v>
      </c>
      <c r="K333" s="75" t="s">
        <v>3022</v>
      </c>
      <c r="L333" s="78">
        <v>1</v>
      </c>
      <c r="M333" s="78" t="s">
        <v>3023</v>
      </c>
      <c r="N333" s="78" t="s">
        <v>3024</v>
      </c>
      <c r="O333" s="78" t="s">
        <v>3025</v>
      </c>
      <c r="P333" s="78" t="s">
        <v>1161</v>
      </c>
      <c r="Q333" s="78" t="s">
        <v>233</v>
      </c>
      <c r="R333" s="78" t="s">
        <v>182</v>
      </c>
      <c r="S333" s="78" t="s">
        <v>252</v>
      </c>
      <c r="T333" s="80">
        <v>45292</v>
      </c>
      <c r="U333" s="80">
        <v>46387</v>
      </c>
      <c r="V333" s="81"/>
      <c r="W333" s="81"/>
      <c r="X333" s="81"/>
      <c r="Y333" s="81"/>
      <c r="Z333" s="80" t="s">
        <v>182</v>
      </c>
      <c r="AA333" s="499">
        <f>(4/13)*0.4</f>
        <v>0.12307692307692308</v>
      </c>
      <c r="AB333" s="499">
        <f>(2/13)*0.4</f>
        <v>6.1538461538461542E-2</v>
      </c>
      <c r="AC333" s="499">
        <f t="shared" ref="AC333:AC337" si="88">(4/13)*0.4</f>
        <v>0.12307692307692308</v>
      </c>
      <c r="AD333" s="499">
        <f>(3/13)*0.4</f>
        <v>9.2307692307692313E-2</v>
      </c>
      <c r="AE333" s="82">
        <v>0.4</v>
      </c>
      <c r="AF333" s="79">
        <f>(1/10)*0.3</f>
        <v>0.03</v>
      </c>
      <c r="AG333" s="82">
        <f>(2/10)*0.3</f>
        <v>0.06</v>
      </c>
      <c r="AH333" s="82">
        <f>(3/10)*0.3</f>
        <v>0.09</v>
      </c>
      <c r="AI333" s="82">
        <f>(4/10)*0.3</f>
        <v>0.12</v>
      </c>
      <c r="AJ333" s="79">
        <v>0.3</v>
      </c>
      <c r="AK333" s="614">
        <v>2.5000000000000001E-2</v>
      </c>
      <c r="AL333" s="289">
        <v>0.03</v>
      </c>
      <c r="AM333" s="289">
        <v>0.03</v>
      </c>
      <c r="AN333" s="614">
        <v>0.215</v>
      </c>
      <c r="AO333" s="177">
        <f t="shared" ref="AO333:AO337" si="89">AJ333</f>
        <v>0.3</v>
      </c>
      <c r="AP333" s="361">
        <v>1</v>
      </c>
      <c r="AQ333" s="84"/>
      <c r="AR333" s="84"/>
      <c r="AS333" s="84"/>
      <c r="AT333" s="84"/>
      <c r="AU333" s="84"/>
      <c r="AV333" s="84"/>
      <c r="AW333" s="84"/>
      <c r="AX333" s="84"/>
      <c r="AY333" s="130" t="s">
        <v>182</v>
      </c>
      <c r="AZ333" s="86" t="s">
        <v>182</v>
      </c>
      <c r="BA333" s="130">
        <v>8.8999999999999996E-2</v>
      </c>
      <c r="BB333" s="84" t="s">
        <v>3026</v>
      </c>
      <c r="BC333" s="130">
        <v>2.9000000000000001E-2</v>
      </c>
      <c r="BD333" s="84" t="s">
        <v>3027</v>
      </c>
      <c r="BE333" s="130">
        <v>4.2999999999999997E-2</v>
      </c>
      <c r="BF333" s="84" t="s">
        <v>3028</v>
      </c>
      <c r="BG333" s="130">
        <v>3.7999999999999999E-2</v>
      </c>
      <c r="BH333" s="130" t="s">
        <v>3029</v>
      </c>
      <c r="BI333" s="130">
        <f>+BA333+BC333+BE333+BG333</f>
        <v>0.19899999999999998</v>
      </c>
      <c r="BJ333" s="87" t="s">
        <v>3030</v>
      </c>
      <c r="BK333" s="126">
        <f>AVERAGE(460/423,3384/3000)*0.03</f>
        <v>3.3232056737588653E-2</v>
      </c>
      <c r="BL333" s="86" t="s">
        <v>3031</v>
      </c>
      <c r="BM333" s="500">
        <f>AVERAGE(0/1,0/8,0/1000,313/423,0/5,1026/7750)*0.06</f>
        <v>8.723398154503164E-3</v>
      </c>
      <c r="BN333" s="692" t="s">
        <v>3032</v>
      </c>
      <c r="BO333" s="500">
        <v>3.6579032258064519E-2</v>
      </c>
      <c r="BP333" s="692" t="s">
        <v>3033</v>
      </c>
      <c r="BQ333" s="84"/>
      <c r="BR333" s="84"/>
      <c r="BS333" s="126"/>
      <c r="BT333" s="84"/>
      <c r="BU333" s="84"/>
      <c r="BV333" s="84"/>
      <c r="BW333" s="84"/>
      <c r="BX333" s="84"/>
      <c r="BY333" s="84"/>
      <c r="BZ333" s="84"/>
      <c r="CA333" s="84"/>
      <c r="CB333" s="84"/>
      <c r="CC333" s="84"/>
      <c r="CD333" s="84"/>
      <c r="CE333" s="130"/>
      <c r="CF333" s="84"/>
      <c r="CG333" s="497">
        <f>+SUM(DH333:DH337)</f>
        <v>14000000000</v>
      </c>
      <c r="CH333" s="501"/>
      <c r="CI333" s="501"/>
      <c r="CJ333" s="83">
        <f t="shared" si="86"/>
        <v>0</v>
      </c>
      <c r="CK333" s="83">
        <f t="shared" si="87"/>
        <v>0</v>
      </c>
      <c r="CL333" s="83" t="str">
        <f t="shared" si="79"/>
        <v>No se reportó avance</v>
      </c>
      <c r="CM333" s="89" t="str">
        <f t="shared" si="80"/>
        <v>No se reportó avance</v>
      </c>
      <c r="CN333" s="89" t="str">
        <f t="shared" si="81"/>
        <v>No se reportó avance</v>
      </c>
      <c r="CO333" s="145" t="s">
        <v>177</v>
      </c>
      <c r="CP333" s="725" t="s">
        <v>3034</v>
      </c>
      <c r="CQ333" s="145" t="s">
        <v>3035</v>
      </c>
      <c r="CR333" s="145" t="s">
        <v>4672</v>
      </c>
      <c r="CS333" s="145" t="s">
        <v>4673</v>
      </c>
      <c r="CT333" s="145" t="s">
        <v>161</v>
      </c>
      <c r="CU333" s="145" t="s">
        <v>233</v>
      </c>
      <c r="CV333" s="145">
        <v>1000</v>
      </c>
      <c r="CW333" s="145" t="s">
        <v>234</v>
      </c>
      <c r="CX333" s="663">
        <v>46023</v>
      </c>
      <c r="CY333" s="663">
        <v>46387</v>
      </c>
      <c r="CZ333" s="867">
        <v>0</v>
      </c>
      <c r="DA333" s="867">
        <v>0</v>
      </c>
      <c r="DB333" s="867">
        <v>0</v>
      </c>
      <c r="DC333" s="867">
        <v>1000</v>
      </c>
      <c r="DD333" s="867">
        <f>+SUM(CZ333:DC333)</f>
        <v>1000</v>
      </c>
      <c r="DE333" s="145" t="s">
        <v>265</v>
      </c>
      <c r="DF333" s="145" t="s">
        <v>3036</v>
      </c>
      <c r="DG333" s="145" t="s">
        <v>3037</v>
      </c>
      <c r="DH333" s="793">
        <v>180000000</v>
      </c>
      <c r="DI333" s="145" t="s">
        <v>3038</v>
      </c>
      <c r="DJ333" s="145" t="s">
        <v>1023</v>
      </c>
      <c r="DK333" s="145"/>
      <c r="DL333" s="145"/>
      <c r="DM333" s="145"/>
      <c r="DN333" s="122"/>
      <c r="DO333" s="86"/>
      <c r="DP333" s="122"/>
      <c r="DQ333" s="86"/>
      <c r="DR333" s="86"/>
      <c r="DS333" s="122"/>
      <c r="DT333" s="86"/>
      <c r="DU333" s="122"/>
      <c r="DV333" s="86"/>
      <c r="DW333" s="86"/>
      <c r="DX333" s="122"/>
      <c r="DY333" s="86"/>
      <c r="DZ333" s="122"/>
      <c r="EA333" s="86"/>
      <c r="EB333" s="86"/>
      <c r="EC333" s="122"/>
      <c r="ED333" s="84"/>
      <c r="EE333" s="122"/>
      <c r="EF333" s="84"/>
      <c r="EG333" s="84"/>
      <c r="EH333" s="122"/>
      <c r="EI333" s="84"/>
      <c r="EJ333" s="84"/>
      <c r="EK333" s="84"/>
      <c r="EL333" s="91" t="str">
        <f t="shared" si="82"/>
        <v>No aplica, no hay meta</v>
      </c>
      <c r="EM333" s="83" t="str">
        <f t="shared" si="83"/>
        <v>No se reportó avance</v>
      </c>
      <c r="EN333" s="86"/>
      <c r="EO333" s="93" t="str">
        <f t="shared" ref="EO333:EO337" si="90">+IF(OR(P333="Producto",P333="Resultado",P333="Impacto"),"Producto",P333)</f>
        <v>Producto</v>
      </c>
      <c r="EP333" s="93" t="str">
        <f t="shared" ref="EP333:EP337" si="91">+MID(J333,1,1)</f>
        <v>5</v>
      </c>
    </row>
    <row r="334" spans="1:146" s="93" customFormat="1" ht="150" customHeight="1">
      <c r="A334" s="84" t="s">
        <v>3017</v>
      </c>
      <c r="B334" s="85" t="s">
        <v>3018</v>
      </c>
      <c r="C334" s="85" t="s">
        <v>182</v>
      </c>
      <c r="D334" s="85" t="s">
        <v>3019</v>
      </c>
      <c r="E334" s="85" t="s">
        <v>3020</v>
      </c>
      <c r="F334" s="84" t="s">
        <v>182</v>
      </c>
      <c r="G334" s="84" t="s">
        <v>182</v>
      </c>
      <c r="H334" s="84" t="s">
        <v>182</v>
      </c>
      <c r="I334" s="84"/>
      <c r="J334" s="84" t="s">
        <v>3021</v>
      </c>
      <c r="K334" s="85" t="s">
        <v>3022</v>
      </c>
      <c r="L334" s="84">
        <v>1</v>
      </c>
      <c r="M334" s="84" t="s">
        <v>3023</v>
      </c>
      <c r="N334" s="84" t="s">
        <v>3024</v>
      </c>
      <c r="O334" s="84" t="s">
        <v>3025</v>
      </c>
      <c r="P334" s="84" t="s">
        <v>1161</v>
      </c>
      <c r="Q334" s="84" t="s">
        <v>233</v>
      </c>
      <c r="R334" s="84" t="s">
        <v>182</v>
      </c>
      <c r="S334" s="84" t="s">
        <v>252</v>
      </c>
      <c r="T334" s="90">
        <v>45292</v>
      </c>
      <c r="U334" s="90">
        <v>46387</v>
      </c>
      <c r="V334" s="90"/>
      <c r="W334" s="90"/>
      <c r="X334" s="90"/>
      <c r="Y334" s="90"/>
      <c r="Z334" s="90" t="s">
        <v>182</v>
      </c>
      <c r="AA334" s="130">
        <f t="shared" ref="AA334:AA337" si="92">(4/13)*0.4</f>
        <v>0.12307692307692308</v>
      </c>
      <c r="AB334" s="130">
        <f t="shared" ref="AB334:AB337" si="93">(2/13)*0.4</f>
        <v>6.1538461538461542E-2</v>
      </c>
      <c r="AC334" s="130">
        <f t="shared" si="88"/>
        <v>0.12307692307692308</v>
      </c>
      <c r="AD334" s="130">
        <f t="shared" ref="AD334:AD337" si="94">(3/13)*0.4</f>
        <v>9.2307692307692313E-2</v>
      </c>
      <c r="AE334" s="83">
        <v>0.4</v>
      </c>
      <c r="AF334" s="90"/>
      <c r="AG334" s="90"/>
      <c r="AH334" s="90"/>
      <c r="AI334" s="90"/>
      <c r="AJ334" s="85">
        <v>0.3</v>
      </c>
      <c r="AK334" s="84"/>
      <c r="AL334" s="84"/>
      <c r="AM334" s="84"/>
      <c r="AN334" s="84"/>
      <c r="AO334" s="85">
        <f t="shared" si="89"/>
        <v>0.3</v>
      </c>
      <c r="AP334" s="83">
        <v>1</v>
      </c>
      <c r="AQ334" s="84"/>
      <c r="AR334" s="84"/>
      <c r="AS334" s="84"/>
      <c r="AT334" s="84"/>
      <c r="AU334" s="84"/>
      <c r="AV334" s="84"/>
      <c r="AW334" s="84"/>
      <c r="AX334" s="84"/>
      <c r="AY334" s="130"/>
      <c r="AZ334" s="86"/>
      <c r="BA334" s="130"/>
      <c r="BB334" s="84"/>
      <c r="BC334" s="130"/>
      <c r="BD334" s="84"/>
      <c r="BE334" s="130"/>
      <c r="BF334" s="84"/>
      <c r="BG334" s="130"/>
      <c r="BH334" s="130"/>
      <c r="BI334" s="130"/>
      <c r="BJ334" s="87"/>
      <c r="BK334" s="84"/>
      <c r="BL334" s="86"/>
      <c r="BM334" s="84"/>
      <c r="BN334" s="86"/>
      <c r="BO334" s="84"/>
      <c r="BP334" s="86"/>
      <c r="BQ334" s="84"/>
      <c r="BR334" s="84"/>
      <c r="BS334" s="84"/>
      <c r="BT334" s="84"/>
      <c r="BU334" s="84"/>
      <c r="BV334" s="84"/>
      <c r="BW334" s="84"/>
      <c r="BX334" s="84"/>
      <c r="BY334" s="84"/>
      <c r="BZ334" s="84"/>
      <c r="CA334" s="84"/>
      <c r="CB334" s="84"/>
      <c r="CC334" s="84"/>
      <c r="CD334" s="84"/>
      <c r="CE334" s="130"/>
      <c r="CF334" s="84"/>
      <c r="CG334" s="468"/>
      <c r="CH334" s="372"/>
      <c r="CI334" s="372"/>
      <c r="CJ334" s="83" t="str">
        <f t="shared" si="86"/>
        <v>No aplica</v>
      </c>
      <c r="CK334" s="83" t="str">
        <f t="shared" si="86"/>
        <v>No aplica</v>
      </c>
      <c r="CL334" s="83" t="str">
        <f t="shared" si="79"/>
        <v>No requiere reporte</v>
      </c>
      <c r="CM334" s="89" t="str">
        <f t="shared" si="80"/>
        <v>No requiere reporte</v>
      </c>
      <c r="CN334" s="89" t="str">
        <f t="shared" si="81"/>
        <v>No requiere reporte</v>
      </c>
      <c r="CO334" s="145" t="s">
        <v>185</v>
      </c>
      <c r="CP334" s="725" t="s">
        <v>3039</v>
      </c>
      <c r="CQ334" s="145" t="s">
        <v>3040</v>
      </c>
      <c r="CR334" s="178" t="s">
        <v>4674</v>
      </c>
      <c r="CS334" s="145" t="s">
        <v>3041</v>
      </c>
      <c r="CT334" s="394" t="s">
        <v>161</v>
      </c>
      <c r="CU334" s="394" t="s">
        <v>233</v>
      </c>
      <c r="CV334" s="394">
        <v>1692</v>
      </c>
      <c r="CW334" s="394" t="s">
        <v>234</v>
      </c>
      <c r="CX334" s="663">
        <v>46023</v>
      </c>
      <c r="CY334" s="663">
        <v>46387</v>
      </c>
      <c r="CZ334" s="867">
        <v>457</v>
      </c>
      <c r="DA334" s="867">
        <v>457</v>
      </c>
      <c r="DB334" s="867">
        <v>457</v>
      </c>
      <c r="DC334" s="867">
        <v>457</v>
      </c>
      <c r="DD334" s="867">
        <f t="shared" ref="DD334:DD337" si="95">+SUM(CZ334:DC334)</f>
        <v>1828</v>
      </c>
      <c r="DE334" s="145" t="s">
        <v>265</v>
      </c>
      <c r="DF334" s="145" t="s">
        <v>3036</v>
      </c>
      <c r="DG334" s="145" t="s">
        <v>3037</v>
      </c>
      <c r="DH334" s="793">
        <v>4420000000</v>
      </c>
      <c r="DI334" s="145" t="s">
        <v>3038</v>
      </c>
      <c r="DJ334" s="145" t="s">
        <v>1023</v>
      </c>
      <c r="DK334" s="145"/>
      <c r="DL334" s="145"/>
      <c r="DM334" s="145"/>
      <c r="DN334" s="122"/>
      <c r="DO334" s="86"/>
      <c r="DP334" s="122"/>
      <c r="DQ334" s="86"/>
      <c r="DR334" s="86"/>
      <c r="DS334" s="122"/>
      <c r="DT334" s="86"/>
      <c r="DU334" s="122"/>
      <c r="DV334" s="86"/>
      <c r="DW334" s="86"/>
      <c r="DX334" s="122"/>
      <c r="DY334" s="86"/>
      <c r="DZ334" s="122"/>
      <c r="EA334" s="86"/>
      <c r="EB334" s="86"/>
      <c r="EC334" s="122"/>
      <c r="ED334" s="84"/>
      <c r="EE334" s="122"/>
      <c r="EF334" s="84"/>
      <c r="EG334" s="84"/>
      <c r="EH334" s="122"/>
      <c r="EI334" s="84"/>
      <c r="EJ334" s="84"/>
      <c r="EK334" s="84"/>
      <c r="EL334" s="91" t="str">
        <f t="shared" si="82"/>
        <v>No se reportó avance</v>
      </c>
      <c r="EM334" s="83" t="str">
        <f t="shared" si="83"/>
        <v>No se reportó avance</v>
      </c>
      <c r="EN334" s="86"/>
      <c r="EO334" s="93" t="str">
        <f t="shared" si="90"/>
        <v>Producto</v>
      </c>
      <c r="EP334" s="93" t="str">
        <f t="shared" si="91"/>
        <v>5</v>
      </c>
    </row>
    <row r="335" spans="1:146" s="93" customFormat="1" ht="150" customHeight="1">
      <c r="A335" s="84" t="s">
        <v>3017</v>
      </c>
      <c r="B335" s="85" t="s">
        <v>3018</v>
      </c>
      <c r="C335" s="85" t="s">
        <v>182</v>
      </c>
      <c r="D335" s="85" t="s">
        <v>3019</v>
      </c>
      <c r="E335" s="85" t="s">
        <v>3020</v>
      </c>
      <c r="F335" s="84" t="s">
        <v>182</v>
      </c>
      <c r="G335" s="84" t="s">
        <v>182</v>
      </c>
      <c r="H335" s="84" t="s">
        <v>182</v>
      </c>
      <c r="I335" s="84"/>
      <c r="J335" s="84" t="s">
        <v>3021</v>
      </c>
      <c r="K335" s="85" t="s">
        <v>3022</v>
      </c>
      <c r="L335" s="84">
        <v>1</v>
      </c>
      <c r="M335" s="84" t="s">
        <v>3023</v>
      </c>
      <c r="N335" s="84" t="s">
        <v>3024</v>
      </c>
      <c r="O335" s="84" t="s">
        <v>3025</v>
      </c>
      <c r="P335" s="84" t="s">
        <v>1161</v>
      </c>
      <c r="Q335" s="84" t="s">
        <v>233</v>
      </c>
      <c r="R335" s="84" t="s">
        <v>182</v>
      </c>
      <c r="S335" s="84" t="s">
        <v>252</v>
      </c>
      <c r="T335" s="90">
        <v>45292</v>
      </c>
      <c r="U335" s="90">
        <v>46387</v>
      </c>
      <c r="V335" s="90"/>
      <c r="W335" s="90"/>
      <c r="X335" s="90"/>
      <c r="Y335" s="90"/>
      <c r="Z335" s="90" t="s">
        <v>182</v>
      </c>
      <c r="AA335" s="130">
        <f t="shared" si="92"/>
        <v>0.12307692307692308</v>
      </c>
      <c r="AB335" s="130">
        <f t="shared" si="93"/>
        <v>6.1538461538461542E-2</v>
      </c>
      <c r="AC335" s="130">
        <f t="shared" si="88"/>
        <v>0.12307692307692308</v>
      </c>
      <c r="AD335" s="130">
        <f t="shared" si="94"/>
        <v>9.2307692307692313E-2</v>
      </c>
      <c r="AE335" s="83">
        <v>0.4</v>
      </c>
      <c r="AF335" s="90"/>
      <c r="AG335" s="90"/>
      <c r="AH335" s="90"/>
      <c r="AI335" s="90"/>
      <c r="AJ335" s="85">
        <v>0.3</v>
      </c>
      <c r="AK335" s="84"/>
      <c r="AL335" s="84"/>
      <c r="AM335" s="84"/>
      <c r="AN335" s="84"/>
      <c r="AO335" s="85">
        <f t="shared" si="89"/>
        <v>0.3</v>
      </c>
      <c r="AP335" s="83">
        <v>1</v>
      </c>
      <c r="AQ335" s="84"/>
      <c r="AR335" s="84"/>
      <c r="AS335" s="84"/>
      <c r="AT335" s="84"/>
      <c r="AU335" s="84"/>
      <c r="AV335" s="84"/>
      <c r="AW335" s="84"/>
      <c r="AX335" s="84"/>
      <c r="AY335" s="130"/>
      <c r="AZ335" s="86"/>
      <c r="BA335" s="130"/>
      <c r="BB335" s="84"/>
      <c r="BC335" s="130"/>
      <c r="BD335" s="84"/>
      <c r="BE335" s="130"/>
      <c r="BF335" s="84"/>
      <c r="BG335" s="130"/>
      <c r="BH335" s="130"/>
      <c r="BI335" s="130"/>
      <c r="BJ335" s="87"/>
      <c r="BK335" s="84"/>
      <c r="BL335" s="86"/>
      <c r="BM335" s="84"/>
      <c r="BN335" s="86"/>
      <c r="BO335" s="84"/>
      <c r="BP335" s="86"/>
      <c r="BQ335" s="84"/>
      <c r="BR335" s="84"/>
      <c r="BS335" s="84"/>
      <c r="BT335" s="84"/>
      <c r="BU335" s="84"/>
      <c r="BV335" s="84"/>
      <c r="BW335" s="84"/>
      <c r="BX335" s="84"/>
      <c r="BY335" s="84"/>
      <c r="BZ335" s="84"/>
      <c r="CA335" s="84"/>
      <c r="CB335" s="84"/>
      <c r="CC335" s="84"/>
      <c r="CD335" s="84"/>
      <c r="CE335" s="130"/>
      <c r="CF335" s="84"/>
      <c r="CG335" s="468"/>
      <c r="CH335" s="372"/>
      <c r="CI335" s="372"/>
      <c r="CJ335" s="83" t="str">
        <f t="shared" ref="CJ335:CK337" si="96">+IFERROR(CH335/CG335,"No aplica")</f>
        <v>No aplica</v>
      </c>
      <c r="CK335" s="83" t="str">
        <f t="shared" si="96"/>
        <v>No aplica</v>
      </c>
      <c r="CL335" s="83" t="str">
        <f t="shared" si="79"/>
        <v>No requiere reporte</v>
      </c>
      <c r="CM335" s="89" t="str">
        <f t="shared" si="80"/>
        <v>No requiere reporte</v>
      </c>
      <c r="CN335" s="89" t="str">
        <f t="shared" si="81"/>
        <v>No requiere reporte</v>
      </c>
      <c r="CO335" s="145" t="s">
        <v>190</v>
      </c>
      <c r="CP335" s="725" t="s">
        <v>3042</v>
      </c>
      <c r="CQ335" s="145" t="s">
        <v>3040</v>
      </c>
      <c r="CR335" s="658" t="s">
        <v>4675</v>
      </c>
      <c r="CS335" s="394" t="s">
        <v>4676</v>
      </c>
      <c r="CT335" s="394" t="s">
        <v>161</v>
      </c>
      <c r="CU335" s="394" t="s">
        <v>233</v>
      </c>
      <c r="CV335" s="394">
        <v>26250</v>
      </c>
      <c r="CW335" s="394" t="s">
        <v>234</v>
      </c>
      <c r="CX335" s="663">
        <v>46023</v>
      </c>
      <c r="CY335" s="663">
        <v>46387</v>
      </c>
      <c r="CZ335" s="867">
        <v>1825</v>
      </c>
      <c r="DA335" s="867">
        <v>2825</v>
      </c>
      <c r="DB335" s="867">
        <v>2825</v>
      </c>
      <c r="DC335" s="867">
        <v>3825</v>
      </c>
      <c r="DD335" s="867">
        <f t="shared" si="95"/>
        <v>11300</v>
      </c>
      <c r="DE335" s="145" t="s">
        <v>265</v>
      </c>
      <c r="DF335" s="145" t="s">
        <v>3036</v>
      </c>
      <c r="DG335" s="145" t="s">
        <v>3037</v>
      </c>
      <c r="DH335" s="793">
        <v>3000000000</v>
      </c>
      <c r="DI335" s="145" t="s">
        <v>3038</v>
      </c>
      <c r="DJ335" s="145" t="s">
        <v>1023</v>
      </c>
      <c r="DK335" s="145"/>
      <c r="DL335" s="145"/>
      <c r="DM335" s="145"/>
      <c r="DN335" s="122"/>
      <c r="DO335" s="86"/>
      <c r="DP335" s="122"/>
      <c r="DQ335" s="86"/>
      <c r="DR335" s="86"/>
      <c r="DS335" s="122"/>
      <c r="DT335" s="86"/>
      <c r="DU335" s="122"/>
      <c r="DV335" s="86"/>
      <c r="DW335" s="86"/>
      <c r="DX335" s="122"/>
      <c r="DY335" s="86"/>
      <c r="DZ335" s="122"/>
      <c r="EA335" s="86"/>
      <c r="EB335" s="86"/>
      <c r="EC335" s="122"/>
      <c r="ED335" s="84"/>
      <c r="EE335" s="122"/>
      <c r="EF335" s="84"/>
      <c r="EG335" s="84"/>
      <c r="EH335" s="122"/>
      <c r="EI335" s="84"/>
      <c r="EJ335" s="84"/>
      <c r="EK335" s="84"/>
      <c r="EL335" s="91" t="str">
        <f t="shared" si="82"/>
        <v>No se reportó avance</v>
      </c>
      <c r="EM335" s="83" t="str">
        <f t="shared" si="83"/>
        <v>No se reportó avance</v>
      </c>
      <c r="EN335" s="86"/>
      <c r="EO335" s="93" t="str">
        <f t="shared" si="90"/>
        <v>Producto</v>
      </c>
      <c r="EP335" s="93" t="str">
        <f t="shared" si="91"/>
        <v>5</v>
      </c>
    </row>
    <row r="336" spans="1:146" s="93" customFormat="1" ht="150" customHeight="1">
      <c r="A336" s="84" t="s">
        <v>3017</v>
      </c>
      <c r="B336" s="85" t="s">
        <v>3043</v>
      </c>
      <c r="C336" s="85" t="s">
        <v>182</v>
      </c>
      <c r="D336" s="85" t="s">
        <v>3019</v>
      </c>
      <c r="E336" s="85" t="s">
        <v>3020</v>
      </c>
      <c r="F336" s="84" t="s">
        <v>182</v>
      </c>
      <c r="G336" s="84" t="s">
        <v>182</v>
      </c>
      <c r="H336" s="84" t="s">
        <v>182</v>
      </c>
      <c r="I336" s="84"/>
      <c r="J336" s="84" t="s">
        <v>3021</v>
      </c>
      <c r="K336" s="85" t="s">
        <v>3022</v>
      </c>
      <c r="L336" s="84">
        <v>1</v>
      </c>
      <c r="M336" s="84" t="s">
        <v>3023</v>
      </c>
      <c r="N336" s="84" t="s">
        <v>3024</v>
      </c>
      <c r="O336" s="84" t="s">
        <v>3025</v>
      </c>
      <c r="P336" s="84" t="s">
        <v>1161</v>
      </c>
      <c r="Q336" s="84" t="s">
        <v>233</v>
      </c>
      <c r="R336" s="84" t="s">
        <v>182</v>
      </c>
      <c r="S336" s="84" t="s">
        <v>252</v>
      </c>
      <c r="T336" s="90">
        <v>45292</v>
      </c>
      <c r="U336" s="90">
        <v>46387</v>
      </c>
      <c r="V336" s="90"/>
      <c r="W336" s="90"/>
      <c r="X336" s="90"/>
      <c r="Y336" s="90"/>
      <c r="Z336" s="90" t="s">
        <v>182</v>
      </c>
      <c r="AA336" s="130">
        <f t="shared" si="92"/>
        <v>0.12307692307692308</v>
      </c>
      <c r="AB336" s="130">
        <f t="shared" si="93"/>
        <v>6.1538461538461542E-2</v>
      </c>
      <c r="AC336" s="130">
        <f t="shared" si="88"/>
        <v>0.12307692307692308</v>
      </c>
      <c r="AD336" s="130">
        <f t="shared" si="94"/>
        <v>9.2307692307692313E-2</v>
      </c>
      <c r="AE336" s="83">
        <v>0.4</v>
      </c>
      <c r="AF336" s="90"/>
      <c r="AG336" s="90"/>
      <c r="AH336" s="90"/>
      <c r="AI336" s="90"/>
      <c r="AJ336" s="85">
        <v>0.3</v>
      </c>
      <c r="AK336" s="84"/>
      <c r="AL336" s="84"/>
      <c r="AM336" s="84"/>
      <c r="AN336" s="84"/>
      <c r="AO336" s="85">
        <f t="shared" si="89"/>
        <v>0.3</v>
      </c>
      <c r="AP336" s="83">
        <v>1</v>
      </c>
      <c r="AQ336" s="84"/>
      <c r="AR336" s="84"/>
      <c r="AS336" s="84"/>
      <c r="AT336" s="84"/>
      <c r="AU336" s="84"/>
      <c r="AV336" s="84"/>
      <c r="AW336" s="84"/>
      <c r="AX336" s="84"/>
      <c r="AY336" s="84"/>
      <c r="AZ336" s="86"/>
      <c r="BA336" s="84"/>
      <c r="BB336" s="84"/>
      <c r="BC336" s="84"/>
      <c r="BD336" s="84"/>
      <c r="BE336" s="84"/>
      <c r="BF336" s="84"/>
      <c r="BG336" s="84"/>
      <c r="BH336" s="84"/>
      <c r="BI336" s="84"/>
      <c r="BJ336" s="86"/>
      <c r="BK336" s="84"/>
      <c r="BL336" s="86"/>
      <c r="BM336" s="84"/>
      <c r="BN336" s="86"/>
      <c r="BO336" s="84"/>
      <c r="BP336" s="86"/>
      <c r="BQ336" s="84"/>
      <c r="BR336" s="84"/>
      <c r="BS336" s="84"/>
      <c r="BT336" s="84"/>
      <c r="BU336" s="84"/>
      <c r="BV336" s="84"/>
      <c r="BW336" s="84"/>
      <c r="BX336" s="84"/>
      <c r="BY336" s="84"/>
      <c r="BZ336" s="84"/>
      <c r="CA336" s="84"/>
      <c r="CB336" s="84"/>
      <c r="CC336" s="84"/>
      <c r="CD336" s="84"/>
      <c r="CE336" s="84"/>
      <c r="CF336" s="84"/>
      <c r="CG336" s="372"/>
      <c r="CH336" s="372"/>
      <c r="CI336" s="372"/>
      <c r="CJ336" s="83" t="str">
        <f t="shared" si="96"/>
        <v>No aplica</v>
      </c>
      <c r="CK336" s="83" t="str">
        <f t="shared" si="96"/>
        <v>No aplica</v>
      </c>
      <c r="CL336" s="83" t="str">
        <f t="shared" si="79"/>
        <v>No requiere reporte</v>
      </c>
      <c r="CM336" s="89" t="str">
        <f t="shared" si="80"/>
        <v>No requiere reporte</v>
      </c>
      <c r="CN336" s="89" t="str">
        <f t="shared" si="81"/>
        <v>No requiere reporte</v>
      </c>
      <c r="CO336" s="145" t="s">
        <v>195</v>
      </c>
      <c r="CP336" s="725" t="s">
        <v>3044</v>
      </c>
      <c r="CQ336" s="145" t="s">
        <v>3045</v>
      </c>
      <c r="CR336" s="658" t="s">
        <v>4677</v>
      </c>
      <c r="CS336" s="394" t="s">
        <v>4678</v>
      </c>
      <c r="CT336" s="394" t="s">
        <v>161</v>
      </c>
      <c r="CU336" s="394" t="s">
        <v>233</v>
      </c>
      <c r="CV336" s="394">
        <v>297</v>
      </c>
      <c r="CW336" s="394" t="s">
        <v>234</v>
      </c>
      <c r="CX336" s="663">
        <v>45778</v>
      </c>
      <c r="CY336" s="663">
        <v>46387</v>
      </c>
      <c r="CZ336" s="867">
        <v>0</v>
      </c>
      <c r="DA336" s="867">
        <v>0</v>
      </c>
      <c r="DB336" s="867">
        <v>0</v>
      </c>
      <c r="DC336" s="867">
        <v>175</v>
      </c>
      <c r="DD336" s="867">
        <f t="shared" si="95"/>
        <v>175</v>
      </c>
      <c r="DE336" s="145" t="s">
        <v>265</v>
      </c>
      <c r="DF336" s="145" t="s">
        <v>3036</v>
      </c>
      <c r="DG336" s="145" t="s">
        <v>3037</v>
      </c>
      <c r="DH336" s="793">
        <v>6000000000</v>
      </c>
      <c r="DI336" s="145" t="s">
        <v>3038</v>
      </c>
      <c r="DJ336" s="145" t="s">
        <v>1023</v>
      </c>
      <c r="DK336" s="145"/>
      <c r="DL336" s="145"/>
      <c r="DM336" s="145"/>
      <c r="DN336" s="672"/>
      <c r="DO336" s="86"/>
      <c r="DP336" s="122"/>
      <c r="DQ336" s="86"/>
      <c r="DR336" s="86"/>
      <c r="DS336" s="672"/>
      <c r="DT336" s="86"/>
      <c r="DU336" s="122"/>
      <c r="DV336" s="86"/>
      <c r="DW336" s="86"/>
      <c r="DX336" s="672"/>
      <c r="DY336" s="86"/>
      <c r="DZ336" s="122"/>
      <c r="EA336" s="86"/>
      <c r="EB336" s="86"/>
      <c r="EC336" s="672"/>
      <c r="ED336" s="84"/>
      <c r="EE336" s="122"/>
      <c r="EF336" s="84"/>
      <c r="EG336" s="84"/>
      <c r="EH336" s="672"/>
      <c r="EI336" s="84"/>
      <c r="EJ336" s="84"/>
      <c r="EK336" s="84"/>
      <c r="EL336" s="91" t="str">
        <f t="shared" si="82"/>
        <v>No aplica, no hay meta</v>
      </c>
      <c r="EM336" s="83" t="str">
        <f t="shared" si="83"/>
        <v>No se reportó avance</v>
      </c>
      <c r="EN336" s="86"/>
      <c r="EO336" s="93" t="str">
        <f t="shared" si="90"/>
        <v>Producto</v>
      </c>
      <c r="EP336" s="93" t="str">
        <f t="shared" si="91"/>
        <v>5</v>
      </c>
    </row>
    <row r="337" spans="1:146" s="93" customFormat="1" ht="150" customHeight="1">
      <c r="A337" s="84" t="s">
        <v>3017</v>
      </c>
      <c r="B337" s="85" t="s">
        <v>3018</v>
      </c>
      <c r="C337" s="85" t="s">
        <v>182</v>
      </c>
      <c r="D337" s="85" t="s">
        <v>3019</v>
      </c>
      <c r="E337" s="85" t="s">
        <v>3020</v>
      </c>
      <c r="F337" s="84" t="s">
        <v>182</v>
      </c>
      <c r="G337" s="84" t="s">
        <v>182</v>
      </c>
      <c r="H337" s="84" t="s">
        <v>182</v>
      </c>
      <c r="I337" s="84"/>
      <c r="J337" s="84" t="s">
        <v>3021</v>
      </c>
      <c r="K337" s="85" t="s">
        <v>3022</v>
      </c>
      <c r="L337" s="84">
        <v>1</v>
      </c>
      <c r="M337" s="84" t="s">
        <v>3023</v>
      </c>
      <c r="N337" s="84" t="s">
        <v>3024</v>
      </c>
      <c r="O337" s="84" t="s">
        <v>3025</v>
      </c>
      <c r="P337" s="84" t="s">
        <v>1161</v>
      </c>
      <c r="Q337" s="84" t="s">
        <v>233</v>
      </c>
      <c r="R337" s="84" t="s">
        <v>182</v>
      </c>
      <c r="S337" s="84" t="s">
        <v>252</v>
      </c>
      <c r="T337" s="90">
        <v>45292</v>
      </c>
      <c r="U337" s="90">
        <v>46387</v>
      </c>
      <c r="V337" s="90"/>
      <c r="W337" s="90"/>
      <c r="X337" s="90"/>
      <c r="Y337" s="90"/>
      <c r="Z337" s="90" t="s">
        <v>182</v>
      </c>
      <c r="AA337" s="130">
        <f t="shared" si="92"/>
        <v>0.12307692307692308</v>
      </c>
      <c r="AB337" s="130">
        <f t="shared" si="93"/>
        <v>6.1538461538461542E-2</v>
      </c>
      <c r="AC337" s="130">
        <f t="shared" si="88"/>
        <v>0.12307692307692308</v>
      </c>
      <c r="AD337" s="130">
        <f t="shared" si="94"/>
        <v>9.2307692307692313E-2</v>
      </c>
      <c r="AE337" s="83">
        <v>0.4</v>
      </c>
      <c r="AF337" s="90"/>
      <c r="AG337" s="90"/>
      <c r="AH337" s="90"/>
      <c r="AI337" s="90"/>
      <c r="AJ337" s="85">
        <v>0.3</v>
      </c>
      <c r="AK337" s="84"/>
      <c r="AL337" s="84"/>
      <c r="AM337" s="84"/>
      <c r="AN337" s="84"/>
      <c r="AO337" s="85">
        <f t="shared" si="89"/>
        <v>0.3</v>
      </c>
      <c r="AP337" s="83">
        <v>1</v>
      </c>
      <c r="AQ337" s="84"/>
      <c r="AR337" s="84"/>
      <c r="AS337" s="84"/>
      <c r="AT337" s="84"/>
      <c r="AU337" s="84"/>
      <c r="AV337" s="84"/>
      <c r="AW337" s="84"/>
      <c r="AX337" s="84"/>
      <c r="AY337" s="84"/>
      <c r="AZ337" s="86"/>
      <c r="BA337" s="84"/>
      <c r="BB337" s="84"/>
      <c r="BC337" s="84"/>
      <c r="BD337" s="84"/>
      <c r="BE337" s="84"/>
      <c r="BF337" s="84"/>
      <c r="BG337" s="84"/>
      <c r="BH337" s="84"/>
      <c r="BI337" s="84"/>
      <c r="BJ337" s="86"/>
      <c r="BK337" s="84"/>
      <c r="BL337" s="86"/>
      <c r="BM337" s="84"/>
      <c r="BN337" s="86"/>
      <c r="BO337" s="84"/>
      <c r="BP337" s="86"/>
      <c r="BQ337" s="84"/>
      <c r="BR337" s="84"/>
      <c r="BS337" s="84"/>
      <c r="BT337" s="84"/>
      <c r="BU337" s="84"/>
      <c r="BV337" s="84"/>
      <c r="BW337" s="84"/>
      <c r="BX337" s="84"/>
      <c r="BY337" s="84"/>
      <c r="BZ337" s="84"/>
      <c r="CA337" s="84"/>
      <c r="CB337" s="84"/>
      <c r="CC337" s="84"/>
      <c r="CD337" s="84"/>
      <c r="CE337" s="84"/>
      <c r="CF337" s="84"/>
      <c r="CG337" s="372"/>
      <c r="CH337" s="372"/>
      <c r="CI337" s="372"/>
      <c r="CJ337" s="83" t="str">
        <f t="shared" si="96"/>
        <v>No aplica</v>
      </c>
      <c r="CK337" s="83" t="str">
        <f t="shared" si="96"/>
        <v>No aplica</v>
      </c>
      <c r="CL337" s="83" t="str">
        <f t="shared" ref="CL337:CL400" si="97">+IFERROR(IF(M337=M336,"No requiere reporte",IF(OR(AK337=0,AK337=""),"No aplica, no hay meta",IF(AK337="NA","No aplica, no hay meta",IF(BU337="","No se reportó avance",IF(OR(AND(Q337="Capacidad",OR(R337="",R337=0,R337="NA")),AND(Q337="Reducción",OR(R337="",R337=0,R337="NA"))),"Se requiere valor de línea base para este tipo de acumulación",IF(OR(AND(Q337="Flujo",OR(R337&lt;&gt;"",R337&lt;&gt;0,R337&lt;&gt;"NA"),BU337="NA"),AND(Q337="Stock",OR(R337&lt;&gt;"",R337&lt;&gt;0,R337&lt;&gt;"NA"),BU337="NA")),"No aplica",IF(Q337="Flujo",IF(BU337/AK337&gt;1,1.00001,BU337/AK337),IF(Q337="Stock",IF(BU337/AK337&gt;1,1.00001,BU337/AK337),IF(Q337="Acumulado",IF((BU337)/AK337&gt;1,1.00001,(BU337)/AK337),IF(Q337="Capacidad",IF(((BU337-R337)/(AK337-R337))&gt;1,1.00001,((BU337-R337)/(AK337-R337))),IF(Q337="Reducción",IF(((R337-BU337)/(R337-BU337))&gt;1,1.00001,((R337-BU337)/(R337-BU337))),"Revisar acumulación"))))))))))),"Revisar fórmula")</f>
        <v>No requiere reporte</v>
      </c>
      <c r="CM337" s="89" t="str">
        <f t="shared" ref="CM337:CM400" si="98">+IFERROR(IF(M337=M336,"No requiere reporte",IF(OR(AO337=0,AO337=""),"No aplica, no hay meta",IF(AO337="NA","No aplica, no hay meta",IF(CC337="","No se reportó avance",IF(OR(AND(Q337="Capacidad",OR(R337="",R337=0,R337="NA")),AND(Q337="Reducción",OR(R337="",R337=0,R337="NA"))),"Se requiere valor de línea base para este tipo de acumulación",IF(OR(AND(Q337="Flujo",OR(R337&lt;&gt;"",R337&lt;&gt;0,R337&lt;&gt;"NA"),CC337="NA"),AND(Q337="Stock",OR(R337&lt;&gt;"",R337&lt;&gt;0,R337&lt;&gt;"NA"),CC337="NA")),"No aplica",IF(Q337="Flujo",IF(CC337/AO337&gt;1,1.00001,CC337/AO337),IF(Q337="Stock",IF(CC337/AO337&gt;1,1.00001,CC337/AO337),IF(Q337="Acumulado",IF((CC337)/AO337&gt;1,1.00001,(CC337)/AO337),IF(Q337="Capacidad",IF(((CC337-R337)/(AO337-R337))&gt;1,1.00001,((CC337-R337)/(AO337-R337))),IF(Q337="Reducción",IF(((R337-CC337)/(R337-CC337))&gt;1,1.00001,((R337-CC337)/(R337-CC337))),"Revisar acumulación"))))))))))),"Revisar fórmula")</f>
        <v>No requiere reporte</v>
      </c>
      <c r="CN337" s="89" t="str">
        <f t="shared" ref="CN337:CN400" si="99">+IFERROR(IF(M337=M336,"No requiere reporte",IF(OR(AP337=0,AP337=""),"No aplica, no hay meta",IF(AP337="NA","No aplica, no hay meta",IF(CE337="","No se reportó avance",IF(OR(AND(Q337="Capacidad",OR(R337="",R337=0,R337="NA")),AND(Q337="Reducción",OR(R337="",R337=0,R337="NA"))),"Se requiere valor de línea base para este tipo de acumulación",IF(OR(AND(Q337="Flujo",OR(R337&lt;&gt;"",R337&lt;&gt;0,R337&lt;&gt;"NA"),CE337="NA"),AND(Q337="Stock",OR(R337&lt;&gt;"",R337&lt;&gt;0,R337&lt;&gt;"NA"),CE337="NA")),"No aplica",IF(Q337="Flujo",IF(CE337/AP337&gt;1,1.00001,CE337/AP337),IF(Q337="Stock",IF(CE337/AP337&gt;1,1.00001,CE337/AP337),IF(Q337="Acumulado",IF((CE337)/AP337&gt;1,1.00001,(CE337)/AP337),IF(Q337="Capacidad",IF(((CE337-R337)/(AP337-R337))&gt;1,1.00001,((CE337-R337)/(AP337-R337))),IF(Q337="Reducción",IF(((R337-CE337)/(R337-CE337))&gt;1,1.00001,((R337-CE337)/(R337-CE337))),"Revisar acumulación"))))))))))),"Revisar fórmula")</f>
        <v>No requiere reporte</v>
      </c>
      <c r="CO337" s="145" t="s">
        <v>202</v>
      </c>
      <c r="CP337" s="145" t="s">
        <v>3046</v>
      </c>
      <c r="CQ337" s="145" t="s">
        <v>3047</v>
      </c>
      <c r="CR337" s="658" t="s">
        <v>4679</v>
      </c>
      <c r="CS337" s="394" t="s">
        <v>4680</v>
      </c>
      <c r="CT337" s="394" t="s">
        <v>161</v>
      </c>
      <c r="CU337" s="394" t="s">
        <v>233</v>
      </c>
      <c r="CV337" s="394">
        <v>1</v>
      </c>
      <c r="CW337" s="394" t="s">
        <v>234</v>
      </c>
      <c r="CX337" s="663">
        <v>46023</v>
      </c>
      <c r="CY337" s="663">
        <v>46387</v>
      </c>
      <c r="CZ337" s="867">
        <v>0</v>
      </c>
      <c r="DA337" s="867">
        <v>0</v>
      </c>
      <c r="DB337" s="867">
        <v>0</v>
      </c>
      <c r="DC337" s="867">
        <v>1</v>
      </c>
      <c r="DD337" s="867">
        <f t="shared" si="95"/>
        <v>1</v>
      </c>
      <c r="DE337" s="145" t="s">
        <v>265</v>
      </c>
      <c r="DF337" s="145" t="s">
        <v>3036</v>
      </c>
      <c r="DG337" s="145" t="s">
        <v>3037</v>
      </c>
      <c r="DH337" s="793">
        <v>400000000</v>
      </c>
      <c r="DI337" s="145" t="s">
        <v>3038</v>
      </c>
      <c r="DJ337" s="145" t="s">
        <v>1023</v>
      </c>
      <c r="DK337" s="145"/>
      <c r="DL337" s="145"/>
      <c r="DM337" s="145"/>
      <c r="DN337" s="672"/>
      <c r="DO337" s="86"/>
      <c r="DP337" s="122"/>
      <c r="DQ337" s="86"/>
      <c r="DR337" s="86"/>
      <c r="DS337" s="672"/>
      <c r="DT337" s="86"/>
      <c r="DU337" s="122"/>
      <c r="DV337" s="86"/>
      <c r="DW337" s="86"/>
      <c r="DX337" s="672"/>
      <c r="DY337" s="86"/>
      <c r="DZ337" s="122"/>
      <c r="EA337" s="86"/>
      <c r="EB337" s="86"/>
      <c r="EC337" s="672"/>
      <c r="ED337" s="84"/>
      <c r="EE337" s="122"/>
      <c r="EF337" s="84"/>
      <c r="EG337" s="84"/>
      <c r="EH337" s="672"/>
      <c r="EI337" s="84"/>
      <c r="EJ337" s="84"/>
      <c r="EK337" s="84"/>
      <c r="EL337" s="91" t="str">
        <f t="shared" ref="EL337:EL400" si="100">+IFERROR(IF(CP337=CP336,"No requiere reporte",IF(OR(CZ337=0,CZ337=""),"No aplica, no hay meta",IF(CZ337="NA","No aplica, no hay meta",IF(DN337="","No se reportó avance",IF(OR(AND(CU337="Capacidad",OR(CV337="",CV337=0,CV337="NA")),AND(CU337="Reducción",OR(CV337="",CV337=0,CV337="NA"))),"Se requiere valor de línea base para este tipo de acumulación",IF(OR(AND(CU337="Flujo",OR(CV337&lt;&gt;"",CV337&lt;&gt;0,CV337&lt;&gt;"NA"),DN337="NA"),AND(CU337="Stock",OR(CV337&lt;&gt;"",CV337&lt;&gt;0,CV337&lt;&gt;"NA"),DN337="NA")),"No aplica",IF(CU337="Flujo",IF(DN337/CZ337&gt;1,1.00001,DN337/CZ337),IF(CU337="Stock",IF(DN337/CZ337&gt;1,1.00001,DN337/CZ337),IF(CU337="Acumulado",IF((DN337)/CZ337&gt;1,1.00001,(DN337)/CZ337),IF(CU337="Capacidad",IF(((DN337-CV337)/(CZ337-CV337))&gt;1,1.00001,((DN337-CV337)/(CZ337-CV337))),IF(CU337="Reducción",IF(((CV337-DN337)/(CV337-DN337))&gt;1,1.00001,((CV337-DN337)/(CV337-DN337))),"Revisar acumulación"))))))))))),"Revisar fórmula")</f>
        <v>No aplica, no hay meta</v>
      </c>
      <c r="EM337" s="83" t="str">
        <f t="shared" ref="EM337:EM400" si="101">+IFERROR(IF(CP337=CP336,"No requiere reporte",IF(OR(DD337=0,DD337=""),"No aplica, no hay meta",IF(DD337="NA","No aplica, no hay meta",IF(EH337="","No se reportó avance",IF(OR(AND(CU337="Capacidad",OR(CV337="",CV337=0,CV337="NA")),AND(CU337="Reducción",OR(CV337="",CV337=0,CV337="NA"))),"Se requiere valor de línea base para este tipo de acumulación",IF(OR(AND(CU337="Flujo",OR(CV337&lt;&gt;"",CV337&lt;&gt;0,CV337&lt;&gt;"NA"),EH337="NA"),AND(CU337="Stock",OR(CV337&lt;&gt;"",CV337&lt;&gt;0,CV337&lt;&gt;"NA"),CV337="NA")),"No aplica",IF(CU337="Flujo",IF(EH337/DD337&gt;1,1.00001,EH337/DD337),IF(CU337="Stock",IF(EH337/DD337&gt;1,1.00001,EH337/DD337),IF(CU337="Acumulado",IF((EH337)/DD337&gt;1,1.00001,(EH337)/DD337),IF(CU337="Capacidad",IF(((EH337-CV337)/(DD337-CV337))&gt;1,1.00001,((EH337-CV337)/(DD337-CV337))),IF(CU337="Reducción",IF(((CV337-EH337)/(CV337-DD337))&gt;1,1.00001,((CV337-EH337)/(CV337-DD337))),"Revisar acumulación"))))))))))),"Revisar fórmula")</f>
        <v>No se reportó avance</v>
      </c>
      <c r="EN337" s="86"/>
      <c r="EO337" s="93" t="str">
        <f t="shared" si="90"/>
        <v>Producto</v>
      </c>
      <c r="EP337" s="93" t="str">
        <f t="shared" si="91"/>
        <v>5</v>
      </c>
    </row>
    <row r="338" spans="1:146" ht="69.95" customHeight="1">
      <c r="A338" s="74" t="s">
        <v>3048</v>
      </c>
      <c r="B338" s="74" t="s">
        <v>3049</v>
      </c>
      <c r="C338" s="75" t="s">
        <v>3050</v>
      </c>
      <c r="D338" s="75" t="s">
        <v>3051</v>
      </c>
      <c r="E338" s="75" t="s">
        <v>3052</v>
      </c>
      <c r="F338" s="74" t="s">
        <v>201</v>
      </c>
      <c r="G338" s="502" t="s">
        <v>201</v>
      </c>
      <c r="H338" s="502" t="s">
        <v>3053</v>
      </c>
      <c r="I338" s="74" t="s">
        <v>3054</v>
      </c>
      <c r="J338" s="74" t="s">
        <v>3054</v>
      </c>
      <c r="K338" s="74" t="s">
        <v>3055</v>
      </c>
      <c r="L338" s="78">
        <v>1</v>
      </c>
      <c r="M338" s="78" t="s">
        <v>3056</v>
      </c>
      <c r="N338" s="78" t="s">
        <v>3057</v>
      </c>
      <c r="O338" s="78" t="s">
        <v>3058</v>
      </c>
      <c r="P338" s="78" t="s">
        <v>200</v>
      </c>
      <c r="Q338" s="78" t="s">
        <v>275</v>
      </c>
      <c r="R338" s="82">
        <v>0</v>
      </c>
      <c r="S338" s="78" t="s">
        <v>163</v>
      </c>
      <c r="T338" s="80">
        <v>44927</v>
      </c>
      <c r="U338" s="80">
        <v>46387</v>
      </c>
      <c r="V338" s="81"/>
      <c r="W338" s="81"/>
      <c r="X338" s="75">
        <v>0.91</v>
      </c>
      <c r="Y338" s="121">
        <v>1</v>
      </c>
      <c r="Z338" s="82">
        <v>1</v>
      </c>
      <c r="AA338" s="75">
        <v>0.1</v>
      </c>
      <c r="AB338" s="75">
        <v>0.2</v>
      </c>
      <c r="AC338" s="75">
        <v>0.7</v>
      </c>
      <c r="AD338" s="75">
        <v>1</v>
      </c>
      <c r="AE338" s="82">
        <v>1</v>
      </c>
      <c r="AF338" s="82">
        <v>0</v>
      </c>
      <c r="AG338" s="82">
        <v>0.16</v>
      </c>
      <c r="AH338" s="82">
        <v>0.52</v>
      </c>
      <c r="AI338" s="82">
        <v>1</v>
      </c>
      <c r="AJ338" s="82">
        <v>1</v>
      </c>
      <c r="AK338" s="289">
        <v>1</v>
      </c>
      <c r="AL338" s="289">
        <v>1</v>
      </c>
      <c r="AM338" s="289">
        <v>1</v>
      </c>
      <c r="AN338" s="289">
        <v>1</v>
      </c>
      <c r="AO338" s="82">
        <v>1</v>
      </c>
      <c r="AP338" s="82">
        <v>1</v>
      </c>
      <c r="AQ338" s="84"/>
      <c r="AR338" s="84"/>
      <c r="AS338" s="84"/>
      <c r="AT338" s="84"/>
      <c r="AU338" s="84"/>
      <c r="AV338" s="84"/>
      <c r="AW338" s="84"/>
      <c r="AX338" s="84"/>
      <c r="AY338" s="85">
        <v>1</v>
      </c>
      <c r="AZ338" s="673" t="s">
        <v>3059</v>
      </c>
      <c r="BA338" s="85">
        <v>0.1</v>
      </c>
      <c r="BB338" s="84" t="s">
        <v>3060</v>
      </c>
      <c r="BC338" s="85">
        <f>AF338/1</f>
        <v>0</v>
      </c>
      <c r="BD338" s="84" t="s">
        <v>3061</v>
      </c>
      <c r="BE338" s="85">
        <f>1/19</f>
        <v>5.2631578947368418E-2</v>
      </c>
      <c r="BF338" s="84" t="s">
        <v>3062</v>
      </c>
      <c r="BG338" s="84">
        <v>0</v>
      </c>
      <c r="BH338" s="84" t="s">
        <v>3063</v>
      </c>
      <c r="BI338" s="85">
        <v>0.45</v>
      </c>
      <c r="BJ338" s="106" t="s">
        <v>3064</v>
      </c>
      <c r="BK338" s="84" t="s">
        <v>182</v>
      </c>
      <c r="BL338" s="86" t="s">
        <v>3065</v>
      </c>
      <c r="BM338" s="83">
        <f>9/9*AG338</f>
        <v>0.16</v>
      </c>
      <c r="BN338" s="86" t="s">
        <v>3066</v>
      </c>
      <c r="BO338" s="146">
        <f>5/7*AH338</f>
        <v>0.37142857142857144</v>
      </c>
      <c r="BP338" s="677" t="s">
        <v>3067</v>
      </c>
      <c r="BQ338" s="84"/>
      <c r="BR338" s="84"/>
      <c r="BS338" s="146">
        <f>+(BM338+BO338)/2</f>
        <v>0.26571428571428574</v>
      </c>
      <c r="BT338" s="84"/>
      <c r="BU338" s="84"/>
      <c r="BV338" s="84"/>
      <c r="BW338" s="84"/>
      <c r="BX338" s="84"/>
      <c r="BY338" s="84"/>
      <c r="BZ338" s="84"/>
      <c r="CA338" s="84"/>
      <c r="CB338" s="84"/>
      <c r="CC338" s="84"/>
      <c r="CD338" s="84"/>
      <c r="CE338" s="146">
        <f>+(AY338+BI338+BS338)/3</f>
        <v>0.57190476190476192</v>
      </c>
      <c r="CF338" s="84"/>
      <c r="CG338" s="497">
        <f>SUM(DH338:DH344)</f>
        <v>7000000000</v>
      </c>
      <c r="CH338" s="465"/>
      <c r="CI338" s="465"/>
      <c r="CJ338" s="83">
        <f t="shared" ref="CJ338:CJ350" si="102">+IFERROR(CH338/CG338,"No aplica")</f>
        <v>0</v>
      </c>
      <c r="CK338" s="83">
        <f t="shared" ref="CK338:CK401" si="103">+IFERROR(CI338/CG338,"No aplica")</f>
        <v>0</v>
      </c>
      <c r="CL338" s="83" t="str">
        <f t="shared" si="97"/>
        <v>No se reportó avance</v>
      </c>
      <c r="CM338" s="89" t="str">
        <f t="shared" si="98"/>
        <v>No se reportó avance</v>
      </c>
      <c r="CN338" s="89">
        <f t="shared" si="99"/>
        <v>0.57190476190476192</v>
      </c>
      <c r="CO338" s="145" t="s">
        <v>177</v>
      </c>
      <c r="CP338" s="145" t="s">
        <v>3068</v>
      </c>
      <c r="CQ338" s="145" t="s">
        <v>262</v>
      </c>
      <c r="CR338" s="145" t="s">
        <v>3069</v>
      </c>
      <c r="CS338" s="145" t="s">
        <v>3070</v>
      </c>
      <c r="CT338" s="178" t="s">
        <v>161</v>
      </c>
      <c r="CU338" s="145" t="s">
        <v>233</v>
      </c>
      <c r="CV338" s="145">
        <v>4</v>
      </c>
      <c r="CW338" s="145" t="s">
        <v>234</v>
      </c>
      <c r="CX338" s="663">
        <v>46023</v>
      </c>
      <c r="CY338" s="663">
        <v>46387</v>
      </c>
      <c r="CZ338" s="154">
        <v>0</v>
      </c>
      <c r="DA338" s="154">
        <v>0</v>
      </c>
      <c r="DB338" s="154">
        <v>5</v>
      </c>
      <c r="DC338" s="154">
        <v>8</v>
      </c>
      <c r="DD338" s="154">
        <f>+CZ338+DA338+DB338+DC338</f>
        <v>13</v>
      </c>
      <c r="DE338" s="145" t="s">
        <v>3071</v>
      </c>
      <c r="DF338" s="145" t="s">
        <v>3072</v>
      </c>
      <c r="DG338" s="145" t="s">
        <v>3073</v>
      </c>
      <c r="DH338" s="466">
        <v>691059254</v>
      </c>
      <c r="DI338" s="145" t="s">
        <v>1022</v>
      </c>
      <c r="DJ338" s="145" t="s">
        <v>480</v>
      </c>
      <c r="DK338" s="145" t="s">
        <v>3074</v>
      </c>
      <c r="DL338" s="145" t="s">
        <v>2708</v>
      </c>
      <c r="DM338" s="145" t="s">
        <v>3075</v>
      </c>
      <c r="DN338" s="145"/>
      <c r="DO338" s="677"/>
      <c r="DP338" s="145"/>
      <c r="DQ338" s="677"/>
      <c r="DR338" s="677"/>
      <c r="DS338" s="145"/>
      <c r="DT338" s="677"/>
      <c r="DU338" s="145"/>
      <c r="DV338" s="677"/>
      <c r="DW338" s="677"/>
      <c r="DX338" s="145"/>
      <c r="DY338" s="145"/>
      <c r="DZ338" s="145"/>
      <c r="EA338" s="145"/>
      <c r="EB338" s="145"/>
      <c r="EC338" s="145"/>
      <c r="ED338" s="145"/>
      <c r="EE338" s="145"/>
      <c r="EF338" s="145"/>
      <c r="EG338" s="145"/>
      <c r="EH338" s="145"/>
      <c r="EI338" s="145"/>
      <c r="EJ338" s="145"/>
      <c r="EK338" s="145"/>
      <c r="EL338" s="91" t="str">
        <f t="shared" si="100"/>
        <v>No aplica, no hay meta</v>
      </c>
      <c r="EM338" s="83" t="str">
        <f t="shared" si="101"/>
        <v>No se reportó avance</v>
      </c>
      <c r="EN338" s="86"/>
      <c r="EO338" t="str">
        <f t="shared" ref="EO338:EO373" si="104">+IF(OR(P338="Producto",P338="Resultado",P338="Impacto"),"Producto",P338)</f>
        <v>Gestión</v>
      </c>
      <c r="EP338" t="str">
        <f t="shared" ref="EP338:EP373" si="105">+MID(J338,1,1)</f>
        <v>5</v>
      </c>
    </row>
    <row r="339" spans="1:146" ht="69.95" customHeight="1">
      <c r="A339" s="84" t="s">
        <v>3048</v>
      </c>
      <c r="B339" s="85" t="s">
        <v>3049</v>
      </c>
      <c r="C339" s="85" t="s">
        <v>3050</v>
      </c>
      <c r="D339" s="85" t="s">
        <v>3051</v>
      </c>
      <c r="E339" s="85" t="s">
        <v>3052</v>
      </c>
      <c r="F339" s="84" t="s">
        <v>201</v>
      </c>
      <c r="G339" s="145" t="s">
        <v>201</v>
      </c>
      <c r="H339" s="145" t="s">
        <v>3076</v>
      </c>
      <c r="I339" s="84" t="s">
        <v>3054</v>
      </c>
      <c r="J339" s="84" t="s">
        <v>3054</v>
      </c>
      <c r="K339" s="84" t="s">
        <v>3055</v>
      </c>
      <c r="L339" s="84">
        <v>1</v>
      </c>
      <c r="M339" s="84" t="s">
        <v>3056</v>
      </c>
      <c r="N339" s="84" t="s">
        <v>3057</v>
      </c>
      <c r="O339" s="84" t="s">
        <v>3077</v>
      </c>
      <c r="P339" s="84" t="s">
        <v>200</v>
      </c>
      <c r="Q339" s="84" t="s">
        <v>275</v>
      </c>
      <c r="R339" s="83">
        <v>0</v>
      </c>
      <c r="S339" s="84" t="s">
        <v>163</v>
      </c>
      <c r="T339" s="90">
        <v>44927</v>
      </c>
      <c r="U339" s="90">
        <v>46387</v>
      </c>
      <c r="V339" s="90"/>
      <c r="W339" s="90"/>
      <c r="X339" s="90"/>
      <c r="Y339" s="90"/>
      <c r="Z339" s="83"/>
      <c r="AA339" s="85"/>
      <c r="AB339" s="85"/>
      <c r="AC339" s="85"/>
      <c r="AD339" s="85"/>
      <c r="AE339" s="83"/>
      <c r="AF339" s="83"/>
      <c r="AG339" s="83"/>
      <c r="AH339" s="83"/>
      <c r="AI339" s="83"/>
      <c r="AJ339" s="83"/>
      <c r="AK339" s="83"/>
      <c r="AL339" s="83"/>
      <c r="AM339" s="83"/>
      <c r="AN339" s="83"/>
      <c r="AO339" s="83"/>
      <c r="AP339" s="83"/>
      <c r="AQ339" s="84"/>
      <c r="AR339" s="84"/>
      <c r="AS339" s="84"/>
      <c r="AT339" s="84"/>
      <c r="AU339" s="84"/>
      <c r="AV339" s="84"/>
      <c r="AW339" s="84"/>
      <c r="AX339" s="84"/>
      <c r="AY339" s="84"/>
      <c r="AZ339" s="86"/>
      <c r="BA339" s="84"/>
      <c r="BB339" s="84"/>
      <c r="BC339" s="84"/>
      <c r="BD339" s="84"/>
      <c r="BE339" s="84"/>
      <c r="BF339" s="84"/>
      <c r="BG339" s="84"/>
      <c r="BH339" s="84"/>
      <c r="BI339" s="84"/>
      <c r="BJ339" s="86"/>
      <c r="BK339" s="84"/>
      <c r="BL339" s="86"/>
      <c r="BM339" s="84"/>
      <c r="BN339" s="86"/>
      <c r="BO339" s="84"/>
      <c r="BP339" s="86"/>
      <c r="BQ339" s="84"/>
      <c r="BR339" s="84"/>
      <c r="BS339" s="84"/>
      <c r="BT339" s="84"/>
      <c r="BU339" s="84"/>
      <c r="BV339" s="84"/>
      <c r="BW339" s="84"/>
      <c r="BX339" s="84"/>
      <c r="BY339" s="84"/>
      <c r="BZ339" s="84"/>
      <c r="CA339" s="84"/>
      <c r="CB339" s="84"/>
      <c r="CC339" s="84"/>
      <c r="CD339" s="84"/>
      <c r="CE339" s="84"/>
      <c r="CF339" s="84"/>
      <c r="CG339" s="372"/>
      <c r="CH339" s="155"/>
      <c r="CI339" s="84"/>
      <c r="CJ339" s="83" t="str">
        <f t="shared" si="102"/>
        <v>No aplica</v>
      </c>
      <c r="CK339" s="83" t="str">
        <f t="shared" si="103"/>
        <v>No aplica</v>
      </c>
      <c r="CL339" s="83" t="str">
        <f t="shared" si="97"/>
        <v>No requiere reporte</v>
      </c>
      <c r="CM339" s="89" t="str">
        <f t="shared" si="98"/>
        <v>No requiere reporte</v>
      </c>
      <c r="CN339" s="89" t="str">
        <f t="shared" si="99"/>
        <v>No requiere reporte</v>
      </c>
      <c r="CO339" s="145" t="s">
        <v>185</v>
      </c>
      <c r="CP339" s="145" t="s">
        <v>3078</v>
      </c>
      <c r="CQ339" s="145" t="s">
        <v>262</v>
      </c>
      <c r="CR339" s="145" t="s">
        <v>3079</v>
      </c>
      <c r="CS339" s="145" t="s">
        <v>3080</v>
      </c>
      <c r="CT339" s="145" t="s">
        <v>161</v>
      </c>
      <c r="CU339" s="145" t="s">
        <v>233</v>
      </c>
      <c r="CV339" s="145">
        <v>4</v>
      </c>
      <c r="CW339" s="145" t="s">
        <v>234</v>
      </c>
      <c r="CX339" s="663">
        <v>46023</v>
      </c>
      <c r="CY339" s="663">
        <v>46387</v>
      </c>
      <c r="CZ339" s="154">
        <v>0</v>
      </c>
      <c r="DA339" s="154">
        <f>2-2</f>
        <v>0</v>
      </c>
      <c r="DB339" s="154">
        <v>0</v>
      </c>
      <c r="DC339" s="154">
        <v>1</v>
      </c>
      <c r="DD339" s="154">
        <f>+CZ339+DA339+DB339+DC339</f>
        <v>1</v>
      </c>
      <c r="DE339" s="145" t="s">
        <v>3071</v>
      </c>
      <c r="DF339" s="145" t="s">
        <v>3072</v>
      </c>
      <c r="DG339" s="145" t="s">
        <v>3073</v>
      </c>
      <c r="DH339" s="466">
        <v>308940746</v>
      </c>
      <c r="DI339" s="145" t="s">
        <v>1022</v>
      </c>
      <c r="DJ339" s="145" t="s">
        <v>480</v>
      </c>
      <c r="DK339" s="145" t="s">
        <v>3074</v>
      </c>
      <c r="DL339" s="145" t="s">
        <v>2708</v>
      </c>
      <c r="DM339" s="145" t="s">
        <v>3075</v>
      </c>
      <c r="DN339" s="145"/>
      <c r="DO339" s="677"/>
      <c r="DP339" s="145"/>
      <c r="DQ339" s="677"/>
      <c r="DR339" s="677"/>
      <c r="DS339" s="145"/>
      <c r="DT339" s="677"/>
      <c r="DU339" s="145"/>
      <c r="DV339" s="677"/>
      <c r="DW339" s="677"/>
      <c r="DX339" s="145"/>
      <c r="DY339" s="677"/>
      <c r="DZ339" s="145"/>
      <c r="EA339" s="145"/>
      <c r="EB339" s="145"/>
      <c r="EC339" s="145"/>
      <c r="ED339" s="145"/>
      <c r="EE339" s="145"/>
      <c r="EF339" s="145"/>
      <c r="EG339" s="145"/>
      <c r="EH339" s="145"/>
      <c r="EI339" s="145"/>
      <c r="EJ339" s="145"/>
      <c r="EK339" s="145"/>
      <c r="EL339" s="91" t="str">
        <f t="shared" si="100"/>
        <v>No aplica, no hay meta</v>
      </c>
      <c r="EM339" s="83" t="str">
        <f t="shared" si="101"/>
        <v>No se reportó avance</v>
      </c>
      <c r="EN339" s="86"/>
      <c r="EO339" t="str">
        <f t="shared" si="104"/>
        <v>Gestión</v>
      </c>
      <c r="EP339" t="str">
        <f t="shared" si="105"/>
        <v>5</v>
      </c>
    </row>
    <row r="340" spans="1:146" ht="69.95" customHeight="1">
      <c r="A340" s="84" t="s">
        <v>3048</v>
      </c>
      <c r="B340" s="85" t="s">
        <v>3049</v>
      </c>
      <c r="C340" s="85" t="s">
        <v>3081</v>
      </c>
      <c r="D340" s="85" t="s">
        <v>3051</v>
      </c>
      <c r="E340" s="85" t="s">
        <v>3082</v>
      </c>
      <c r="F340" s="84" t="s">
        <v>201</v>
      </c>
      <c r="G340" s="145" t="s">
        <v>201</v>
      </c>
      <c r="H340" s="145" t="s">
        <v>3083</v>
      </c>
      <c r="I340" s="84" t="s">
        <v>3054</v>
      </c>
      <c r="J340" s="84" t="s">
        <v>3054</v>
      </c>
      <c r="K340" s="84" t="s">
        <v>3055</v>
      </c>
      <c r="L340" s="84">
        <v>1</v>
      </c>
      <c r="M340" s="84" t="s">
        <v>3056</v>
      </c>
      <c r="N340" s="84" t="s">
        <v>3057</v>
      </c>
      <c r="O340" s="84" t="s">
        <v>3077</v>
      </c>
      <c r="P340" s="84" t="s">
        <v>200</v>
      </c>
      <c r="Q340" s="84" t="s">
        <v>275</v>
      </c>
      <c r="R340" s="83">
        <v>0</v>
      </c>
      <c r="S340" s="84" t="s">
        <v>163</v>
      </c>
      <c r="T340" s="90">
        <v>44927</v>
      </c>
      <c r="U340" s="90">
        <v>46387</v>
      </c>
      <c r="V340" s="90"/>
      <c r="W340" s="90"/>
      <c r="X340" s="90"/>
      <c r="Y340" s="90"/>
      <c r="Z340" s="83"/>
      <c r="AA340" s="85"/>
      <c r="AB340" s="85"/>
      <c r="AC340" s="85"/>
      <c r="AD340" s="85"/>
      <c r="AE340" s="83"/>
      <c r="AF340" s="83"/>
      <c r="AG340" s="83"/>
      <c r="AH340" s="83"/>
      <c r="AI340" s="83"/>
      <c r="AJ340" s="83"/>
      <c r="AK340" s="83"/>
      <c r="AL340" s="83"/>
      <c r="AM340" s="83"/>
      <c r="AN340" s="83"/>
      <c r="AO340" s="83"/>
      <c r="AP340" s="83"/>
      <c r="AQ340" s="84"/>
      <c r="AR340" s="84"/>
      <c r="AS340" s="84"/>
      <c r="AT340" s="84"/>
      <c r="AU340" s="84"/>
      <c r="AV340" s="84"/>
      <c r="AW340" s="84"/>
      <c r="AX340" s="84"/>
      <c r="AY340" s="84"/>
      <c r="AZ340" s="86"/>
      <c r="BA340" s="84"/>
      <c r="BB340" s="84"/>
      <c r="BC340" s="84"/>
      <c r="BD340" s="84"/>
      <c r="BE340" s="84"/>
      <c r="BF340" s="84"/>
      <c r="BG340" s="84"/>
      <c r="BH340" s="84"/>
      <c r="BI340" s="84"/>
      <c r="BJ340" s="86"/>
      <c r="BK340" s="84"/>
      <c r="BL340" s="86"/>
      <c r="BM340" s="84"/>
      <c r="BN340" s="86"/>
      <c r="BO340" s="84"/>
      <c r="BP340" s="86"/>
      <c r="BQ340" s="84"/>
      <c r="BR340" s="84"/>
      <c r="BS340" s="84"/>
      <c r="BT340" s="84"/>
      <c r="BU340" s="84"/>
      <c r="BV340" s="84"/>
      <c r="BW340" s="84"/>
      <c r="BX340" s="84"/>
      <c r="BY340" s="84"/>
      <c r="BZ340" s="84"/>
      <c r="CA340" s="84"/>
      <c r="CB340" s="84"/>
      <c r="CC340" s="84"/>
      <c r="CD340" s="84"/>
      <c r="CE340" s="84"/>
      <c r="CF340" s="84"/>
      <c r="CG340" s="372"/>
      <c r="CH340" s="155"/>
      <c r="CI340" s="84"/>
      <c r="CJ340" s="83" t="str">
        <f t="shared" si="102"/>
        <v>No aplica</v>
      </c>
      <c r="CK340" s="83" t="str">
        <f t="shared" si="103"/>
        <v>No aplica</v>
      </c>
      <c r="CL340" s="83" t="str">
        <f t="shared" si="97"/>
        <v>No requiere reporte</v>
      </c>
      <c r="CM340" s="89" t="str">
        <f t="shared" si="98"/>
        <v>No requiere reporte</v>
      </c>
      <c r="CN340" s="89" t="str">
        <f t="shared" si="99"/>
        <v>No requiere reporte</v>
      </c>
      <c r="CO340" s="145" t="s">
        <v>190</v>
      </c>
      <c r="CP340" s="145" t="s">
        <v>3084</v>
      </c>
      <c r="CQ340" s="145" t="s">
        <v>262</v>
      </c>
      <c r="CR340" s="145" t="s">
        <v>3085</v>
      </c>
      <c r="CS340" s="145" t="s">
        <v>3086</v>
      </c>
      <c r="CT340" s="178" t="s">
        <v>161</v>
      </c>
      <c r="CU340" s="145" t="s">
        <v>233</v>
      </c>
      <c r="CV340" s="145">
        <v>200</v>
      </c>
      <c r="CW340" s="145" t="s">
        <v>234</v>
      </c>
      <c r="CX340" s="663">
        <v>46023</v>
      </c>
      <c r="CY340" s="663">
        <v>46387</v>
      </c>
      <c r="CZ340" s="154">
        <v>0</v>
      </c>
      <c r="DA340" s="154">
        <v>0</v>
      </c>
      <c r="DB340" s="154">
        <v>0</v>
      </c>
      <c r="DC340" s="154">
        <v>40</v>
      </c>
      <c r="DD340" s="154">
        <f>CZ340+DA340+DB340+DC340</f>
        <v>40</v>
      </c>
      <c r="DE340" s="145" t="s">
        <v>3071</v>
      </c>
      <c r="DF340" s="145" t="s">
        <v>3087</v>
      </c>
      <c r="DG340" s="145" t="s">
        <v>3088</v>
      </c>
      <c r="DH340" s="466">
        <v>4688780000</v>
      </c>
      <c r="DI340" s="145" t="s">
        <v>1022</v>
      </c>
      <c r="DJ340" s="145" t="s">
        <v>480</v>
      </c>
      <c r="DK340" s="145" t="s">
        <v>3074</v>
      </c>
      <c r="DL340" s="145" t="s">
        <v>2708</v>
      </c>
      <c r="DM340" s="145" t="s">
        <v>3075</v>
      </c>
      <c r="DN340" s="145"/>
      <c r="DO340" s="677"/>
      <c r="DP340" s="145"/>
      <c r="DQ340" s="677"/>
      <c r="DR340" s="677"/>
      <c r="DS340" s="146"/>
      <c r="DT340" s="677"/>
      <c r="DU340" s="145"/>
      <c r="DV340" s="677"/>
      <c r="DW340" s="677"/>
      <c r="DX340" s="146"/>
      <c r="DY340" s="677"/>
      <c r="DZ340" s="146"/>
      <c r="EA340" s="146"/>
      <c r="EB340" s="677"/>
      <c r="EC340" s="145"/>
      <c r="ED340" s="145"/>
      <c r="EE340" s="145"/>
      <c r="EF340" s="145"/>
      <c r="EG340" s="145"/>
      <c r="EH340" s="146"/>
      <c r="EI340" s="145"/>
      <c r="EJ340" s="145"/>
      <c r="EK340" s="145"/>
      <c r="EL340" s="91" t="str">
        <f t="shared" si="100"/>
        <v>No aplica, no hay meta</v>
      </c>
      <c r="EM340" s="83" t="str">
        <f t="shared" si="101"/>
        <v>No se reportó avance</v>
      </c>
      <c r="EN340" s="153"/>
      <c r="EO340" t="str">
        <f t="shared" si="104"/>
        <v>Gestión</v>
      </c>
      <c r="EP340" t="str">
        <f t="shared" si="105"/>
        <v>5</v>
      </c>
    </row>
    <row r="341" spans="1:146" ht="69.95" customHeight="1">
      <c r="A341" s="84" t="s">
        <v>3048</v>
      </c>
      <c r="B341" s="85" t="s">
        <v>3049</v>
      </c>
      <c r="C341" s="85" t="s">
        <v>3081</v>
      </c>
      <c r="D341" s="85" t="s">
        <v>3051</v>
      </c>
      <c r="E341" s="85" t="s">
        <v>3082</v>
      </c>
      <c r="F341" s="84" t="s">
        <v>201</v>
      </c>
      <c r="G341" s="145" t="s">
        <v>201</v>
      </c>
      <c r="H341" s="145" t="s">
        <v>3053</v>
      </c>
      <c r="I341" s="84" t="s">
        <v>3054</v>
      </c>
      <c r="J341" s="84" t="s">
        <v>3054</v>
      </c>
      <c r="K341" s="84" t="s">
        <v>3055</v>
      </c>
      <c r="L341" s="84">
        <v>1</v>
      </c>
      <c r="M341" s="84" t="s">
        <v>3056</v>
      </c>
      <c r="N341" s="84" t="s">
        <v>3057</v>
      </c>
      <c r="O341" s="84" t="s">
        <v>3077</v>
      </c>
      <c r="P341" s="84" t="s">
        <v>200</v>
      </c>
      <c r="Q341" s="84" t="s">
        <v>275</v>
      </c>
      <c r="R341" s="83">
        <v>0</v>
      </c>
      <c r="S341" s="84" t="s">
        <v>163</v>
      </c>
      <c r="T341" s="90">
        <v>44927</v>
      </c>
      <c r="U341" s="90">
        <v>46387</v>
      </c>
      <c r="V341" s="90"/>
      <c r="W341" s="90"/>
      <c r="X341" s="90"/>
      <c r="Y341" s="90"/>
      <c r="Z341" s="83"/>
      <c r="AA341" s="85"/>
      <c r="AB341" s="85"/>
      <c r="AC341" s="85"/>
      <c r="AD341" s="85"/>
      <c r="AE341" s="83"/>
      <c r="AF341" s="83"/>
      <c r="AG341" s="83"/>
      <c r="AH341" s="83"/>
      <c r="AI341" s="83"/>
      <c r="AJ341" s="83"/>
      <c r="AK341" s="83"/>
      <c r="AL341" s="83"/>
      <c r="AM341" s="83"/>
      <c r="AN341" s="83"/>
      <c r="AO341" s="83"/>
      <c r="AP341" s="83"/>
      <c r="AQ341" s="84"/>
      <c r="AR341" s="84"/>
      <c r="AS341" s="84"/>
      <c r="AT341" s="84"/>
      <c r="AU341" s="84"/>
      <c r="AV341" s="84"/>
      <c r="AW341" s="84"/>
      <c r="AX341" s="84"/>
      <c r="AY341" s="84"/>
      <c r="AZ341" s="86"/>
      <c r="BA341" s="84"/>
      <c r="BB341" s="84"/>
      <c r="BC341" s="84"/>
      <c r="BD341" s="84"/>
      <c r="BE341" s="84"/>
      <c r="BF341" s="84"/>
      <c r="BG341" s="84"/>
      <c r="BH341" s="84"/>
      <c r="BI341" s="84"/>
      <c r="BJ341" s="86"/>
      <c r="BK341" s="84"/>
      <c r="BL341" s="86"/>
      <c r="BM341" s="84"/>
      <c r="BN341" s="86"/>
      <c r="BO341" s="84"/>
      <c r="BP341" s="86"/>
      <c r="BQ341" s="84"/>
      <c r="BR341" s="84"/>
      <c r="BS341" s="84"/>
      <c r="BT341" s="84"/>
      <c r="BU341" s="84"/>
      <c r="BV341" s="84"/>
      <c r="BW341" s="84"/>
      <c r="BX341" s="84"/>
      <c r="BY341" s="84"/>
      <c r="BZ341" s="84"/>
      <c r="CA341" s="84"/>
      <c r="CB341" s="84"/>
      <c r="CC341" s="84"/>
      <c r="CD341" s="84"/>
      <c r="CE341" s="84"/>
      <c r="CF341" s="84"/>
      <c r="CG341" s="372"/>
      <c r="CH341" s="155"/>
      <c r="CI341" s="84"/>
      <c r="CJ341" s="83" t="str">
        <f t="shared" si="102"/>
        <v>No aplica</v>
      </c>
      <c r="CK341" s="83" t="str">
        <f t="shared" si="103"/>
        <v>No aplica</v>
      </c>
      <c r="CL341" s="83" t="str">
        <f t="shared" si="97"/>
        <v>No requiere reporte</v>
      </c>
      <c r="CM341" s="89" t="str">
        <f t="shared" si="98"/>
        <v>No requiere reporte</v>
      </c>
      <c r="CN341" s="89" t="str">
        <f t="shared" si="99"/>
        <v>No requiere reporte</v>
      </c>
      <c r="CO341" s="145" t="s">
        <v>195</v>
      </c>
      <c r="CP341" s="145" t="s">
        <v>3089</v>
      </c>
      <c r="CQ341" s="145" t="s">
        <v>262</v>
      </c>
      <c r="CR341" s="145" t="s">
        <v>3090</v>
      </c>
      <c r="CS341" s="145" t="s">
        <v>3091</v>
      </c>
      <c r="CT341" s="178" t="s">
        <v>161</v>
      </c>
      <c r="CU341" s="145" t="s">
        <v>233</v>
      </c>
      <c r="CV341" s="145">
        <v>10</v>
      </c>
      <c r="CW341" s="145" t="s">
        <v>234</v>
      </c>
      <c r="CX341" s="663">
        <v>46023</v>
      </c>
      <c r="CY341" s="663">
        <v>46387</v>
      </c>
      <c r="CZ341" s="154">
        <v>0</v>
      </c>
      <c r="DA341" s="154">
        <v>0</v>
      </c>
      <c r="DB341" s="154">
        <v>1</v>
      </c>
      <c r="DC341" s="154">
        <v>1</v>
      </c>
      <c r="DD341" s="154">
        <f>+DB341+DC341</f>
        <v>2</v>
      </c>
      <c r="DE341" s="145" t="s">
        <v>3071</v>
      </c>
      <c r="DF341" s="145" t="s">
        <v>3087</v>
      </c>
      <c r="DG341" s="145" t="s">
        <v>3088</v>
      </c>
      <c r="DH341" s="466">
        <v>208892030</v>
      </c>
      <c r="DI341" s="145" t="s">
        <v>1022</v>
      </c>
      <c r="DJ341" s="145" t="s">
        <v>480</v>
      </c>
      <c r="DK341" s="145" t="s">
        <v>3074</v>
      </c>
      <c r="DL341" s="145" t="s">
        <v>2708</v>
      </c>
      <c r="DM341" s="145" t="s">
        <v>3075</v>
      </c>
      <c r="DN341" s="145"/>
      <c r="DO341" s="677"/>
      <c r="DP341" s="145"/>
      <c r="DQ341" s="677"/>
      <c r="DR341" s="677"/>
      <c r="DS341" s="145"/>
      <c r="DT341" s="677"/>
      <c r="DU341" s="145"/>
      <c r="DV341" s="677"/>
      <c r="DW341" s="677"/>
      <c r="DX341" s="146"/>
      <c r="DY341" s="677"/>
      <c r="DZ341" s="146"/>
      <c r="EA341" s="146"/>
      <c r="EB341" s="146"/>
      <c r="EC341" s="145"/>
      <c r="ED341" s="145"/>
      <c r="EE341" s="145"/>
      <c r="EF341" s="145"/>
      <c r="EG341" s="145"/>
      <c r="EH341" s="146"/>
      <c r="EI341" s="145"/>
      <c r="EJ341" s="145"/>
      <c r="EK341" s="145"/>
      <c r="EL341" s="91" t="str">
        <f t="shared" si="100"/>
        <v>No aplica, no hay meta</v>
      </c>
      <c r="EM341" s="83" t="str">
        <f t="shared" si="101"/>
        <v>No se reportó avance</v>
      </c>
      <c r="EN341" s="153"/>
      <c r="EO341" t="str">
        <f t="shared" si="104"/>
        <v>Gestión</v>
      </c>
      <c r="EP341" t="str">
        <f t="shared" si="105"/>
        <v>5</v>
      </c>
    </row>
    <row r="342" spans="1:146" ht="69.95" customHeight="1">
      <c r="A342" s="84" t="s">
        <v>3048</v>
      </c>
      <c r="B342" s="85" t="s">
        <v>3049</v>
      </c>
      <c r="C342" s="85" t="s">
        <v>1181</v>
      </c>
      <c r="D342" s="85" t="s">
        <v>3051</v>
      </c>
      <c r="E342" s="85" t="s">
        <v>3092</v>
      </c>
      <c r="F342" s="84" t="s">
        <v>201</v>
      </c>
      <c r="G342" s="145" t="s">
        <v>201</v>
      </c>
      <c r="H342" s="145" t="s">
        <v>3053</v>
      </c>
      <c r="I342" s="84" t="s">
        <v>3054</v>
      </c>
      <c r="J342" s="84" t="s">
        <v>3054</v>
      </c>
      <c r="K342" s="84" t="s">
        <v>3055</v>
      </c>
      <c r="L342" s="84">
        <v>1</v>
      </c>
      <c r="M342" s="84" t="s">
        <v>3056</v>
      </c>
      <c r="N342" s="84" t="s">
        <v>3057</v>
      </c>
      <c r="O342" s="84" t="s">
        <v>3077</v>
      </c>
      <c r="P342" s="84" t="s">
        <v>200</v>
      </c>
      <c r="Q342" s="84" t="s">
        <v>275</v>
      </c>
      <c r="R342" s="83">
        <v>0</v>
      </c>
      <c r="S342" s="84" t="s">
        <v>163</v>
      </c>
      <c r="T342" s="90">
        <v>44927</v>
      </c>
      <c r="U342" s="90">
        <v>46387</v>
      </c>
      <c r="V342" s="90"/>
      <c r="W342" s="90"/>
      <c r="X342" s="90"/>
      <c r="Y342" s="90"/>
      <c r="Z342" s="83"/>
      <c r="AA342" s="85"/>
      <c r="AB342" s="85"/>
      <c r="AC342" s="85"/>
      <c r="AD342" s="85"/>
      <c r="AE342" s="83"/>
      <c r="AF342" s="83"/>
      <c r="AG342" s="83"/>
      <c r="AH342" s="83"/>
      <c r="AI342" s="83"/>
      <c r="AJ342" s="83"/>
      <c r="AK342" s="83"/>
      <c r="AL342" s="83"/>
      <c r="AM342" s="83"/>
      <c r="AN342" s="83"/>
      <c r="AO342" s="83"/>
      <c r="AP342" s="83"/>
      <c r="AQ342" s="84"/>
      <c r="AR342" s="84"/>
      <c r="AS342" s="84"/>
      <c r="AT342" s="84"/>
      <c r="AU342" s="84"/>
      <c r="AV342" s="84"/>
      <c r="AW342" s="84"/>
      <c r="AX342" s="84"/>
      <c r="AY342" s="84"/>
      <c r="AZ342" s="86"/>
      <c r="BA342" s="84"/>
      <c r="BB342" s="84"/>
      <c r="BC342" s="84"/>
      <c r="BD342" s="84"/>
      <c r="BE342" s="84"/>
      <c r="BF342" s="84"/>
      <c r="BG342" s="84"/>
      <c r="BH342" s="84"/>
      <c r="BI342" s="84"/>
      <c r="BJ342" s="86"/>
      <c r="BK342" s="84"/>
      <c r="BL342" s="86"/>
      <c r="BM342" s="84"/>
      <c r="BN342" s="86"/>
      <c r="BO342" s="84"/>
      <c r="BP342" s="86"/>
      <c r="BQ342" s="84"/>
      <c r="BR342" s="84"/>
      <c r="BS342" s="84"/>
      <c r="BT342" s="84"/>
      <c r="BU342" s="84"/>
      <c r="BV342" s="84"/>
      <c r="BW342" s="84"/>
      <c r="BX342" s="84"/>
      <c r="BY342" s="84"/>
      <c r="BZ342" s="84"/>
      <c r="CA342" s="84"/>
      <c r="CB342" s="84"/>
      <c r="CC342" s="84"/>
      <c r="CD342" s="84"/>
      <c r="CE342" s="84"/>
      <c r="CF342" s="84"/>
      <c r="CG342" s="372"/>
      <c r="CH342" s="155"/>
      <c r="CI342" s="84"/>
      <c r="CJ342" s="83" t="str">
        <f t="shared" si="102"/>
        <v>No aplica</v>
      </c>
      <c r="CK342" s="83" t="str">
        <f t="shared" si="103"/>
        <v>No aplica</v>
      </c>
      <c r="CL342" s="83" t="str">
        <f t="shared" si="97"/>
        <v>No requiere reporte</v>
      </c>
      <c r="CM342" s="89" t="str">
        <f t="shared" si="98"/>
        <v>No requiere reporte</v>
      </c>
      <c r="CN342" s="89" t="str">
        <f t="shared" si="99"/>
        <v>No requiere reporte</v>
      </c>
      <c r="CO342" s="145" t="s">
        <v>202</v>
      </c>
      <c r="CP342" s="145" t="s">
        <v>3093</v>
      </c>
      <c r="CQ342" s="145" t="s">
        <v>262</v>
      </c>
      <c r="CR342" s="145" t="s">
        <v>3094</v>
      </c>
      <c r="CS342" s="145" t="s">
        <v>3095</v>
      </c>
      <c r="CT342" s="178" t="s">
        <v>161</v>
      </c>
      <c r="CU342" s="145" t="s">
        <v>233</v>
      </c>
      <c r="CV342" s="145">
        <v>5</v>
      </c>
      <c r="CW342" s="145" t="s">
        <v>234</v>
      </c>
      <c r="CX342" s="663">
        <v>46023</v>
      </c>
      <c r="CY342" s="663">
        <v>46387</v>
      </c>
      <c r="CZ342" s="154">
        <v>0</v>
      </c>
      <c r="DA342" s="154">
        <v>0</v>
      </c>
      <c r="DB342" s="154">
        <v>0</v>
      </c>
      <c r="DC342" s="154">
        <v>1</v>
      </c>
      <c r="DD342" s="154">
        <f>+CZ342+DA342+DB342+DC342</f>
        <v>1</v>
      </c>
      <c r="DE342" s="145" t="s">
        <v>3071</v>
      </c>
      <c r="DF342" s="145" t="s">
        <v>3087</v>
      </c>
      <c r="DG342" s="145" t="s">
        <v>3088</v>
      </c>
      <c r="DH342" s="466">
        <v>102327970</v>
      </c>
      <c r="DI342" s="145" t="s">
        <v>1022</v>
      </c>
      <c r="DJ342" s="145" t="s">
        <v>480</v>
      </c>
      <c r="DK342" s="145" t="s">
        <v>3074</v>
      </c>
      <c r="DL342" s="145" t="s">
        <v>2708</v>
      </c>
      <c r="DM342" s="145" t="s">
        <v>3075</v>
      </c>
      <c r="DN342" s="145"/>
      <c r="DO342" s="677"/>
      <c r="DP342" s="145"/>
      <c r="DQ342" s="677"/>
      <c r="DR342" s="677"/>
      <c r="DS342" s="145"/>
      <c r="DT342" s="677"/>
      <c r="DU342" s="145"/>
      <c r="DV342" s="677"/>
      <c r="DW342" s="677"/>
      <c r="DX342" s="145"/>
      <c r="DY342" s="145"/>
      <c r="DZ342" s="145"/>
      <c r="EA342" s="145"/>
      <c r="EB342" s="145"/>
      <c r="EC342" s="145"/>
      <c r="ED342" s="145"/>
      <c r="EE342" s="145"/>
      <c r="EF342" s="145"/>
      <c r="EG342" s="145"/>
      <c r="EH342" s="145"/>
      <c r="EI342" s="145"/>
      <c r="EJ342" s="145"/>
      <c r="EK342" s="145"/>
      <c r="EL342" s="91" t="str">
        <f t="shared" si="100"/>
        <v>No aplica, no hay meta</v>
      </c>
      <c r="EM342" s="83" t="str">
        <f t="shared" si="101"/>
        <v>No se reportó avance</v>
      </c>
      <c r="EN342" s="86"/>
      <c r="EO342" t="str">
        <f t="shared" si="104"/>
        <v>Gestión</v>
      </c>
      <c r="EP342" t="str">
        <f t="shared" si="105"/>
        <v>5</v>
      </c>
    </row>
    <row r="343" spans="1:146" ht="69.95" customHeight="1">
      <c r="A343" s="84" t="s">
        <v>3048</v>
      </c>
      <c r="B343" s="85" t="s">
        <v>3049</v>
      </c>
      <c r="C343" s="85" t="s">
        <v>3096</v>
      </c>
      <c r="D343" s="85" t="s">
        <v>3051</v>
      </c>
      <c r="E343" s="85" t="s">
        <v>3097</v>
      </c>
      <c r="F343" s="84" t="s">
        <v>201</v>
      </c>
      <c r="G343" s="145" t="s">
        <v>201</v>
      </c>
      <c r="H343" s="145" t="s">
        <v>3098</v>
      </c>
      <c r="I343" s="84" t="s">
        <v>3054</v>
      </c>
      <c r="J343" s="84" t="s">
        <v>3054</v>
      </c>
      <c r="K343" s="84" t="s">
        <v>3055</v>
      </c>
      <c r="L343" s="84">
        <v>1</v>
      </c>
      <c r="M343" s="84" t="s">
        <v>3056</v>
      </c>
      <c r="N343" s="84" t="s">
        <v>3057</v>
      </c>
      <c r="O343" s="84" t="s">
        <v>3077</v>
      </c>
      <c r="P343" s="84" t="s">
        <v>200</v>
      </c>
      <c r="Q343" s="84" t="s">
        <v>275</v>
      </c>
      <c r="R343" s="83">
        <v>0</v>
      </c>
      <c r="S343" s="84" t="s">
        <v>163</v>
      </c>
      <c r="T343" s="90">
        <v>44927</v>
      </c>
      <c r="U343" s="90">
        <v>46387</v>
      </c>
      <c r="V343" s="90"/>
      <c r="W343" s="90"/>
      <c r="X343" s="90"/>
      <c r="Y343" s="90"/>
      <c r="Z343" s="83"/>
      <c r="AA343" s="85"/>
      <c r="AB343" s="85"/>
      <c r="AC343" s="85"/>
      <c r="AD343" s="85"/>
      <c r="AE343" s="83"/>
      <c r="AF343" s="83"/>
      <c r="AG343" s="83"/>
      <c r="AH343" s="83"/>
      <c r="AI343" s="83"/>
      <c r="AJ343" s="83"/>
      <c r="AK343" s="83"/>
      <c r="AL343" s="83"/>
      <c r="AM343" s="83"/>
      <c r="AN343" s="83"/>
      <c r="AO343" s="83"/>
      <c r="AP343" s="83"/>
      <c r="AQ343" s="84"/>
      <c r="AR343" s="84"/>
      <c r="AS343" s="84"/>
      <c r="AT343" s="84"/>
      <c r="AU343" s="84"/>
      <c r="AV343" s="84"/>
      <c r="AW343" s="84"/>
      <c r="AX343" s="84"/>
      <c r="AY343" s="84"/>
      <c r="AZ343" s="86"/>
      <c r="BA343" s="84"/>
      <c r="BB343" s="84"/>
      <c r="BC343" s="84"/>
      <c r="BD343" s="84"/>
      <c r="BE343" s="84"/>
      <c r="BF343" s="84"/>
      <c r="BG343" s="84"/>
      <c r="BH343" s="84"/>
      <c r="BI343" s="84"/>
      <c r="BJ343" s="86"/>
      <c r="BK343" s="84"/>
      <c r="BL343" s="86"/>
      <c r="BM343" s="84"/>
      <c r="BN343" s="86"/>
      <c r="BO343" s="84"/>
      <c r="BP343" s="86"/>
      <c r="BQ343" s="84"/>
      <c r="BR343" s="84"/>
      <c r="BS343" s="84"/>
      <c r="BT343" s="84"/>
      <c r="BU343" s="84"/>
      <c r="BV343" s="84"/>
      <c r="BW343" s="84"/>
      <c r="BX343" s="84"/>
      <c r="BY343" s="84"/>
      <c r="BZ343" s="84"/>
      <c r="CA343" s="84"/>
      <c r="CB343" s="84"/>
      <c r="CC343" s="84"/>
      <c r="CD343" s="84"/>
      <c r="CE343" s="84"/>
      <c r="CF343" s="84"/>
      <c r="CG343" s="372"/>
      <c r="CH343" s="155"/>
      <c r="CI343" s="84"/>
      <c r="CJ343" s="83" t="str">
        <f t="shared" si="102"/>
        <v>No aplica</v>
      </c>
      <c r="CK343" s="83" t="str">
        <f t="shared" si="103"/>
        <v>No aplica</v>
      </c>
      <c r="CL343" s="83" t="str">
        <f t="shared" si="97"/>
        <v>No requiere reporte</v>
      </c>
      <c r="CM343" s="89" t="str">
        <f t="shared" si="98"/>
        <v>No requiere reporte</v>
      </c>
      <c r="CN343" s="89" t="str">
        <f t="shared" si="99"/>
        <v>No requiere reporte</v>
      </c>
      <c r="CO343" s="145" t="s">
        <v>775</v>
      </c>
      <c r="CP343" s="145" t="s">
        <v>3099</v>
      </c>
      <c r="CQ343" s="145" t="s">
        <v>262</v>
      </c>
      <c r="CR343" s="178" t="s">
        <v>3100</v>
      </c>
      <c r="CS343" s="178" t="s">
        <v>3101</v>
      </c>
      <c r="CT343" s="178" t="s">
        <v>161</v>
      </c>
      <c r="CU343" s="145" t="s">
        <v>233</v>
      </c>
      <c r="CV343" s="145">
        <v>3</v>
      </c>
      <c r="CW343" s="145" t="s">
        <v>234</v>
      </c>
      <c r="CX343" s="663">
        <v>45658</v>
      </c>
      <c r="CY343" s="663">
        <v>46022</v>
      </c>
      <c r="CZ343" s="707">
        <v>0</v>
      </c>
      <c r="DA343" s="707">
        <v>0</v>
      </c>
      <c r="DB343" s="707">
        <v>5</v>
      </c>
      <c r="DC343" s="707">
        <v>7</v>
      </c>
      <c r="DD343" s="707">
        <f>+CZ343+DA343+DB343+DC343</f>
        <v>12</v>
      </c>
      <c r="DE343" s="145" t="s">
        <v>3071</v>
      </c>
      <c r="DF343" s="145" t="s">
        <v>3102</v>
      </c>
      <c r="DG343" s="145" t="s">
        <v>3103</v>
      </c>
      <c r="DH343" s="466">
        <v>600000000</v>
      </c>
      <c r="DI343" s="145" t="s">
        <v>1022</v>
      </c>
      <c r="DJ343" s="145" t="s">
        <v>480</v>
      </c>
      <c r="DK343" s="145" t="s">
        <v>3074</v>
      </c>
      <c r="DL343" s="145" t="s">
        <v>2708</v>
      </c>
      <c r="DM343" s="145" t="s">
        <v>3075</v>
      </c>
      <c r="DN343" s="145"/>
      <c r="DO343" s="677"/>
      <c r="DP343" s="145"/>
      <c r="DQ343" s="677"/>
      <c r="DR343" s="677"/>
      <c r="DS343" s="145"/>
      <c r="DT343" s="677"/>
      <c r="DU343" s="145"/>
      <c r="DV343" s="677"/>
      <c r="DW343" s="677"/>
      <c r="DX343" s="868"/>
      <c r="DY343" s="677"/>
      <c r="DZ343" s="145"/>
      <c r="EA343" s="677"/>
      <c r="EB343" s="677"/>
      <c r="EC343" s="145"/>
      <c r="ED343" s="145"/>
      <c r="EE343" s="145"/>
      <c r="EF343" s="145"/>
      <c r="EG343" s="145"/>
      <c r="EH343" s="145"/>
      <c r="EI343" s="145"/>
      <c r="EJ343" s="145"/>
      <c r="EK343" s="145"/>
      <c r="EL343" s="91" t="str">
        <f t="shared" si="100"/>
        <v>No aplica, no hay meta</v>
      </c>
      <c r="EM343" s="83" t="str">
        <f t="shared" si="101"/>
        <v>No se reportó avance</v>
      </c>
      <c r="EN343" s="86"/>
      <c r="EO343" t="str">
        <f t="shared" si="104"/>
        <v>Gestión</v>
      </c>
      <c r="EP343" t="str">
        <f t="shared" si="105"/>
        <v>5</v>
      </c>
    </row>
    <row r="344" spans="1:146" ht="69.95" customHeight="1">
      <c r="A344" s="84" t="s">
        <v>3048</v>
      </c>
      <c r="B344" s="85" t="s">
        <v>3049</v>
      </c>
      <c r="C344" s="85" t="s">
        <v>3096</v>
      </c>
      <c r="D344" s="85" t="s">
        <v>3051</v>
      </c>
      <c r="E344" s="85" t="s">
        <v>3104</v>
      </c>
      <c r="F344" s="84" t="s">
        <v>201</v>
      </c>
      <c r="G344" s="145" t="s">
        <v>201</v>
      </c>
      <c r="H344" s="145" t="s">
        <v>3053</v>
      </c>
      <c r="I344" s="84" t="s">
        <v>3054</v>
      </c>
      <c r="J344" s="84" t="s">
        <v>3054</v>
      </c>
      <c r="K344" s="84" t="s">
        <v>3055</v>
      </c>
      <c r="L344" s="84">
        <v>1</v>
      </c>
      <c r="M344" s="84" t="s">
        <v>3056</v>
      </c>
      <c r="N344" s="84" t="s">
        <v>3057</v>
      </c>
      <c r="O344" s="84" t="s">
        <v>3077</v>
      </c>
      <c r="P344" s="84" t="s">
        <v>200</v>
      </c>
      <c r="Q344" s="84" t="s">
        <v>275</v>
      </c>
      <c r="R344" s="83">
        <v>0</v>
      </c>
      <c r="S344" s="84" t="s">
        <v>163</v>
      </c>
      <c r="T344" s="90">
        <v>44927</v>
      </c>
      <c r="U344" s="90">
        <v>46387</v>
      </c>
      <c r="V344" s="90"/>
      <c r="W344" s="90"/>
      <c r="X344" s="90"/>
      <c r="Y344" s="90"/>
      <c r="Z344" s="83"/>
      <c r="AA344" s="85"/>
      <c r="AB344" s="85"/>
      <c r="AC344" s="85"/>
      <c r="AD344" s="85"/>
      <c r="AE344" s="83"/>
      <c r="AF344" s="83"/>
      <c r="AG344" s="83"/>
      <c r="AH344" s="83"/>
      <c r="AI344" s="83"/>
      <c r="AJ344" s="83"/>
      <c r="AK344" s="83"/>
      <c r="AL344" s="83"/>
      <c r="AM344" s="83"/>
      <c r="AN344" s="83"/>
      <c r="AO344" s="83"/>
      <c r="AP344" s="83"/>
      <c r="AQ344" s="84"/>
      <c r="AR344" s="84"/>
      <c r="AS344" s="84"/>
      <c r="AT344" s="84"/>
      <c r="AU344" s="84"/>
      <c r="AV344" s="84"/>
      <c r="AW344" s="84"/>
      <c r="AX344" s="84"/>
      <c r="AY344" s="84"/>
      <c r="AZ344" s="86"/>
      <c r="BA344" s="84"/>
      <c r="BB344" s="84"/>
      <c r="BC344" s="84"/>
      <c r="BD344" s="84"/>
      <c r="BE344" s="84"/>
      <c r="BF344" s="84"/>
      <c r="BG344" s="84"/>
      <c r="BH344" s="84"/>
      <c r="BI344" s="84"/>
      <c r="BJ344" s="86"/>
      <c r="BK344" s="84"/>
      <c r="BL344" s="86"/>
      <c r="BM344" s="84"/>
      <c r="BN344" s="86"/>
      <c r="BO344" s="84"/>
      <c r="BP344" s="86"/>
      <c r="BQ344" s="84"/>
      <c r="BR344" s="84"/>
      <c r="BS344" s="84"/>
      <c r="BT344" s="84"/>
      <c r="BU344" s="84"/>
      <c r="BV344" s="84"/>
      <c r="BW344" s="84"/>
      <c r="BX344" s="84"/>
      <c r="BY344" s="84"/>
      <c r="BZ344" s="84"/>
      <c r="CA344" s="84"/>
      <c r="CB344" s="84"/>
      <c r="CC344" s="84"/>
      <c r="CD344" s="84"/>
      <c r="CE344" s="84"/>
      <c r="CF344" s="84"/>
      <c r="CG344" s="372"/>
      <c r="CH344" s="155"/>
      <c r="CI344" s="84"/>
      <c r="CJ344" s="83" t="str">
        <f t="shared" si="102"/>
        <v>No aplica</v>
      </c>
      <c r="CK344" s="83" t="str">
        <f t="shared" si="103"/>
        <v>No aplica</v>
      </c>
      <c r="CL344" s="83" t="str">
        <f t="shared" si="97"/>
        <v>No requiere reporte</v>
      </c>
      <c r="CM344" s="89" t="str">
        <f t="shared" si="98"/>
        <v>No requiere reporte</v>
      </c>
      <c r="CN344" s="89" t="str">
        <f t="shared" si="99"/>
        <v>No requiere reporte</v>
      </c>
      <c r="CO344" s="145" t="s">
        <v>1440</v>
      </c>
      <c r="CP344" s="869" t="s">
        <v>3105</v>
      </c>
      <c r="CQ344" s="145" t="s">
        <v>262</v>
      </c>
      <c r="CR344" s="145" t="s">
        <v>3106</v>
      </c>
      <c r="CS344" s="145" t="s">
        <v>3107</v>
      </c>
      <c r="CT344" s="178" t="s">
        <v>161</v>
      </c>
      <c r="CU344" s="145" t="s">
        <v>233</v>
      </c>
      <c r="CV344" s="145">
        <v>0</v>
      </c>
      <c r="CW344" s="145" t="s">
        <v>234</v>
      </c>
      <c r="CX344" s="663">
        <v>45658</v>
      </c>
      <c r="CY344" s="663">
        <v>46022</v>
      </c>
      <c r="CZ344" s="154">
        <v>0</v>
      </c>
      <c r="DA344" s="154">
        <v>0</v>
      </c>
      <c r="DB344" s="154">
        <v>0</v>
      </c>
      <c r="DC344" s="154">
        <v>3</v>
      </c>
      <c r="DD344" s="154">
        <f>+CZ344+DA344+DB344+DC344</f>
        <v>3</v>
      </c>
      <c r="DE344" s="145" t="s">
        <v>3071</v>
      </c>
      <c r="DF344" s="145" t="s">
        <v>3108</v>
      </c>
      <c r="DG344" s="145" t="s">
        <v>3109</v>
      </c>
      <c r="DH344" s="466">
        <v>400000000</v>
      </c>
      <c r="DI344" s="145" t="s">
        <v>1022</v>
      </c>
      <c r="DJ344" s="145" t="s">
        <v>480</v>
      </c>
      <c r="DK344" s="145" t="s">
        <v>3074</v>
      </c>
      <c r="DL344" s="145" t="s">
        <v>2708</v>
      </c>
      <c r="DM344" s="145" t="s">
        <v>3075</v>
      </c>
      <c r="DN344" s="145"/>
      <c r="DO344" s="677"/>
      <c r="DP344" s="145"/>
      <c r="DQ344" s="677"/>
      <c r="DR344" s="677"/>
      <c r="DS344" s="145"/>
      <c r="DT344" s="677"/>
      <c r="DU344" s="145"/>
      <c r="DV344" s="677"/>
      <c r="DW344" s="677"/>
      <c r="DX344" s="145"/>
      <c r="DY344" s="145"/>
      <c r="DZ344" s="145"/>
      <c r="EA344" s="145"/>
      <c r="EB344" s="145"/>
      <c r="EC344" s="145"/>
      <c r="ED344" s="145"/>
      <c r="EE344" s="145"/>
      <c r="EF344" s="145"/>
      <c r="EG344" s="145"/>
      <c r="EH344" s="145"/>
      <c r="EI344" s="145"/>
      <c r="EJ344" s="145"/>
      <c r="EK344" s="145"/>
      <c r="EL344" s="91" t="str">
        <f t="shared" si="100"/>
        <v>No aplica, no hay meta</v>
      </c>
      <c r="EM344" s="83" t="str">
        <f t="shared" si="101"/>
        <v>No se reportó avance</v>
      </c>
      <c r="EN344" s="86"/>
      <c r="EO344" t="str">
        <f t="shared" si="104"/>
        <v>Gestión</v>
      </c>
      <c r="EP344" t="str">
        <f t="shared" si="105"/>
        <v>5</v>
      </c>
    </row>
    <row r="345" spans="1:146" ht="69.95" customHeight="1">
      <c r="A345" s="74" t="s">
        <v>3048</v>
      </c>
      <c r="B345" s="74" t="s">
        <v>3049</v>
      </c>
      <c r="C345" s="75" t="s">
        <v>3096</v>
      </c>
      <c r="D345" s="75" t="s">
        <v>3110</v>
      </c>
      <c r="E345" s="75" t="s">
        <v>3111</v>
      </c>
      <c r="F345" s="74" t="s">
        <v>201</v>
      </c>
      <c r="G345" s="502" t="s">
        <v>201</v>
      </c>
      <c r="H345" s="502" t="s">
        <v>3112</v>
      </c>
      <c r="I345" s="74" t="s">
        <v>3054</v>
      </c>
      <c r="J345" s="74" t="s">
        <v>3054</v>
      </c>
      <c r="K345" s="74" t="s">
        <v>3113</v>
      </c>
      <c r="L345" s="78">
        <v>2</v>
      </c>
      <c r="M345" s="78" t="s">
        <v>3114</v>
      </c>
      <c r="N345" s="78" t="s">
        <v>3115</v>
      </c>
      <c r="O345" s="78" t="s">
        <v>3116</v>
      </c>
      <c r="P345" s="78" t="s">
        <v>200</v>
      </c>
      <c r="Q345" s="78" t="s">
        <v>275</v>
      </c>
      <c r="R345" s="82">
        <v>0</v>
      </c>
      <c r="S345" s="78" t="s">
        <v>163</v>
      </c>
      <c r="T345" s="80">
        <v>44927</v>
      </c>
      <c r="U345" s="80">
        <v>46387</v>
      </c>
      <c r="V345" s="121">
        <v>0.15789473684210525</v>
      </c>
      <c r="W345" s="121">
        <v>0.5</v>
      </c>
      <c r="X345" s="121">
        <v>0.84210526315789469</v>
      </c>
      <c r="Y345" s="121">
        <v>1</v>
      </c>
      <c r="Z345" s="82">
        <v>1</v>
      </c>
      <c r="AA345" s="121">
        <v>0.15789473684210525</v>
      </c>
      <c r="AB345" s="121">
        <v>0.5</v>
      </c>
      <c r="AC345" s="121">
        <v>0.84210526315789469</v>
      </c>
      <c r="AD345" s="121">
        <v>1</v>
      </c>
      <c r="AE345" s="82">
        <v>1</v>
      </c>
      <c r="AF345" s="82">
        <v>0.04</v>
      </c>
      <c r="AG345" s="82">
        <v>0.33</v>
      </c>
      <c r="AH345" s="82">
        <v>0.67</v>
      </c>
      <c r="AI345" s="82">
        <v>1</v>
      </c>
      <c r="AJ345" s="82">
        <v>1</v>
      </c>
      <c r="AK345" s="289">
        <v>1</v>
      </c>
      <c r="AL345" s="289">
        <v>1</v>
      </c>
      <c r="AM345" s="289">
        <v>1</v>
      </c>
      <c r="AN345" s="289">
        <v>1</v>
      </c>
      <c r="AO345" s="82">
        <v>1</v>
      </c>
      <c r="AP345" s="82">
        <v>1</v>
      </c>
      <c r="AQ345" s="84"/>
      <c r="AR345" s="84"/>
      <c r="AS345" s="84"/>
      <c r="AT345" s="84"/>
      <c r="AU345" s="84"/>
      <c r="AV345" s="84"/>
      <c r="AW345" s="84"/>
      <c r="AX345" s="84"/>
      <c r="AY345" s="85">
        <v>1</v>
      </c>
      <c r="AZ345" s="86" t="s">
        <v>3117</v>
      </c>
      <c r="BA345" s="83">
        <v>0.15789473684210525</v>
      </c>
      <c r="BB345" s="84" t="s">
        <v>3118</v>
      </c>
      <c r="BC345" s="83">
        <f>(3/3)*AF345</f>
        <v>0.04</v>
      </c>
      <c r="BD345" s="84" t="s">
        <v>3119</v>
      </c>
      <c r="BE345" s="83">
        <f>2/9</f>
        <v>0.22222222222222221</v>
      </c>
      <c r="BF345" s="84" t="s">
        <v>3120</v>
      </c>
      <c r="BG345" s="84">
        <v>0</v>
      </c>
      <c r="BH345" s="84" t="s">
        <v>3121</v>
      </c>
      <c r="BI345" s="85">
        <v>0.44</v>
      </c>
      <c r="BJ345" s="86" t="s">
        <v>3122</v>
      </c>
      <c r="BK345" s="83">
        <f>1/10</f>
        <v>0.1</v>
      </c>
      <c r="BL345" s="86" t="s">
        <v>3123</v>
      </c>
      <c r="BM345" s="83">
        <f>(5/5)*AG345</f>
        <v>0.33</v>
      </c>
      <c r="BN345" s="86" t="s">
        <v>3124</v>
      </c>
      <c r="BO345" s="146">
        <f>(5/5)*AH345</f>
        <v>0.67</v>
      </c>
      <c r="BP345" s="677" t="s">
        <v>3125</v>
      </c>
      <c r="BQ345" s="84"/>
      <c r="BR345" s="84"/>
      <c r="BS345" s="146">
        <f>+(BK345+BM345+BO345)/3</f>
        <v>0.3666666666666667</v>
      </c>
      <c r="BT345" s="84"/>
      <c r="BU345" s="84"/>
      <c r="BV345" s="84"/>
      <c r="BW345" s="84"/>
      <c r="BX345" s="84"/>
      <c r="BY345" s="84"/>
      <c r="BZ345" s="84"/>
      <c r="CA345" s="84"/>
      <c r="CB345" s="84"/>
      <c r="CC345" s="85"/>
      <c r="CD345" s="84"/>
      <c r="CE345" s="146">
        <f>+(AY345+BI345+BS345)/3</f>
        <v>0.60222222222222221</v>
      </c>
      <c r="CF345" s="84"/>
      <c r="CG345" s="497">
        <f>SUM(DH345:DH350)</f>
        <v>6648000000</v>
      </c>
      <c r="CH345" s="465"/>
      <c r="CI345" s="465"/>
      <c r="CJ345" s="83">
        <f t="shared" si="102"/>
        <v>0</v>
      </c>
      <c r="CK345" s="83">
        <f t="shared" si="103"/>
        <v>0</v>
      </c>
      <c r="CL345" s="83" t="str">
        <f t="shared" si="97"/>
        <v>No se reportó avance</v>
      </c>
      <c r="CM345" s="89" t="str">
        <f t="shared" si="98"/>
        <v>No se reportó avance</v>
      </c>
      <c r="CN345" s="89">
        <f t="shared" si="99"/>
        <v>0.60222222222222221</v>
      </c>
      <c r="CO345" s="145" t="s">
        <v>225</v>
      </c>
      <c r="CP345" s="145" t="s">
        <v>3126</v>
      </c>
      <c r="CQ345" s="178" t="s">
        <v>3127</v>
      </c>
      <c r="CR345" s="178" t="s">
        <v>3128</v>
      </c>
      <c r="CS345" s="178" t="s">
        <v>3129</v>
      </c>
      <c r="CT345" s="178" t="s">
        <v>161</v>
      </c>
      <c r="CU345" s="145" t="s">
        <v>233</v>
      </c>
      <c r="CV345" s="707">
        <v>10</v>
      </c>
      <c r="CW345" s="741" t="s">
        <v>234</v>
      </c>
      <c r="CX345" s="663">
        <v>46023</v>
      </c>
      <c r="CY345" s="663">
        <v>46387</v>
      </c>
      <c r="CZ345" s="707">
        <v>0</v>
      </c>
      <c r="DA345" s="707">
        <v>4</v>
      </c>
      <c r="DB345" s="707">
        <v>6</v>
      </c>
      <c r="DC345" s="707">
        <v>6</v>
      </c>
      <c r="DD345" s="707">
        <f>CZ345+DA345+DB345+DC345</f>
        <v>16</v>
      </c>
      <c r="DE345" s="178" t="s">
        <v>761</v>
      </c>
      <c r="DF345" s="178" t="s">
        <v>3130</v>
      </c>
      <c r="DG345" s="178" t="s">
        <v>3131</v>
      </c>
      <c r="DH345" s="466">
        <v>875500000</v>
      </c>
      <c r="DI345" s="145" t="s">
        <v>1022</v>
      </c>
      <c r="DJ345" s="145" t="s">
        <v>480</v>
      </c>
      <c r="DK345" s="145" t="s">
        <v>3074</v>
      </c>
      <c r="DL345" s="145" t="s">
        <v>2708</v>
      </c>
      <c r="DM345" s="145" t="s">
        <v>3132</v>
      </c>
      <c r="DN345" s="145"/>
      <c r="DO345" s="677"/>
      <c r="DP345" s="145"/>
      <c r="DQ345" s="677"/>
      <c r="DR345" s="677"/>
      <c r="DS345" s="145"/>
      <c r="DT345" s="677"/>
      <c r="DU345" s="145"/>
      <c r="DV345" s="677"/>
      <c r="DW345" s="677"/>
      <c r="DX345" s="145"/>
      <c r="DY345" s="677"/>
      <c r="DZ345" s="145"/>
      <c r="EA345" s="677"/>
      <c r="EB345" s="677"/>
      <c r="EC345" s="145"/>
      <c r="ED345" s="145"/>
      <c r="EE345" s="145"/>
      <c r="EF345" s="145"/>
      <c r="EG345" s="145"/>
      <c r="EH345" s="145"/>
      <c r="EI345" s="145"/>
      <c r="EJ345" s="145"/>
      <c r="EK345" s="145"/>
      <c r="EL345" s="91" t="str">
        <f t="shared" si="100"/>
        <v>No aplica, no hay meta</v>
      </c>
      <c r="EM345" s="83" t="str">
        <f t="shared" si="101"/>
        <v>No se reportó avance</v>
      </c>
      <c r="EN345" s="153"/>
      <c r="EO345" t="str">
        <f t="shared" si="104"/>
        <v>Gestión</v>
      </c>
      <c r="EP345" t="str">
        <f t="shared" si="105"/>
        <v>5</v>
      </c>
    </row>
    <row r="346" spans="1:146" ht="69.95" customHeight="1">
      <c r="A346" s="84" t="s">
        <v>3048</v>
      </c>
      <c r="B346" s="85" t="s">
        <v>3049</v>
      </c>
      <c r="C346" s="85" t="s">
        <v>3133</v>
      </c>
      <c r="D346" s="85" t="s">
        <v>3110</v>
      </c>
      <c r="E346" s="85" t="s">
        <v>3111</v>
      </c>
      <c r="F346" s="84" t="s">
        <v>201</v>
      </c>
      <c r="G346" s="145" t="s">
        <v>201</v>
      </c>
      <c r="H346" s="145" t="s">
        <v>3134</v>
      </c>
      <c r="I346" s="84" t="s">
        <v>3054</v>
      </c>
      <c r="J346" s="84" t="s">
        <v>3054</v>
      </c>
      <c r="K346" s="84" t="s">
        <v>3113</v>
      </c>
      <c r="L346" s="84">
        <v>2</v>
      </c>
      <c r="M346" s="84" t="s">
        <v>3135</v>
      </c>
      <c r="N346" s="84" t="s">
        <v>3115</v>
      </c>
      <c r="O346" s="84" t="s">
        <v>3116</v>
      </c>
      <c r="P346" s="84" t="s">
        <v>200</v>
      </c>
      <c r="Q346" s="84" t="s">
        <v>275</v>
      </c>
      <c r="R346" s="83">
        <v>0</v>
      </c>
      <c r="S346" s="84" t="s">
        <v>163</v>
      </c>
      <c r="T346" s="90">
        <v>44927</v>
      </c>
      <c r="U346" s="90">
        <v>46387</v>
      </c>
      <c r="V346" s="83"/>
      <c r="W346" s="83"/>
      <c r="X346" s="83"/>
      <c r="Y346" s="83"/>
      <c r="Z346" s="83"/>
      <c r="AA346" s="83"/>
      <c r="AB346" s="83"/>
      <c r="AC346" s="83"/>
      <c r="AD346" s="83"/>
      <c r="AE346" s="83"/>
      <c r="AF346" s="83"/>
      <c r="AG346" s="83"/>
      <c r="AH346" s="83"/>
      <c r="AI346" s="83"/>
      <c r="AJ346" s="83"/>
      <c r="AK346" s="83"/>
      <c r="AL346" s="83"/>
      <c r="AM346" s="83"/>
      <c r="AN346" s="83"/>
      <c r="AO346" s="83"/>
      <c r="AP346" s="83"/>
      <c r="AQ346" s="84"/>
      <c r="AR346" s="84"/>
      <c r="AS346" s="84"/>
      <c r="AT346" s="84"/>
      <c r="AU346" s="84"/>
      <c r="AV346" s="84"/>
      <c r="AW346" s="84"/>
      <c r="AX346" s="84"/>
      <c r="AY346" s="84"/>
      <c r="AZ346" s="86"/>
      <c r="BA346" s="84"/>
      <c r="BB346" s="84"/>
      <c r="BC346" s="84"/>
      <c r="BD346" s="84"/>
      <c r="BE346" s="84"/>
      <c r="BF346" s="84"/>
      <c r="BG346" s="84"/>
      <c r="BH346" s="84"/>
      <c r="BI346" s="84"/>
      <c r="BJ346" s="86"/>
      <c r="BK346" s="84"/>
      <c r="BL346" s="86"/>
      <c r="BM346" s="84"/>
      <c r="BN346" s="86"/>
      <c r="BO346" s="84"/>
      <c r="BP346" s="86"/>
      <c r="BQ346" s="84"/>
      <c r="BR346" s="84"/>
      <c r="BS346" s="84"/>
      <c r="BT346" s="84"/>
      <c r="BU346" s="84"/>
      <c r="BV346" s="84"/>
      <c r="BW346" s="84"/>
      <c r="BX346" s="84"/>
      <c r="BY346" s="84"/>
      <c r="BZ346" s="84"/>
      <c r="CA346" s="84"/>
      <c r="CB346" s="84"/>
      <c r="CC346" s="84"/>
      <c r="CD346" s="84"/>
      <c r="CE346" s="84"/>
      <c r="CF346" s="84"/>
      <c r="CG346" s="372"/>
      <c r="CH346" s="155"/>
      <c r="CI346" s="84"/>
      <c r="CJ346" s="83" t="str">
        <f t="shared" si="102"/>
        <v>No aplica</v>
      </c>
      <c r="CK346" s="83" t="str">
        <f t="shared" si="103"/>
        <v>No aplica</v>
      </c>
      <c r="CL346" s="83" t="str">
        <f t="shared" si="97"/>
        <v>No aplica, no hay meta</v>
      </c>
      <c r="CM346" s="89" t="str">
        <f t="shared" si="98"/>
        <v>No aplica, no hay meta</v>
      </c>
      <c r="CN346" s="89" t="str">
        <f t="shared" si="99"/>
        <v>No aplica, no hay meta</v>
      </c>
      <c r="CO346" s="145" t="s">
        <v>313</v>
      </c>
      <c r="CP346" s="145" t="s">
        <v>3136</v>
      </c>
      <c r="CQ346" s="178" t="s">
        <v>3127</v>
      </c>
      <c r="CR346" s="178" t="s">
        <v>3137</v>
      </c>
      <c r="CS346" s="178" t="s">
        <v>3138</v>
      </c>
      <c r="CT346" s="178" t="s">
        <v>161</v>
      </c>
      <c r="CU346" s="145" t="s">
        <v>233</v>
      </c>
      <c r="CV346" s="707">
        <v>5</v>
      </c>
      <c r="CW346" s="741" t="s">
        <v>234</v>
      </c>
      <c r="CX346" s="663">
        <v>46023</v>
      </c>
      <c r="CY346" s="663">
        <v>46387</v>
      </c>
      <c r="CZ346" s="707">
        <v>0</v>
      </c>
      <c r="DA346" s="707">
        <f>1+1+3</f>
        <v>5</v>
      </c>
      <c r="DB346" s="707">
        <f>2+4+1+4</f>
        <v>11</v>
      </c>
      <c r="DC346" s="707">
        <f>2+4+4</f>
        <v>10</v>
      </c>
      <c r="DD346" s="154">
        <f>+CZ346+DA346+DB346+DC346</f>
        <v>26</v>
      </c>
      <c r="DE346" s="178" t="s">
        <v>761</v>
      </c>
      <c r="DF346" s="178" t="s">
        <v>3130</v>
      </c>
      <c r="DG346" s="178" t="s">
        <v>3131</v>
      </c>
      <c r="DH346" s="466">
        <v>1957000000</v>
      </c>
      <c r="DI346" s="145" t="s">
        <v>1022</v>
      </c>
      <c r="DJ346" s="145" t="s">
        <v>480</v>
      </c>
      <c r="DK346" s="145" t="s">
        <v>3074</v>
      </c>
      <c r="DL346" s="145" t="s">
        <v>2708</v>
      </c>
      <c r="DM346" s="145" t="s">
        <v>3132</v>
      </c>
      <c r="DN346" s="145"/>
      <c r="DO346" s="677"/>
      <c r="DP346" s="145"/>
      <c r="DQ346" s="677"/>
      <c r="DR346" s="677"/>
      <c r="DS346" s="145"/>
      <c r="DT346" s="677"/>
      <c r="DU346" s="145"/>
      <c r="DV346" s="677"/>
      <c r="DW346" s="677"/>
      <c r="DX346" s="145"/>
      <c r="DY346" s="677"/>
      <c r="DZ346" s="145"/>
      <c r="EA346" s="677"/>
      <c r="EB346" s="677"/>
      <c r="EC346" s="145"/>
      <c r="ED346" s="145"/>
      <c r="EE346" s="145"/>
      <c r="EF346" s="145"/>
      <c r="EG346" s="145"/>
      <c r="EH346" s="145"/>
      <c r="EI346" s="145"/>
      <c r="EJ346" s="145"/>
      <c r="EK346" s="145"/>
      <c r="EL346" s="91" t="str">
        <f t="shared" si="100"/>
        <v>No aplica, no hay meta</v>
      </c>
      <c r="EM346" s="83" t="str">
        <f t="shared" si="101"/>
        <v>No se reportó avance</v>
      </c>
      <c r="EN346" s="86"/>
      <c r="EO346" t="str">
        <f t="shared" si="104"/>
        <v>Gestión</v>
      </c>
      <c r="EP346" t="str">
        <f t="shared" si="105"/>
        <v>5</v>
      </c>
    </row>
    <row r="347" spans="1:146" ht="69.95" customHeight="1">
      <c r="A347" s="84" t="s">
        <v>3048</v>
      </c>
      <c r="B347" s="85" t="s">
        <v>3049</v>
      </c>
      <c r="C347" s="85" t="s">
        <v>3096</v>
      </c>
      <c r="D347" s="85" t="s">
        <v>3110</v>
      </c>
      <c r="E347" s="85" t="s">
        <v>3111</v>
      </c>
      <c r="F347" s="84" t="s">
        <v>201</v>
      </c>
      <c r="G347" s="145" t="s">
        <v>201</v>
      </c>
      <c r="H347" s="145" t="s">
        <v>3139</v>
      </c>
      <c r="I347" s="84" t="s">
        <v>3054</v>
      </c>
      <c r="J347" s="84" t="s">
        <v>3054</v>
      </c>
      <c r="K347" s="84" t="s">
        <v>3113</v>
      </c>
      <c r="L347" s="84">
        <v>2</v>
      </c>
      <c r="M347" s="84" t="s">
        <v>3135</v>
      </c>
      <c r="N347" s="84" t="s">
        <v>3115</v>
      </c>
      <c r="O347" s="84" t="s">
        <v>3116</v>
      </c>
      <c r="P347" s="84" t="s">
        <v>200</v>
      </c>
      <c r="Q347" s="84" t="s">
        <v>275</v>
      </c>
      <c r="R347" s="83">
        <v>0</v>
      </c>
      <c r="S347" s="84" t="s">
        <v>163</v>
      </c>
      <c r="T347" s="90">
        <v>44927</v>
      </c>
      <c r="U347" s="90">
        <v>46387</v>
      </c>
      <c r="V347" s="83"/>
      <c r="W347" s="83"/>
      <c r="X347" s="83"/>
      <c r="Y347" s="83"/>
      <c r="Z347" s="83"/>
      <c r="AA347" s="83"/>
      <c r="AB347" s="83"/>
      <c r="AC347" s="83"/>
      <c r="AD347" s="83"/>
      <c r="AE347" s="83"/>
      <c r="AF347" s="83"/>
      <c r="AG347" s="83"/>
      <c r="AH347" s="83"/>
      <c r="AI347" s="83"/>
      <c r="AJ347" s="83"/>
      <c r="AK347" s="83"/>
      <c r="AL347" s="83"/>
      <c r="AM347" s="83"/>
      <c r="AN347" s="83"/>
      <c r="AO347" s="83"/>
      <c r="AP347" s="83"/>
      <c r="AQ347" s="84"/>
      <c r="AR347" s="84"/>
      <c r="AS347" s="84"/>
      <c r="AT347" s="84"/>
      <c r="AU347" s="84"/>
      <c r="AV347" s="84"/>
      <c r="AW347" s="84"/>
      <c r="AX347" s="84"/>
      <c r="AY347" s="84"/>
      <c r="AZ347" s="86"/>
      <c r="BA347" s="84"/>
      <c r="BB347" s="84"/>
      <c r="BC347" s="84"/>
      <c r="BD347" s="84"/>
      <c r="BE347" s="84"/>
      <c r="BF347" s="84"/>
      <c r="BG347" s="84"/>
      <c r="BH347" s="84"/>
      <c r="BI347" s="84"/>
      <c r="BJ347" s="86"/>
      <c r="BK347" s="84"/>
      <c r="BL347" s="86"/>
      <c r="BM347" s="84"/>
      <c r="BN347" s="86"/>
      <c r="BO347" s="84"/>
      <c r="BP347" s="86"/>
      <c r="BQ347" s="84"/>
      <c r="BR347" s="84"/>
      <c r="BS347" s="84"/>
      <c r="BT347" s="84"/>
      <c r="BU347" s="84"/>
      <c r="BV347" s="84"/>
      <c r="BW347" s="84"/>
      <c r="BX347" s="84"/>
      <c r="BY347" s="84"/>
      <c r="BZ347" s="84"/>
      <c r="CA347" s="84"/>
      <c r="CB347" s="84"/>
      <c r="CC347" s="84"/>
      <c r="CD347" s="84"/>
      <c r="CE347" s="84"/>
      <c r="CF347" s="84"/>
      <c r="CG347" s="372"/>
      <c r="CH347" s="155"/>
      <c r="CI347" s="84"/>
      <c r="CJ347" s="83" t="str">
        <f t="shared" si="102"/>
        <v>No aplica</v>
      </c>
      <c r="CK347" s="83" t="str">
        <f t="shared" si="103"/>
        <v>No aplica</v>
      </c>
      <c r="CL347" s="83" t="str">
        <f t="shared" si="97"/>
        <v>No requiere reporte</v>
      </c>
      <c r="CM347" s="89" t="str">
        <f t="shared" si="98"/>
        <v>No requiere reporte</v>
      </c>
      <c r="CN347" s="89" t="str">
        <f t="shared" si="99"/>
        <v>No requiere reporte</v>
      </c>
      <c r="CO347" s="145" t="s">
        <v>318</v>
      </c>
      <c r="CP347" s="869" t="s">
        <v>3140</v>
      </c>
      <c r="CQ347" s="178" t="s">
        <v>262</v>
      </c>
      <c r="CR347" s="869" t="s">
        <v>3141</v>
      </c>
      <c r="CS347" s="178" t="s">
        <v>3142</v>
      </c>
      <c r="CT347" s="178" t="s">
        <v>161</v>
      </c>
      <c r="CU347" s="741" t="s">
        <v>233</v>
      </c>
      <c r="CV347" s="707">
        <v>10</v>
      </c>
      <c r="CW347" s="178" t="s">
        <v>234</v>
      </c>
      <c r="CX347" s="663">
        <v>46023</v>
      </c>
      <c r="CY347" s="663">
        <v>46387</v>
      </c>
      <c r="CZ347" s="154">
        <v>0</v>
      </c>
      <c r="DA347" s="154">
        <v>5</v>
      </c>
      <c r="DB347" s="154">
        <v>10</v>
      </c>
      <c r="DC347" s="154">
        <v>10</v>
      </c>
      <c r="DD347" s="154">
        <f>+CZ347+DA347+DB347+DC347</f>
        <v>25</v>
      </c>
      <c r="DE347" s="178" t="s">
        <v>761</v>
      </c>
      <c r="DF347" s="178" t="s">
        <v>3130</v>
      </c>
      <c r="DG347" s="178" t="s">
        <v>3131</v>
      </c>
      <c r="DH347" s="466">
        <v>824000000</v>
      </c>
      <c r="DI347" s="145" t="s">
        <v>1022</v>
      </c>
      <c r="DJ347" s="145" t="s">
        <v>480</v>
      </c>
      <c r="DK347" s="145" t="s">
        <v>3074</v>
      </c>
      <c r="DL347" s="145" t="s">
        <v>2708</v>
      </c>
      <c r="DM347" s="145" t="s">
        <v>3132</v>
      </c>
      <c r="DN347" s="145"/>
      <c r="DO347" s="677"/>
      <c r="DP347" s="145"/>
      <c r="DQ347" s="677"/>
      <c r="DR347" s="677"/>
      <c r="DS347" s="145"/>
      <c r="DT347" s="734"/>
      <c r="DU347" s="145"/>
      <c r="DV347" s="677"/>
      <c r="DW347" s="677"/>
      <c r="DX347" s="145"/>
      <c r="DY347" s="734"/>
      <c r="DZ347" s="145"/>
      <c r="EA347" s="677"/>
      <c r="EB347" s="677"/>
      <c r="EC347" s="145"/>
      <c r="ED347" s="145"/>
      <c r="EE347" s="145"/>
      <c r="EF347" s="145"/>
      <c r="EG347" s="145"/>
      <c r="EH347" s="145"/>
      <c r="EI347" s="145"/>
      <c r="EJ347" s="145"/>
      <c r="EK347" s="145"/>
      <c r="EL347" s="91" t="str">
        <f t="shared" si="100"/>
        <v>No aplica, no hay meta</v>
      </c>
      <c r="EM347" s="83" t="str">
        <f t="shared" si="101"/>
        <v>No se reportó avance</v>
      </c>
      <c r="EN347" s="86"/>
      <c r="EO347" t="str">
        <f t="shared" si="104"/>
        <v>Gestión</v>
      </c>
      <c r="EP347" t="str">
        <f t="shared" si="105"/>
        <v>5</v>
      </c>
    </row>
    <row r="348" spans="1:146" ht="69.95" customHeight="1">
      <c r="A348" s="84" t="s">
        <v>3048</v>
      </c>
      <c r="B348" s="85" t="s">
        <v>3049</v>
      </c>
      <c r="C348" s="85" t="s">
        <v>3096</v>
      </c>
      <c r="D348" s="85" t="s">
        <v>3110</v>
      </c>
      <c r="E348" s="85" t="s">
        <v>3111</v>
      </c>
      <c r="F348" s="84" t="s">
        <v>201</v>
      </c>
      <c r="G348" s="145" t="s">
        <v>201</v>
      </c>
      <c r="H348" s="145" t="s">
        <v>3112</v>
      </c>
      <c r="I348" s="84" t="s">
        <v>3054</v>
      </c>
      <c r="J348" s="84" t="s">
        <v>3054</v>
      </c>
      <c r="K348" s="84" t="s">
        <v>3113</v>
      </c>
      <c r="L348" s="84">
        <v>2</v>
      </c>
      <c r="M348" s="84" t="s">
        <v>3135</v>
      </c>
      <c r="N348" s="84" t="s">
        <v>3115</v>
      </c>
      <c r="O348" s="84" t="s">
        <v>3116</v>
      </c>
      <c r="P348" s="84" t="s">
        <v>200</v>
      </c>
      <c r="Q348" s="84" t="s">
        <v>275</v>
      </c>
      <c r="R348" s="83">
        <v>0</v>
      </c>
      <c r="S348" s="84" t="s">
        <v>163</v>
      </c>
      <c r="T348" s="90">
        <v>44927</v>
      </c>
      <c r="U348" s="90">
        <v>46387</v>
      </c>
      <c r="V348" s="83"/>
      <c r="W348" s="83"/>
      <c r="X348" s="83"/>
      <c r="Y348" s="83"/>
      <c r="Z348" s="83"/>
      <c r="AA348" s="83"/>
      <c r="AB348" s="83"/>
      <c r="AC348" s="83"/>
      <c r="AD348" s="83"/>
      <c r="AE348" s="83"/>
      <c r="AF348" s="83"/>
      <c r="AG348" s="83"/>
      <c r="AH348" s="83"/>
      <c r="AI348" s="83"/>
      <c r="AJ348" s="83"/>
      <c r="AK348" s="83"/>
      <c r="AL348" s="83"/>
      <c r="AM348" s="83"/>
      <c r="AN348" s="83"/>
      <c r="AO348" s="83"/>
      <c r="AP348" s="83"/>
      <c r="AQ348" s="84"/>
      <c r="AR348" s="84"/>
      <c r="AS348" s="84"/>
      <c r="AT348" s="84"/>
      <c r="AU348" s="84"/>
      <c r="AV348" s="84"/>
      <c r="AW348" s="84"/>
      <c r="AX348" s="84"/>
      <c r="AY348" s="84"/>
      <c r="AZ348" s="86"/>
      <c r="BA348" s="84"/>
      <c r="BB348" s="84"/>
      <c r="BC348" s="84"/>
      <c r="BD348" s="84"/>
      <c r="BE348" s="84"/>
      <c r="BF348" s="84"/>
      <c r="BG348" s="84"/>
      <c r="BH348" s="84"/>
      <c r="BI348" s="84"/>
      <c r="BJ348" s="86"/>
      <c r="BK348" s="84"/>
      <c r="BL348" s="86"/>
      <c r="BM348" s="84"/>
      <c r="BN348" s="86"/>
      <c r="BO348" s="84"/>
      <c r="BP348" s="86"/>
      <c r="BQ348" s="84"/>
      <c r="BR348" s="84"/>
      <c r="BS348" s="84"/>
      <c r="BT348" s="84"/>
      <c r="BU348" s="84"/>
      <c r="BV348" s="84"/>
      <c r="BW348" s="84"/>
      <c r="BX348" s="84"/>
      <c r="BY348" s="84"/>
      <c r="BZ348" s="84"/>
      <c r="CA348" s="84"/>
      <c r="CB348" s="84"/>
      <c r="CC348" s="84"/>
      <c r="CD348" s="84"/>
      <c r="CE348" s="84"/>
      <c r="CF348" s="84"/>
      <c r="CG348" s="372"/>
      <c r="CH348" s="155"/>
      <c r="CI348" s="84"/>
      <c r="CJ348" s="83" t="str">
        <f t="shared" si="102"/>
        <v>No aplica</v>
      </c>
      <c r="CK348" s="83" t="str">
        <f t="shared" si="103"/>
        <v>No aplica</v>
      </c>
      <c r="CL348" s="83" t="str">
        <f t="shared" si="97"/>
        <v>No requiere reporte</v>
      </c>
      <c r="CM348" s="89" t="str">
        <f t="shared" si="98"/>
        <v>No requiere reporte</v>
      </c>
      <c r="CN348" s="89" t="str">
        <f t="shared" si="99"/>
        <v>No requiere reporte</v>
      </c>
      <c r="CO348" s="145" t="s">
        <v>322</v>
      </c>
      <c r="CP348" s="145" t="s">
        <v>3143</v>
      </c>
      <c r="CQ348" s="145" t="s">
        <v>262</v>
      </c>
      <c r="CR348" s="145" t="s">
        <v>3144</v>
      </c>
      <c r="CS348" s="145" t="s">
        <v>3144</v>
      </c>
      <c r="CT348" s="178" t="s">
        <v>161</v>
      </c>
      <c r="CU348" s="741" t="s">
        <v>233</v>
      </c>
      <c r="CV348" s="145">
        <v>1</v>
      </c>
      <c r="CW348" s="178" t="s">
        <v>234</v>
      </c>
      <c r="CX348" s="663">
        <v>46023</v>
      </c>
      <c r="CY348" s="663">
        <v>46387</v>
      </c>
      <c r="CZ348" s="154">
        <v>0</v>
      </c>
      <c r="DA348" s="154">
        <v>0</v>
      </c>
      <c r="DB348" s="154">
        <v>0</v>
      </c>
      <c r="DC348" s="154">
        <v>1</v>
      </c>
      <c r="DD348" s="154">
        <v>1</v>
      </c>
      <c r="DE348" s="154" t="s">
        <v>761</v>
      </c>
      <c r="DF348" s="154" t="s">
        <v>3130</v>
      </c>
      <c r="DG348" s="154" t="s">
        <v>3131</v>
      </c>
      <c r="DH348" s="466">
        <v>257500000</v>
      </c>
      <c r="DI348" s="145" t="s">
        <v>1022</v>
      </c>
      <c r="DJ348" s="145" t="s">
        <v>480</v>
      </c>
      <c r="DK348" s="145" t="s">
        <v>3074</v>
      </c>
      <c r="DL348" s="145" t="s">
        <v>2708</v>
      </c>
      <c r="DM348" s="145" t="s">
        <v>3132</v>
      </c>
      <c r="DN348" s="145"/>
      <c r="DO348" s="677"/>
      <c r="DP348" s="145"/>
      <c r="DQ348" s="677"/>
      <c r="DR348" s="677"/>
      <c r="DS348" s="145"/>
      <c r="DT348" s="677"/>
      <c r="DU348" s="145"/>
      <c r="DV348" s="677"/>
      <c r="DW348" s="677"/>
      <c r="DX348" s="145"/>
      <c r="DY348" s="145"/>
      <c r="DZ348" s="145"/>
      <c r="EA348" s="145"/>
      <c r="EB348" s="145"/>
      <c r="EC348" s="145"/>
      <c r="ED348" s="145"/>
      <c r="EE348" s="145"/>
      <c r="EF348" s="145"/>
      <c r="EG348" s="145"/>
      <c r="EH348" s="145"/>
      <c r="EI348" s="145"/>
      <c r="EJ348" s="145"/>
      <c r="EK348" s="145"/>
      <c r="EL348" s="91" t="str">
        <f t="shared" si="100"/>
        <v>No aplica, no hay meta</v>
      </c>
      <c r="EM348" s="83" t="str">
        <f t="shared" si="101"/>
        <v>No se reportó avance</v>
      </c>
      <c r="EN348" s="86"/>
      <c r="EO348" t="str">
        <f t="shared" si="104"/>
        <v>Gestión</v>
      </c>
      <c r="EP348" t="str">
        <f t="shared" si="105"/>
        <v>5</v>
      </c>
    </row>
    <row r="349" spans="1:146" ht="69.95" customHeight="1">
      <c r="A349" s="84" t="s">
        <v>3048</v>
      </c>
      <c r="B349" s="85" t="s">
        <v>3049</v>
      </c>
      <c r="C349" s="85" t="s">
        <v>3145</v>
      </c>
      <c r="D349" s="85" t="s">
        <v>3110</v>
      </c>
      <c r="E349" s="85" t="s">
        <v>3111</v>
      </c>
      <c r="F349" s="84" t="s">
        <v>201</v>
      </c>
      <c r="G349" s="145" t="s">
        <v>201</v>
      </c>
      <c r="H349" s="145" t="s">
        <v>3112</v>
      </c>
      <c r="I349" s="84" t="s">
        <v>3054</v>
      </c>
      <c r="J349" s="84" t="s">
        <v>3054</v>
      </c>
      <c r="K349" s="84" t="s">
        <v>3113</v>
      </c>
      <c r="L349" s="84">
        <v>2</v>
      </c>
      <c r="M349" s="84" t="s">
        <v>3135</v>
      </c>
      <c r="N349" s="84" t="s">
        <v>3115</v>
      </c>
      <c r="O349" s="84" t="s">
        <v>3116</v>
      </c>
      <c r="P349" s="84" t="s">
        <v>200</v>
      </c>
      <c r="Q349" s="84" t="s">
        <v>275</v>
      </c>
      <c r="R349" s="83">
        <v>0</v>
      </c>
      <c r="S349" s="84" t="s">
        <v>163</v>
      </c>
      <c r="T349" s="90">
        <v>44927</v>
      </c>
      <c r="U349" s="90">
        <v>46387</v>
      </c>
      <c r="V349" s="83"/>
      <c r="W349" s="83"/>
      <c r="X349" s="83"/>
      <c r="Y349" s="83"/>
      <c r="Z349" s="83"/>
      <c r="AA349" s="83"/>
      <c r="AB349" s="83"/>
      <c r="AC349" s="83"/>
      <c r="AD349" s="83"/>
      <c r="AE349" s="83"/>
      <c r="AF349" s="83"/>
      <c r="AG349" s="83"/>
      <c r="AH349" s="83"/>
      <c r="AI349" s="83"/>
      <c r="AJ349" s="83"/>
      <c r="AK349" s="83"/>
      <c r="AL349" s="83"/>
      <c r="AM349" s="83"/>
      <c r="AN349" s="83"/>
      <c r="AO349" s="83"/>
      <c r="AP349" s="83"/>
      <c r="AQ349" s="84"/>
      <c r="AR349" s="84"/>
      <c r="AS349" s="84"/>
      <c r="AT349" s="84"/>
      <c r="AU349" s="84"/>
      <c r="AV349" s="84"/>
      <c r="AW349" s="84"/>
      <c r="AX349" s="84"/>
      <c r="AY349" s="84"/>
      <c r="AZ349" s="86"/>
      <c r="BA349" s="84"/>
      <c r="BB349" s="84"/>
      <c r="BC349" s="84"/>
      <c r="BD349" s="84"/>
      <c r="BE349" s="84"/>
      <c r="BF349" s="84"/>
      <c r="BG349" s="84"/>
      <c r="BH349" s="84"/>
      <c r="BI349" s="84"/>
      <c r="BJ349" s="86"/>
      <c r="BK349" s="84"/>
      <c r="BL349" s="86"/>
      <c r="BM349" s="84"/>
      <c r="BN349" s="86"/>
      <c r="BO349" s="84"/>
      <c r="BP349" s="86"/>
      <c r="BQ349" s="84"/>
      <c r="BR349" s="84"/>
      <c r="BS349" s="84"/>
      <c r="BT349" s="84"/>
      <c r="BU349" s="84"/>
      <c r="BV349" s="84"/>
      <c r="BW349" s="84"/>
      <c r="BX349" s="84"/>
      <c r="BY349" s="84"/>
      <c r="BZ349" s="84"/>
      <c r="CA349" s="84"/>
      <c r="CB349" s="84"/>
      <c r="CC349" s="84"/>
      <c r="CD349" s="84"/>
      <c r="CE349" s="84"/>
      <c r="CF349" s="84"/>
      <c r="CG349" s="372"/>
      <c r="CH349" s="155"/>
      <c r="CI349" s="84"/>
      <c r="CJ349" s="83" t="str">
        <f t="shared" si="102"/>
        <v>No aplica</v>
      </c>
      <c r="CK349" s="83" t="str">
        <f t="shared" si="103"/>
        <v>No aplica</v>
      </c>
      <c r="CL349" s="83" t="str">
        <f t="shared" si="97"/>
        <v>No requiere reporte</v>
      </c>
      <c r="CM349" s="89" t="str">
        <f t="shared" si="98"/>
        <v>No requiere reporte</v>
      </c>
      <c r="CN349" s="89" t="str">
        <f t="shared" si="99"/>
        <v>No requiere reporte</v>
      </c>
      <c r="CO349" s="145" t="s">
        <v>327</v>
      </c>
      <c r="CP349" s="869" t="s">
        <v>3146</v>
      </c>
      <c r="CQ349" s="178" t="s">
        <v>3147</v>
      </c>
      <c r="CR349" s="869" t="s">
        <v>3148</v>
      </c>
      <c r="CS349" s="178" t="s">
        <v>3149</v>
      </c>
      <c r="CT349" s="178" t="s">
        <v>161</v>
      </c>
      <c r="CU349" s="741" t="s">
        <v>233</v>
      </c>
      <c r="CV349" s="145">
        <v>3</v>
      </c>
      <c r="CW349" s="178" t="s">
        <v>234</v>
      </c>
      <c r="CX349" s="663">
        <v>46023</v>
      </c>
      <c r="CY349" s="663">
        <v>46387</v>
      </c>
      <c r="CZ349" s="154">
        <v>1</v>
      </c>
      <c r="DA349" s="154">
        <f>1+5</f>
        <v>6</v>
      </c>
      <c r="DB349" s="154">
        <f>1+5</f>
        <v>6</v>
      </c>
      <c r="DC349" s="154">
        <f>1+5</f>
        <v>6</v>
      </c>
      <c r="DD349" s="154">
        <f>+DA349+DB349+DC349+CZ349</f>
        <v>19</v>
      </c>
      <c r="DE349" s="178" t="s">
        <v>761</v>
      </c>
      <c r="DF349" s="178" t="s">
        <v>3130</v>
      </c>
      <c r="DG349" s="178" t="s">
        <v>3131</v>
      </c>
      <c r="DH349" s="466">
        <v>2469000000</v>
      </c>
      <c r="DI349" s="145" t="s">
        <v>1022</v>
      </c>
      <c r="DJ349" s="145" t="s">
        <v>480</v>
      </c>
      <c r="DK349" s="145" t="s">
        <v>3074</v>
      </c>
      <c r="DL349" s="145" t="s">
        <v>2708</v>
      </c>
      <c r="DM349" s="145" t="s">
        <v>3132</v>
      </c>
      <c r="DN349" s="145"/>
      <c r="DO349" s="677"/>
      <c r="DP349" s="145"/>
      <c r="DQ349" s="677"/>
      <c r="DR349" s="677"/>
      <c r="DS349" s="145"/>
      <c r="DT349" s="677"/>
      <c r="DU349" s="145"/>
      <c r="DV349" s="677"/>
      <c r="DW349" s="677"/>
      <c r="DX349" s="145"/>
      <c r="DY349" s="145"/>
      <c r="DZ349" s="145"/>
      <c r="EA349" s="145"/>
      <c r="EB349" s="145"/>
      <c r="EC349" s="145"/>
      <c r="ED349" s="145"/>
      <c r="EE349" s="145"/>
      <c r="EF349" s="145"/>
      <c r="EG349" s="145"/>
      <c r="EH349" s="145"/>
      <c r="EI349" s="145"/>
      <c r="EJ349" s="145"/>
      <c r="EK349" s="145"/>
      <c r="EL349" s="91" t="str">
        <f t="shared" si="100"/>
        <v>No se reportó avance</v>
      </c>
      <c r="EM349" s="83" t="str">
        <f t="shared" si="101"/>
        <v>No se reportó avance</v>
      </c>
      <c r="EN349" s="86"/>
      <c r="EO349" t="str">
        <f t="shared" si="104"/>
        <v>Gestión</v>
      </c>
      <c r="EP349" t="str">
        <f t="shared" si="105"/>
        <v>5</v>
      </c>
    </row>
    <row r="350" spans="1:146" ht="69.95" customHeight="1">
      <c r="A350" s="84" t="s">
        <v>3048</v>
      </c>
      <c r="B350" s="85" t="s">
        <v>3049</v>
      </c>
      <c r="C350" s="85" t="s">
        <v>3133</v>
      </c>
      <c r="D350" s="85" t="s">
        <v>3110</v>
      </c>
      <c r="E350" s="85" t="s">
        <v>3111</v>
      </c>
      <c r="F350" s="84" t="s">
        <v>201</v>
      </c>
      <c r="G350" s="145" t="s">
        <v>201</v>
      </c>
      <c r="H350" s="145" t="s">
        <v>3112</v>
      </c>
      <c r="I350" s="84" t="s">
        <v>3054</v>
      </c>
      <c r="J350" s="84" t="s">
        <v>3054</v>
      </c>
      <c r="K350" s="84" t="s">
        <v>3113</v>
      </c>
      <c r="L350" s="84">
        <v>2</v>
      </c>
      <c r="M350" s="84" t="s">
        <v>3135</v>
      </c>
      <c r="N350" s="84" t="s">
        <v>3115</v>
      </c>
      <c r="O350" s="84" t="s">
        <v>3116</v>
      </c>
      <c r="P350" s="84" t="s">
        <v>200</v>
      </c>
      <c r="Q350" s="84" t="s">
        <v>275</v>
      </c>
      <c r="R350" s="83">
        <v>0</v>
      </c>
      <c r="S350" s="84" t="s">
        <v>163</v>
      </c>
      <c r="T350" s="90">
        <v>44927</v>
      </c>
      <c r="U350" s="90">
        <v>46387</v>
      </c>
      <c r="V350" s="83"/>
      <c r="W350" s="83"/>
      <c r="X350" s="83"/>
      <c r="Y350" s="83"/>
      <c r="Z350" s="83"/>
      <c r="AA350" s="83"/>
      <c r="AB350" s="83"/>
      <c r="AC350" s="83"/>
      <c r="AD350" s="83"/>
      <c r="AE350" s="83"/>
      <c r="AF350" s="83"/>
      <c r="AG350" s="83"/>
      <c r="AH350" s="83"/>
      <c r="AI350" s="83"/>
      <c r="AJ350" s="83"/>
      <c r="AK350" s="83"/>
      <c r="AL350" s="83"/>
      <c r="AM350" s="83"/>
      <c r="AN350" s="83"/>
      <c r="AO350" s="83"/>
      <c r="AP350" s="83"/>
      <c r="AQ350" s="84"/>
      <c r="AR350" s="84"/>
      <c r="AS350" s="84"/>
      <c r="AT350" s="84"/>
      <c r="AU350" s="84"/>
      <c r="AV350" s="84"/>
      <c r="AW350" s="84"/>
      <c r="AX350" s="84"/>
      <c r="AY350" s="84"/>
      <c r="AZ350" s="86"/>
      <c r="BA350" s="84"/>
      <c r="BB350" s="84"/>
      <c r="BC350" s="84"/>
      <c r="BD350" s="84"/>
      <c r="BE350" s="84"/>
      <c r="BF350" s="84"/>
      <c r="BG350" s="84"/>
      <c r="BH350" s="84"/>
      <c r="BI350" s="84"/>
      <c r="BJ350" s="86"/>
      <c r="BK350" s="84"/>
      <c r="BL350" s="86"/>
      <c r="BM350" s="84"/>
      <c r="BN350" s="86"/>
      <c r="BO350" s="84"/>
      <c r="BP350" s="86"/>
      <c r="BQ350" s="84"/>
      <c r="BR350" s="84"/>
      <c r="BS350" s="84"/>
      <c r="BT350" s="84"/>
      <c r="BU350" s="84"/>
      <c r="BV350" s="84"/>
      <c r="BW350" s="84"/>
      <c r="BX350" s="84"/>
      <c r="BY350" s="84"/>
      <c r="BZ350" s="84"/>
      <c r="CA350" s="84"/>
      <c r="CB350" s="84"/>
      <c r="CC350" s="84"/>
      <c r="CD350" s="84"/>
      <c r="CE350" s="84"/>
      <c r="CF350" s="84"/>
      <c r="CG350" s="372"/>
      <c r="CH350" s="155"/>
      <c r="CI350" s="84"/>
      <c r="CJ350" s="83" t="str">
        <f t="shared" si="102"/>
        <v>No aplica</v>
      </c>
      <c r="CK350" s="83" t="str">
        <f t="shared" si="103"/>
        <v>No aplica</v>
      </c>
      <c r="CL350" s="83" t="str">
        <f t="shared" si="97"/>
        <v>No requiere reporte</v>
      </c>
      <c r="CM350" s="89" t="str">
        <f t="shared" si="98"/>
        <v>No requiere reporte</v>
      </c>
      <c r="CN350" s="89" t="str">
        <f t="shared" si="99"/>
        <v>No requiere reporte</v>
      </c>
      <c r="CO350" s="145" t="s">
        <v>332</v>
      </c>
      <c r="CP350" s="145" t="s">
        <v>3150</v>
      </c>
      <c r="CQ350" s="178" t="s">
        <v>262</v>
      </c>
      <c r="CR350" s="145" t="s">
        <v>3151</v>
      </c>
      <c r="CS350" s="145" t="s">
        <v>3151</v>
      </c>
      <c r="CT350" s="178" t="s">
        <v>161</v>
      </c>
      <c r="CU350" s="741" t="s">
        <v>233</v>
      </c>
      <c r="CV350" s="145">
        <v>1</v>
      </c>
      <c r="CW350" s="178" t="s">
        <v>234</v>
      </c>
      <c r="CX350" s="663">
        <v>46023</v>
      </c>
      <c r="CY350" s="663">
        <v>46387</v>
      </c>
      <c r="CZ350" s="154">
        <v>0</v>
      </c>
      <c r="DA350" s="154">
        <v>0</v>
      </c>
      <c r="DB350" s="154">
        <v>1</v>
      </c>
      <c r="DC350" s="154">
        <v>0</v>
      </c>
      <c r="DD350" s="154">
        <f>+DB350+DC350</f>
        <v>1</v>
      </c>
      <c r="DE350" s="178" t="s">
        <v>761</v>
      </c>
      <c r="DF350" s="178" t="s">
        <v>3130</v>
      </c>
      <c r="DG350" s="178" t="s">
        <v>3131</v>
      </c>
      <c r="DH350" s="466">
        <v>265000000</v>
      </c>
      <c r="DI350" s="145" t="s">
        <v>1022</v>
      </c>
      <c r="DJ350" s="145" t="s">
        <v>480</v>
      </c>
      <c r="DK350" s="145" t="s">
        <v>3074</v>
      </c>
      <c r="DL350" s="145" t="s">
        <v>2708</v>
      </c>
      <c r="DM350" s="145" t="s">
        <v>3152</v>
      </c>
      <c r="DN350" s="145"/>
      <c r="DO350" s="677"/>
      <c r="DP350" s="145"/>
      <c r="DQ350" s="677"/>
      <c r="DR350" s="677"/>
      <c r="DS350" s="145"/>
      <c r="DT350" s="677"/>
      <c r="DU350" s="145"/>
      <c r="DV350" s="677"/>
      <c r="DW350" s="677"/>
      <c r="DX350" s="145"/>
      <c r="DY350" s="145"/>
      <c r="DZ350" s="145"/>
      <c r="EA350" s="145"/>
      <c r="EB350" s="145"/>
      <c r="EC350" s="145"/>
      <c r="ED350" s="145"/>
      <c r="EE350" s="145"/>
      <c r="EF350" s="145"/>
      <c r="EG350" s="145"/>
      <c r="EH350" s="145"/>
      <c r="EI350" s="145"/>
      <c r="EJ350" s="145"/>
      <c r="EK350" s="145"/>
      <c r="EL350" s="91" t="str">
        <f t="shared" si="100"/>
        <v>No aplica, no hay meta</v>
      </c>
      <c r="EM350" s="83" t="str">
        <f t="shared" si="101"/>
        <v>No se reportó avance</v>
      </c>
      <c r="EN350" s="86"/>
      <c r="EO350" t="str">
        <f t="shared" si="104"/>
        <v>Gestión</v>
      </c>
      <c r="EP350" t="str">
        <f t="shared" si="105"/>
        <v>5</v>
      </c>
    </row>
    <row r="351" spans="1:146" ht="69.95" customHeight="1">
      <c r="A351" s="74" t="s">
        <v>3048</v>
      </c>
      <c r="B351" s="74" t="s">
        <v>3049</v>
      </c>
      <c r="C351" s="75" t="s">
        <v>3145</v>
      </c>
      <c r="D351" s="75" t="s">
        <v>3110</v>
      </c>
      <c r="E351" s="75" t="s">
        <v>3082</v>
      </c>
      <c r="F351" s="74" t="s">
        <v>201</v>
      </c>
      <c r="G351" s="502" t="s">
        <v>201</v>
      </c>
      <c r="H351" s="502" t="s">
        <v>3153</v>
      </c>
      <c r="I351" s="74" t="s">
        <v>3054</v>
      </c>
      <c r="J351" s="74" t="s">
        <v>3054</v>
      </c>
      <c r="K351" s="74" t="s">
        <v>3154</v>
      </c>
      <c r="L351" s="78">
        <v>3</v>
      </c>
      <c r="M351" s="78" t="s">
        <v>3155</v>
      </c>
      <c r="N351" s="78" t="s">
        <v>3156</v>
      </c>
      <c r="O351" s="78" t="s">
        <v>3157</v>
      </c>
      <c r="P351" s="78" t="s">
        <v>200</v>
      </c>
      <c r="Q351" s="78" t="s">
        <v>275</v>
      </c>
      <c r="R351" s="82">
        <v>0</v>
      </c>
      <c r="S351" s="78" t="s">
        <v>163</v>
      </c>
      <c r="T351" s="80">
        <v>44927</v>
      </c>
      <c r="U351" s="80">
        <v>46387</v>
      </c>
      <c r="V351" s="121">
        <v>0.54545454545454541</v>
      </c>
      <c r="W351" s="121">
        <v>0.72727272727272729</v>
      </c>
      <c r="X351" s="121">
        <v>0.90909090909090906</v>
      </c>
      <c r="Y351" s="121">
        <v>1</v>
      </c>
      <c r="Z351" s="82">
        <v>1</v>
      </c>
      <c r="AA351" s="121">
        <v>0.54545454545454541</v>
      </c>
      <c r="AB351" s="121">
        <v>0.72727272727272729</v>
      </c>
      <c r="AC351" s="121">
        <v>0.90909090909090906</v>
      </c>
      <c r="AD351" s="121">
        <v>1</v>
      </c>
      <c r="AE351" s="82">
        <v>1</v>
      </c>
      <c r="AF351" s="82">
        <v>0.17</v>
      </c>
      <c r="AG351" s="82">
        <v>0.43</v>
      </c>
      <c r="AH351" s="82">
        <v>0.71</v>
      </c>
      <c r="AI351" s="82">
        <v>1</v>
      </c>
      <c r="AJ351" s="82">
        <v>1</v>
      </c>
      <c r="AK351" s="289">
        <v>1</v>
      </c>
      <c r="AL351" s="289">
        <v>1</v>
      </c>
      <c r="AM351" s="289">
        <v>1</v>
      </c>
      <c r="AN351" s="289">
        <v>1</v>
      </c>
      <c r="AO351" s="82">
        <v>1</v>
      </c>
      <c r="AP351" s="82">
        <v>1</v>
      </c>
      <c r="AQ351" s="84"/>
      <c r="AR351" s="84"/>
      <c r="AS351" s="84"/>
      <c r="AT351" s="84"/>
      <c r="AU351" s="84"/>
      <c r="AV351" s="84"/>
      <c r="AW351" s="84"/>
      <c r="AX351" s="84"/>
      <c r="AY351" s="85">
        <f>35/35</f>
        <v>1</v>
      </c>
      <c r="AZ351" s="86" t="s">
        <v>3158</v>
      </c>
      <c r="BA351" s="83">
        <v>0.54545454545454541</v>
      </c>
      <c r="BB351" s="84" t="s">
        <v>3159</v>
      </c>
      <c r="BC351" s="83">
        <f>(5/5)*AF351</f>
        <v>0.17</v>
      </c>
      <c r="BD351" s="84" t="s">
        <v>3160</v>
      </c>
      <c r="BE351" s="83">
        <f>(5/11)*AC351</f>
        <v>0.41322314049586772</v>
      </c>
      <c r="BF351" s="84" t="s">
        <v>3161</v>
      </c>
      <c r="BG351" s="83">
        <f>(6/12)*AD351</f>
        <v>0.5</v>
      </c>
      <c r="BH351" s="84" t="s">
        <v>3162</v>
      </c>
      <c r="BI351" s="85">
        <v>0.55000000000000004</v>
      </c>
      <c r="BJ351" s="86" t="s">
        <v>3163</v>
      </c>
      <c r="BK351" s="83">
        <f>(5/11)*AF351</f>
        <v>7.7272727272727271E-2</v>
      </c>
      <c r="BL351" s="86" t="s">
        <v>3164</v>
      </c>
      <c r="BM351" s="83">
        <f>(7/8)*AG351</f>
        <v>0.37624999999999997</v>
      </c>
      <c r="BN351" s="86" t="s">
        <v>3165</v>
      </c>
      <c r="BO351" s="146">
        <f>(5/7)*AH351</f>
        <v>0.50714285714285712</v>
      </c>
      <c r="BP351" s="677" t="s">
        <v>3166</v>
      </c>
      <c r="BQ351" s="84"/>
      <c r="BR351" s="84"/>
      <c r="BS351" s="146">
        <f>+(BK351+BM351+BO351)/3</f>
        <v>0.32022186147186144</v>
      </c>
      <c r="BT351" s="84"/>
      <c r="BU351" s="84"/>
      <c r="BV351" s="84"/>
      <c r="BW351" s="84"/>
      <c r="BX351" s="84"/>
      <c r="BY351" s="84"/>
      <c r="BZ351" s="84"/>
      <c r="CA351" s="84"/>
      <c r="CB351" s="84"/>
      <c r="CC351" s="84"/>
      <c r="CD351" s="84"/>
      <c r="CE351" s="146">
        <f>+(AY351+BI351+BS351)/3</f>
        <v>0.62340728715728722</v>
      </c>
      <c r="CF351" s="84"/>
      <c r="CG351" s="497">
        <f>SUM(DH351:DH358)</f>
        <v>14735530200</v>
      </c>
      <c r="CH351" s="465"/>
      <c r="CI351" s="465"/>
      <c r="CJ351" s="83">
        <f t="shared" ref="CJ351:CJ414" si="106">+IFERROR(CH351/CG351,"No aplica")</f>
        <v>0</v>
      </c>
      <c r="CK351" s="83">
        <f t="shared" si="103"/>
        <v>0</v>
      </c>
      <c r="CL351" s="83" t="str">
        <f t="shared" si="97"/>
        <v>No se reportó avance</v>
      </c>
      <c r="CM351" s="89" t="str">
        <f t="shared" si="98"/>
        <v>No se reportó avance</v>
      </c>
      <c r="CN351" s="89">
        <f t="shared" si="99"/>
        <v>0.62340728715728722</v>
      </c>
      <c r="CO351" s="145" t="s">
        <v>236</v>
      </c>
      <c r="CP351" s="869" t="s">
        <v>3167</v>
      </c>
      <c r="CQ351" s="178" t="s">
        <v>1475</v>
      </c>
      <c r="CR351" s="869" t="s">
        <v>3168</v>
      </c>
      <c r="CS351" s="869" t="s">
        <v>3169</v>
      </c>
      <c r="CT351" s="178" t="s">
        <v>161</v>
      </c>
      <c r="CU351" s="741" t="s">
        <v>233</v>
      </c>
      <c r="CV351" s="145">
        <v>7</v>
      </c>
      <c r="CW351" s="178" t="s">
        <v>234</v>
      </c>
      <c r="CX351" s="663">
        <v>46023</v>
      </c>
      <c r="CY351" s="663">
        <v>46387</v>
      </c>
      <c r="CZ351" s="154">
        <v>0</v>
      </c>
      <c r="DA351" s="154">
        <v>4</v>
      </c>
      <c r="DB351" s="154">
        <v>7</v>
      </c>
      <c r="DC351" s="154">
        <v>8</v>
      </c>
      <c r="DD351" s="154">
        <f>CZ351+DA351+DB351+DC351</f>
        <v>19</v>
      </c>
      <c r="DE351" s="178" t="s">
        <v>761</v>
      </c>
      <c r="DF351" s="178" t="s">
        <v>3130</v>
      </c>
      <c r="DG351" s="178" t="s">
        <v>3131</v>
      </c>
      <c r="DH351" s="466">
        <v>515000000</v>
      </c>
      <c r="DI351" s="145" t="s">
        <v>1022</v>
      </c>
      <c r="DJ351" s="145" t="s">
        <v>480</v>
      </c>
      <c r="DK351" s="145" t="s">
        <v>3074</v>
      </c>
      <c r="DL351" s="145" t="s">
        <v>2708</v>
      </c>
      <c r="DM351" s="145" t="s">
        <v>3132</v>
      </c>
      <c r="DN351" s="145"/>
      <c r="DO351" s="677"/>
      <c r="DP351" s="145"/>
      <c r="DQ351" s="677"/>
      <c r="DR351" s="677"/>
      <c r="DS351" s="145"/>
      <c r="DT351" s="677"/>
      <c r="DU351" s="145"/>
      <c r="DV351" s="677"/>
      <c r="DW351" s="677"/>
      <c r="DX351" s="145"/>
      <c r="DY351" s="145"/>
      <c r="DZ351" s="145"/>
      <c r="EA351" s="145"/>
      <c r="EB351" s="145"/>
      <c r="EC351" s="145"/>
      <c r="ED351" s="145"/>
      <c r="EE351" s="145"/>
      <c r="EF351" s="145"/>
      <c r="EG351" s="145"/>
      <c r="EH351" s="145"/>
      <c r="EI351" s="145"/>
      <c r="EJ351" s="145"/>
      <c r="EK351" s="145"/>
      <c r="EL351" s="91" t="str">
        <f t="shared" si="100"/>
        <v>No aplica, no hay meta</v>
      </c>
      <c r="EM351" s="83" t="str">
        <f t="shared" si="101"/>
        <v>No se reportó avance</v>
      </c>
      <c r="EN351" s="86"/>
      <c r="EO351" t="str">
        <f t="shared" si="104"/>
        <v>Gestión</v>
      </c>
      <c r="EP351" t="str">
        <f t="shared" si="105"/>
        <v>5</v>
      </c>
    </row>
    <row r="352" spans="1:146" ht="69.95" customHeight="1">
      <c r="A352" s="84" t="s">
        <v>3048</v>
      </c>
      <c r="B352" s="85" t="s">
        <v>3049</v>
      </c>
      <c r="C352" s="85" t="s">
        <v>3096</v>
      </c>
      <c r="D352" s="85" t="s">
        <v>3110</v>
      </c>
      <c r="E352" s="85" t="s">
        <v>3082</v>
      </c>
      <c r="F352" s="84" t="s">
        <v>201</v>
      </c>
      <c r="G352" s="145" t="s">
        <v>201</v>
      </c>
      <c r="H352" s="145" t="s">
        <v>3170</v>
      </c>
      <c r="I352" s="84" t="s">
        <v>3054</v>
      </c>
      <c r="J352" s="84" t="s">
        <v>3054</v>
      </c>
      <c r="K352" s="84" t="s">
        <v>3154</v>
      </c>
      <c r="L352" s="84">
        <v>3</v>
      </c>
      <c r="M352" s="84" t="s">
        <v>3155</v>
      </c>
      <c r="N352" s="84" t="s">
        <v>3156</v>
      </c>
      <c r="O352" s="84" t="s">
        <v>3157</v>
      </c>
      <c r="P352" s="84" t="s">
        <v>200</v>
      </c>
      <c r="Q352" s="84" t="s">
        <v>275</v>
      </c>
      <c r="R352" s="83">
        <v>0</v>
      </c>
      <c r="S352" s="84" t="s">
        <v>163</v>
      </c>
      <c r="T352" s="90">
        <v>44927</v>
      </c>
      <c r="U352" s="90">
        <v>46387</v>
      </c>
      <c r="V352" s="83"/>
      <c r="W352" s="83"/>
      <c r="X352" s="83"/>
      <c r="Y352" s="83"/>
      <c r="Z352" s="83"/>
      <c r="AA352" s="83"/>
      <c r="AB352" s="83"/>
      <c r="AC352" s="83"/>
      <c r="AD352" s="83"/>
      <c r="AE352" s="83"/>
      <c r="AF352" s="83"/>
      <c r="AG352" s="83"/>
      <c r="AH352" s="83"/>
      <c r="AI352" s="83"/>
      <c r="AJ352" s="83"/>
      <c r="AK352" s="83"/>
      <c r="AL352" s="83"/>
      <c r="AM352" s="83"/>
      <c r="AN352" s="83"/>
      <c r="AO352" s="83"/>
      <c r="AP352" s="83"/>
      <c r="AQ352" s="84"/>
      <c r="AR352" s="84"/>
      <c r="AS352" s="84"/>
      <c r="AT352" s="84"/>
      <c r="AU352" s="84"/>
      <c r="AV352" s="84"/>
      <c r="AW352" s="84"/>
      <c r="AX352" s="84"/>
      <c r="AY352" s="84"/>
      <c r="AZ352" s="86"/>
      <c r="BA352" s="84"/>
      <c r="BB352" s="84"/>
      <c r="BC352" s="84"/>
      <c r="BD352" s="84"/>
      <c r="BE352" s="84"/>
      <c r="BF352" s="84"/>
      <c r="BG352" s="84"/>
      <c r="BH352" s="84"/>
      <c r="BI352" s="84"/>
      <c r="BJ352" s="86"/>
      <c r="BK352" s="83"/>
      <c r="BL352" s="86"/>
      <c r="BM352" s="84"/>
      <c r="BN352" s="86"/>
      <c r="BO352" s="84"/>
      <c r="BP352" s="86"/>
      <c r="BQ352" s="84"/>
      <c r="BR352" s="84"/>
      <c r="BS352" s="84"/>
      <c r="BT352" s="84"/>
      <c r="BU352" s="84"/>
      <c r="BV352" s="84"/>
      <c r="BW352" s="84"/>
      <c r="BX352" s="84"/>
      <c r="BY352" s="84"/>
      <c r="BZ352" s="84"/>
      <c r="CA352" s="84"/>
      <c r="CB352" s="84"/>
      <c r="CC352" s="84"/>
      <c r="CD352" s="84"/>
      <c r="CE352" s="84"/>
      <c r="CF352" s="84"/>
      <c r="CG352" s="372"/>
      <c r="CH352" s="155"/>
      <c r="CI352" s="84"/>
      <c r="CJ352" s="83" t="str">
        <f t="shared" si="106"/>
        <v>No aplica</v>
      </c>
      <c r="CK352" s="83" t="str">
        <f t="shared" si="103"/>
        <v>No aplica</v>
      </c>
      <c r="CL352" s="83" t="str">
        <f t="shared" si="97"/>
        <v>No requiere reporte</v>
      </c>
      <c r="CM352" s="89" t="str">
        <f t="shared" si="98"/>
        <v>No requiere reporte</v>
      </c>
      <c r="CN352" s="89" t="str">
        <f t="shared" si="99"/>
        <v>No requiere reporte</v>
      </c>
      <c r="CO352" s="145" t="s">
        <v>361</v>
      </c>
      <c r="CP352" s="869" t="s">
        <v>3171</v>
      </c>
      <c r="CQ352" s="178" t="s">
        <v>1475</v>
      </c>
      <c r="CR352" s="178" t="s">
        <v>3172</v>
      </c>
      <c r="CS352" s="178" t="s">
        <v>3173</v>
      </c>
      <c r="CT352" s="178" t="s">
        <v>161</v>
      </c>
      <c r="CU352" s="741" t="s">
        <v>233</v>
      </c>
      <c r="CV352" s="145">
        <v>15</v>
      </c>
      <c r="CW352" s="178" t="s">
        <v>234</v>
      </c>
      <c r="CX352" s="663">
        <v>46023</v>
      </c>
      <c r="CY352" s="663">
        <v>46387</v>
      </c>
      <c r="CZ352" s="154">
        <v>2</v>
      </c>
      <c r="DA352" s="154">
        <v>6</v>
      </c>
      <c r="DB352" s="154">
        <v>7</v>
      </c>
      <c r="DC352" s="154">
        <v>5</v>
      </c>
      <c r="DD352" s="154">
        <f>SUM(CZ352,DA352,DB352,DC352)</f>
        <v>20</v>
      </c>
      <c r="DE352" s="178" t="s">
        <v>761</v>
      </c>
      <c r="DF352" s="178" t="s">
        <v>3130</v>
      </c>
      <c r="DG352" s="178" t="s">
        <v>3131</v>
      </c>
      <c r="DH352" s="466">
        <v>718000000</v>
      </c>
      <c r="DI352" s="145" t="s">
        <v>1022</v>
      </c>
      <c r="DJ352" s="145" t="s">
        <v>480</v>
      </c>
      <c r="DK352" s="145" t="s">
        <v>3074</v>
      </c>
      <c r="DL352" s="145" t="s">
        <v>2708</v>
      </c>
      <c r="DM352" s="145" t="s">
        <v>3132</v>
      </c>
      <c r="DN352" s="145"/>
      <c r="DO352" s="677"/>
      <c r="DP352" s="145"/>
      <c r="DQ352" s="677"/>
      <c r="DR352" s="677"/>
      <c r="DS352" s="145"/>
      <c r="DT352" s="734"/>
      <c r="DU352" s="145"/>
      <c r="DV352" s="677"/>
      <c r="DW352" s="677"/>
      <c r="DX352" s="145"/>
      <c r="DY352" s="734"/>
      <c r="DZ352" s="145"/>
      <c r="EA352" s="677"/>
      <c r="EB352" s="677"/>
      <c r="EC352" s="145"/>
      <c r="ED352" s="145"/>
      <c r="EE352" s="145"/>
      <c r="EF352" s="145"/>
      <c r="EG352" s="145"/>
      <c r="EH352" s="145"/>
      <c r="EI352" s="145"/>
      <c r="EJ352" s="145"/>
      <c r="EK352" s="668"/>
      <c r="EL352" s="91" t="str">
        <f t="shared" si="100"/>
        <v>No se reportó avance</v>
      </c>
      <c r="EM352" s="83" t="str">
        <f t="shared" si="101"/>
        <v>No se reportó avance</v>
      </c>
      <c r="EN352" s="86"/>
      <c r="EO352" t="str">
        <f t="shared" si="104"/>
        <v>Gestión</v>
      </c>
      <c r="EP352" t="str">
        <f t="shared" si="105"/>
        <v>5</v>
      </c>
    </row>
    <row r="353" spans="1:146" ht="69.95" customHeight="1">
      <c r="A353" s="84" t="s">
        <v>3048</v>
      </c>
      <c r="B353" s="85" t="s">
        <v>3049</v>
      </c>
      <c r="C353" s="85" t="s">
        <v>3145</v>
      </c>
      <c r="D353" s="85" t="s">
        <v>3110</v>
      </c>
      <c r="E353" s="85" t="s">
        <v>3082</v>
      </c>
      <c r="F353" s="84" t="s">
        <v>201</v>
      </c>
      <c r="G353" s="145" t="s">
        <v>201</v>
      </c>
      <c r="H353" s="145" t="s">
        <v>3112</v>
      </c>
      <c r="I353" s="84" t="s">
        <v>3054</v>
      </c>
      <c r="J353" s="84" t="s">
        <v>3054</v>
      </c>
      <c r="K353" s="84" t="s">
        <v>3154</v>
      </c>
      <c r="L353" s="84">
        <v>3</v>
      </c>
      <c r="M353" s="84" t="s">
        <v>3155</v>
      </c>
      <c r="N353" s="84" t="s">
        <v>3156</v>
      </c>
      <c r="O353" s="84" t="s">
        <v>3157</v>
      </c>
      <c r="P353" s="84" t="s">
        <v>200</v>
      </c>
      <c r="Q353" s="84" t="s">
        <v>275</v>
      </c>
      <c r="R353" s="83">
        <v>0</v>
      </c>
      <c r="S353" s="84" t="s">
        <v>163</v>
      </c>
      <c r="T353" s="90">
        <v>44927</v>
      </c>
      <c r="U353" s="90">
        <v>46387</v>
      </c>
      <c r="V353" s="83"/>
      <c r="W353" s="83"/>
      <c r="X353" s="83"/>
      <c r="Y353" s="83"/>
      <c r="Z353" s="83"/>
      <c r="AA353" s="83"/>
      <c r="AB353" s="83"/>
      <c r="AC353" s="83"/>
      <c r="AD353" s="83"/>
      <c r="AE353" s="83"/>
      <c r="AF353" s="83"/>
      <c r="AG353" s="83"/>
      <c r="AH353" s="83"/>
      <c r="AI353" s="83"/>
      <c r="AJ353" s="83"/>
      <c r="AK353" s="83"/>
      <c r="AL353" s="83"/>
      <c r="AM353" s="83"/>
      <c r="AN353" s="83"/>
      <c r="AO353" s="83"/>
      <c r="AP353" s="83"/>
      <c r="AQ353" s="84"/>
      <c r="AR353" s="84"/>
      <c r="AS353" s="84"/>
      <c r="AT353" s="84"/>
      <c r="AU353" s="84"/>
      <c r="AV353" s="84"/>
      <c r="AW353" s="84"/>
      <c r="AX353" s="84"/>
      <c r="AY353" s="84"/>
      <c r="AZ353" s="86"/>
      <c r="BA353" s="84"/>
      <c r="BB353" s="84"/>
      <c r="BC353" s="84"/>
      <c r="BD353" s="84"/>
      <c r="BE353" s="84"/>
      <c r="BF353" s="84"/>
      <c r="BG353" s="84"/>
      <c r="BH353" s="84"/>
      <c r="BI353" s="84"/>
      <c r="BJ353" s="86"/>
      <c r="BK353" s="84"/>
      <c r="BL353" s="86"/>
      <c r="BM353" s="84"/>
      <c r="BN353" s="86"/>
      <c r="BO353" s="84"/>
      <c r="BP353" s="86"/>
      <c r="BQ353" s="84"/>
      <c r="BR353" s="84"/>
      <c r="BS353" s="84"/>
      <c r="BT353" s="84"/>
      <c r="BU353" s="84"/>
      <c r="BV353" s="84"/>
      <c r="BW353" s="84"/>
      <c r="BX353" s="84"/>
      <c r="BY353" s="84"/>
      <c r="BZ353" s="84"/>
      <c r="CA353" s="84"/>
      <c r="CB353" s="84"/>
      <c r="CC353" s="84"/>
      <c r="CD353" s="84"/>
      <c r="CE353" s="84"/>
      <c r="CF353" s="84"/>
      <c r="CG353" s="372"/>
      <c r="CH353" s="155"/>
      <c r="CI353" s="84"/>
      <c r="CJ353" s="83" t="str">
        <f t="shared" si="106"/>
        <v>No aplica</v>
      </c>
      <c r="CK353" s="83" t="str">
        <f t="shared" si="103"/>
        <v>No aplica</v>
      </c>
      <c r="CL353" s="83" t="str">
        <f t="shared" si="97"/>
        <v>No requiere reporte</v>
      </c>
      <c r="CM353" s="89" t="str">
        <f t="shared" si="98"/>
        <v>No requiere reporte</v>
      </c>
      <c r="CN353" s="89" t="str">
        <f t="shared" si="99"/>
        <v>No requiere reporte</v>
      </c>
      <c r="CO353" s="145" t="s">
        <v>366</v>
      </c>
      <c r="CP353" s="869" t="s">
        <v>3174</v>
      </c>
      <c r="CQ353" s="178" t="s">
        <v>1475</v>
      </c>
      <c r="CR353" s="178" t="s">
        <v>3175</v>
      </c>
      <c r="CS353" s="178" t="s">
        <v>3176</v>
      </c>
      <c r="CT353" s="178" t="s">
        <v>161</v>
      </c>
      <c r="CU353" s="741" t="s">
        <v>233</v>
      </c>
      <c r="CV353" s="145">
        <v>7</v>
      </c>
      <c r="CW353" s="178" t="s">
        <v>234</v>
      </c>
      <c r="CX353" s="663">
        <v>46023</v>
      </c>
      <c r="CY353" s="663">
        <v>46387</v>
      </c>
      <c r="CZ353" s="154">
        <v>2</v>
      </c>
      <c r="DA353" s="154">
        <f>4+1</f>
        <v>5</v>
      </c>
      <c r="DB353" s="154">
        <v>7</v>
      </c>
      <c r="DC353" s="154">
        <v>8</v>
      </c>
      <c r="DD353" s="154">
        <f>SUM(CZ353,DA353,DB353,DC353)</f>
        <v>22</v>
      </c>
      <c r="DE353" s="178" t="s">
        <v>761</v>
      </c>
      <c r="DF353" s="178" t="s">
        <v>3130</v>
      </c>
      <c r="DG353" s="178" t="s">
        <v>3131</v>
      </c>
      <c r="DH353" s="466">
        <v>875500000</v>
      </c>
      <c r="DI353" s="145" t="s">
        <v>1022</v>
      </c>
      <c r="DJ353" s="145" t="s">
        <v>480</v>
      </c>
      <c r="DK353" s="145" t="s">
        <v>3074</v>
      </c>
      <c r="DL353" s="145" t="s">
        <v>2708</v>
      </c>
      <c r="DM353" s="145" t="s">
        <v>3132</v>
      </c>
      <c r="DN353" s="145"/>
      <c r="DO353" s="677"/>
      <c r="DP353" s="293"/>
      <c r="DQ353" s="677"/>
      <c r="DR353" s="677"/>
      <c r="DS353" s="145"/>
      <c r="DT353" s="677"/>
      <c r="DU353" s="145"/>
      <c r="DV353" s="677"/>
      <c r="DW353" s="677"/>
      <c r="DX353" s="145"/>
      <c r="DY353" s="677"/>
      <c r="DZ353" s="145"/>
      <c r="EA353" s="677"/>
      <c r="EB353" s="677"/>
      <c r="EC353" s="145"/>
      <c r="ED353" s="145"/>
      <c r="EE353" s="145"/>
      <c r="EF353" s="145"/>
      <c r="EG353" s="145"/>
      <c r="EH353" s="145"/>
      <c r="EI353" s="145"/>
      <c r="EJ353" s="145"/>
      <c r="EK353" s="668"/>
      <c r="EL353" s="91" t="str">
        <f t="shared" si="100"/>
        <v>No se reportó avance</v>
      </c>
      <c r="EM353" s="83" t="str">
        <f t="shared" si="101"/>
        <v>No se reportó avance</v>
      </c>
      <c r="EN353" s="86"/>
      <c r="EO353" t="str">
        <f t="shared" si="104"/>
        <v>Gestión</v>
      </c>
      <c r="EP353" t="str">
        <f t="shared" si="105"/>
        <v>5</v>
      </c>
    </row>
    <row r="354" spans="1:146" ht="69.95" customHeight="1">
      <c r="A354" s="84" t="s">
        <v>3048</v>
      </c>
      <c r="B354" s="85" t="s">
        <v>3049</v>
      </c>
      <c r="C354" s="85" t="s">
        <v>3145</v>
      </c>
      <c r="D354" s="85" t="s">
        <v>3110</v>
      </c>
      <c r="E354" s="85" t="s">
        <v>3082</v>
      </c>
      <c r="F354" s="84" t="s">
        <v>201</v>
      </c>
      <c r="G354" s="145" t="s">
        <v>201</v>
      </c>
      <c r="H354" s="145" t="s">
        <v>3112</v>
      </c>
      <c r="I354" s="84" t="s">
        <v>3054</v>
      </c>
      <c r="J354" s="84" t="s">
        <v>3054</v>
      </c>
      <c r="K354" s="84" t="s">
        <v>3154</v>
      </c>
      <c r="L354" s="84">
        <v>3</v>
      </c>
      <c r="M354" s="84" t="s">
        <v>3155</v>
      </c>
      <c r="N354" s="84" t="s">
        <v>3156</v>
      </c>
      <c r="O354" s="84" t="s">
        <v>3157</v>
      </c>
      <c r="P354" s="84" t="s">
        <v>200</v>
      </c>
      <c r="Q354" s="84" t="s">
        <v>275</v>
      </c>
      <c r="R354" s="83">
        <v>0</v>
      </c>
      <c r="S354" s="84" t="s">
        <v>163</v>
      </c>
      <c r="T354" s="90">
        <v>44927</v>
      </c>
      <c r="U354" s="90">
        <v>46387</v>
      </c>
      <c r="V354" s="83"/>
      <c r="W354" s="83"/>
      <c r="X354" s="83"/>
      <c r="Y354" s="83"/>
      <c r="Z354" s="83"/>
      <c r="AA354" s="83"/>
      <c r="AB354" s="83"/>
      <c r="AC354" s="83"/>
      <c r="AD354" s="83"/>
      <c r="AE354" s="83"/>
      <c r="AF354" s="83"/>
      <c r="AG354" s="83"/>
      <c r="AH354" s="83"/>
      <c r="AI354" s="83"/>
      <c r="AJ354" s="83"/>
      <c r="AK354" s="83"/>
      <c r="AL354" s="83"/>
      <c r="AM354" s="83"/>
      <c r="AN354" s="83"/>
      <c r="AO354" s="83"/>
      <c r="AP354" s="83"/>
      <c r="AQ354" s="84"/>
      <c r="AR354" s="84"/>
      <c r="AS354" s="84"/>
      <c r="AT354" s="84"/>
      <c r="AU354" s="84"/>
      <c r="AV354" s="84"/>
      <c r="AW354" s="84"/>
      <c r="AX354" s="84"/>
      <c r="AY354" s="84"/>
      <c r="AZ354" s="86"/>
      <c r="BA354" s="84"/>
      <c r="BB354" s="84"/>
      <c r="BC354" s="84"/>
      <c r="BD354" s="84"/>
      <c r="BE354" s="84"/>
      <c r="BF354" s="84"/>
      <c r="BG354" s="84"/>
      <c r="BH354" s="84"/>
      <c r="BI354" s="84"/>
      <c r="BJ354" s="86"/>
      <c r="BK354" s="84"/>
      <c r="BL354" s="86"/>
      <c r="BM354" s="84"/>
      <c r="BN354" s="86"/>
      <c r="BO354" s="84"/>
      <c r="BP354" s="86"/>
      <c r="BQ354" s="84"/>
      <c r="BR354" s="84"/>
      <c r="BS354" s="84"/>
      <c r="BT354" s="84"/>
      <c r="BU354" s="84"/>
      <c r="BV354" s="84"/>
      <c r="BW354" s="84"/>
      <c r="BX354" s="84"/>
      <c r="BY354" s="84"/>
      <c r="BZ354" s="84"/>
      <c r="CA354" s="84"/>
      <c r="CB354" s="84"/>
      <c r="CC354" s="84"/>
      <c r="CD354" s="84"/>
      <c r="CE354" s="84"/>
      <c r="CF354" s="84"/>
      <c r="CG354" s="372"/>
      <c r="CH354" s="155"/>
      <c r="CI354" s="84"/>
      <c r="CJ354" s="83" t="str">
        <f t="shared" si="106"/>
        <v>No aplica</v>
      </c>
      <c r="CK354" s="83" t="str">
        <f t="shared" si="103"/>
        <v>No aplica</v>
      </c>
      <c r="CL354" s="83" t="str">
        <f t="shared" si="97"/>
        <v>No requiere reporte</v>
      </c>
      <c r="CM354" s="89" t="str">
        <f t="shared" si="98"/>
        <v>No requiere reporte</v>
      </c>
      <c r="CN354" s="89" t="str">
        <f t="shared" si="99"/>
        <v>No requiere reporte</v>
      </c>
      <c r="CO354" s="145" t="s">
        <v>371</v>
      </c>
      <c r="CP354" s="869" t="s">
        <v>3177</v>
      </c>
      <c r="CQ354" s="178" t="s">
        <v>1475</v>
      </c>
      <c r="CR354" s="869" t="s">
        <v>3178</v>
      </c>
      <c r="CS354" s="869" t="s">
        <v>3179</v>
      </c>
      <c r="CT354" s="178" t="s">
        <v>161</v>
      </c>
      <c r="CU354" s="741" t="s">
        <v>233</v>
      </c>
      <c r="CV354" s="145">
        <v>15</v>
      </c>
      <c r="CW354" s="178" t="s">
        <v>234</v>
      </c>
      <c r="CX354" s="663">
        <v>46023</v>
      </c>
      <c r="CY354" s="663">
        <v>46387</v>
      </c>
      <c r="CZ354" s="154">
        <v>2</v>
      </c>
      <c r="DA354" s="154">
        <v>4</v>
      </c>
      <c r="DB354" s="154">
        <v>7</v>
      </c>
      <c r="DC354" s="154">
        <v>5</v>
      </c>
      <c r="DD354" s="154">
        <f>+CZ354+DA354+DB354+DC354</f>
        <v>18</v>
      </c>
      <c r="DE354" s="178" t="s">
        <v>761</v>
      </c>
      <c r="DF354" s="178" t="s">
        <v>3130</v>
      </c>
      <c r="DG354" s="178" t="s">
        <v>3131</v>
      </c>
      <c r="DH354" s="466">
        <v>975500000</v>
      </c>
      <c r="DI354" s="145" t="s">
        <v>1022</v>
      </c>
      <c r="DJ354" s="145" t="s">
        <v>480</v>
      </c>
      <c r="DK354" s="145" t="s">
        <v>3074</v>
      </c>
      <c r="DL354" s="145" t="s">
        <v>2708</v>
      </c>
      <c r="DM354" s="145" t="s">
        <v>3132</v>
      </c>
      <c r="DN354" s="145"/>
      <c r="DO354" s="677"/>
      <c r="DP354" s="293"/>
      <c r="DQ354" s="677"/>
      <c r="DR354" s="677"/>
      <c r="DS354" s="145"/>
      <c r="DT354" s="734"/>
      <c r="DU354" s="145"/>
      <c r="DV354" s="677"/>
      <c r="DW354" s="677"/>
      <c r="DX354" s="145"/>
      <c r="DY354" s="734"/>
      <c r="DZ354" s="145"/>
      <c r="EA354" s="677"/>
      <c r="EB354" s="677"/>
      <c r="EC354" s="145"/>
      <c r="ED354" s="145"/>
      <c r="EE354" s="145"/>
      <c r="EF354" s="145"/>
      <c r="EG354" s="145"/>
      <c r="EH354" s="145"/>
      <c r="EI354" s="145"/>
      <c r="EJ354" s="145"/>
      <c r="EK354" s="668"/>
      <c r="EL354" s="91" t="str">
        <f t="shared" si="100"/>
        <v>No se reportó avance</v>
      </c>
      <c r="EM354" s="83" t="str">
        <f t="shared" si="101"/>
        <v>No se reportó avance</v>
      </c>
      <c r="EN354" s="86"/>
      <c r="EO354" t="str">
        <f t="shared" si="104"/>
        <v>Gestión</v>
      </c>
      <c r="EP354" t="str">
        <f t="shared" si="105"/>
        <v>5</v>
      </c>
    </row>
    <row r="355" spans="1:146" ht="69.95" customHeight="1">
      <c r="A355" s="84" t="s">
        <v>3048</v>
      </c>
      <c r="B355" s="85" t="s">
        <v>3049</v>
      </c>
      <c r="C355" s="85" t="s">
        <v>3145</v>
      </c>
      <c r="D355" s="85" t="s">
        <v>3110</v>
      </c>
      <c r="E355" s="85" t="s">
        <v>3082</v>
      </c>
      <c r="F355" s="84" t="s">
        <v>201</v>
      </c>
      <c r="G355" s="145" t="s">
        <v>201</v>
      </c>
      <c r="H355" s="145" t="s">
        <v>3112</v>
      </c>
      <c r="I355" s="84" t="s">
        <v>3054</v>
      </c>
      <c r="J355" s="84" t="s">
        <v>3054</v>
      </c>
      <c r="K355" s="84" t="s">
        <v>3154</v>
      </c>
      <c r="L355" s="84">
        <v>3</v>
      </c>
      <c r="M355" s="84" t="s">
        <v>3155</v>
      </c>
      <c r="N355" s="84" t="s">
        <v>3156</v>
      </c>
      <c r="O355" s="84" t="s">
        <v>3157</v>
      </c>
      <c r="P355" s="84" t="s">
        <v>200</v>
      </c>
      <c r="Q355" s="84" t="s">
        <v>275</v>
      </c>
      <c r="R355" s="83">
        <v>0</v>
      </c>
      <c r="S355" s="84" t="s">
        <v>163</v>
      </c>
      <c r="T355" s="90">
        <v>44927</v>
      </c>
      <c r="U355" s="90">
        <v>46387</v>
      </c>
      <c r="V355" s="83"/>
      <c r="W355" s="83"/>
      <c r="X355" s="83"/>
      <c r="Y355" s="83"/>
      <c r="Z355" s="83"/>
      <c r="AA355" s="83"/>
      <c r="AB355" s="83"/>
      <c r="AC355" s="83"/>
      <c r="AD355" s="83"/>
      <c r="AE355" s="83"/>
      <c r="AF355" s="83"/>
      <c r="AG355" s="83"/>
      <c r="AH355" s="83"/>
      <c r="AI355" s="83"/>
      <c r="AJ355" s="83"/>
      <c r="AK355" s="83"/>
      <c r="AL355" s="83"/>
      <c r="AM355" s="83"/>
      <c r="AN355" s="83"/>
      <c r="AO355" s="83"/>
      <c r="AP355" s="83"/>
      <c r="AQ355" s="84"/>
      <c r="AR355" s="84"/>
      <c r="AS355" s="84"/>
      <c r="AT355" s="84"/>
      <c r="AU355" s="84"/>
      <c r="AV355" s="84"/>
      <c r="AW355" s="84"/>
      <c r="AX355" s="84"/>
      <c r="AY355" s="84"/>
      <c r="AZ355" s="86"/>
      <c r="BA355" s="84"/>
      <c r="BB355" s="84"/>
      <c r="BC355" s="84"/>
      <c r="BD355" s="84"/>
      <c r="BE355" s="84"/>
      <c r="BF355" s="84"/>
      <c r="BG355" s="84"/>
      <c r="BH355" s="84"/>
      <c r="BI355" s="84"/>
      <c r="BJ355" s="86"/>
      <c r="BK355" s="84"/>
      <c r="BL355" s="86"/>
      <c r="BM355" s="84"/>
      <c r="BN355" s="86"/>
      <c r="BO355" s="84"/>
      <c r="BP355" s="86"/>
      <c r="BQ355" s="84"/>
      <c r="BR355" s="84"/>
      <c r="BS355" s="84"/>
      <c r="BT355" s="84"/>
      <c r="BU355" s="84"/>
      <c r="BV355" s="84"/>
      <c r="BW355" s="84"/>
      <c r="BX355" s="84"/>
      <c r="BY355" s="84"/>
      <c r="BZ355" s="84"/>
      <c r="CA355" s="84"/>
      <c r="CB355" s="84"/>
      <c r="CC355" s="84"/>
      <c r="CD355" s="84"/>
      <c r="CE355" s="84"/>
      <c r="CF355" s="84"/>
      <c r="CG355" s="372"/>
      <c r="CH355" s="155"/>
      <c r="CI355" s="84"/>
      <c r="CJ355" s="83" t="str">
        <f t="shared" si="106"/>
        <v>No aplica</v>
      </c>
      <c r="CK355" s="83" t="str">
        <f t="shared" si="103"/>
        <v>No aplica</v>
      </c>
      <c r="CL355" s="83" t="str">
        <f t="shared" si="97"/>
        <v>No requiere reporte</v>
      </c>
      <c r="CM355" s="89" t="str">
        <f t="shared" si="98"/>
        <v>No requiere reporte</v>
      </c>
      <c r="CN355" s="89" t="str">
        <f t="shared" si="99"/>
        <v>No requiere reporte</v>
      </c>
      <c r="CO355" s="145" t="s">
        <v>3180</v>
      </c>
      <c r="CP355" s="869" t="s">
        <v>3181</v>
      </c>
      <c r="CQ355" s="178" t="s">
        <v>1475</v>
      </c>
      <c r="CR355" s="869" t="s">
        <v>3182</v>
      </c>
      <c r="CS355" s="869" t="s">
        <v>3183</v>
      </c>
      <c r="CT355" s="178" t="s">
        <v>161</v>
      </c>
      <c r="CU355" s="741" t="s">
        <v>233</v>
      </c>
      <c r="CV355" s="145">
        <v>10</v>
      </c>
      <c r="CW355" s="178" t="s">
        <v>234</v>
      </c>
      <c r="CX355" s="663">
        <v>46023</v>
      </c>
      <c r="CY355" s="663">
        <v>46387</v>
      </c>
      <c r="CZ355" s="154">
        <v>0</v>
      </c>
      <c r="DA355" s="154">
        <v>7</v>
      </c>
      <c r="DB355" s="154">
        <f>5+4</f>
        <v>9</v>
      </c>
      <c r="DC355" s="154">
        <v>9</v>
      </c>
      <c r="DD355" s="154">
        <f>+CZ355+DA355+DB355+DC355</f>
        <v>25</v>
      </c>
      <c r="DE355" s="178" t="s">
        <v>761</v>
      </c>
      <c r="DF355" s="178" t="s">
        <v>3130</v>
      </c>
      <c r="DG355" s="178" t="s">
        <v>3131</v>
      </c>
      <c r="DH355" s="466">
        <v>1036000000</v>
      </c>
      <c r="DI355" s="145" t="s">
        <v>1022</v>
      </c>
      <c r="DJ355" s="145" t="s">
        <v>480</v>
      </c>
      <c r="DK355" s="145" t="s">
        <v>3074</v>
      </c>
      <c r="DL355" s="145" t="s">
        <v>2708</v>
      </c>
      <c r="DM355" s="145" t="s">
        <v>3132</v>
      </c>
      <c r="DN355" s="145"/>
      <c r="DO355" s="677"/>
      <c r="DP355" s="293"/>
      <c r="DQ355" s="677"/>
      <c r="DR355" s="677"/>
      <c r="DS355" s="145"/>
      <c r="DT355" s="677"/>
      <c r="DU355" s="145"/>
      <c r="DV355" s="677"/>
      <c r="DW355" s="677"/>
      <c r="DX355" s="145"/>
      <c r="DY355" s="677"/>
      <c r="DZ355" s="145"/>
      <c r="EA355" s="677"/>
      <c r="EB355" s="677"/>
      <c r="EC355" s="145"/>
      <c r="ED355" s="145"/>
      <c r="EE355" s="145"/>
      <c r="EF355" s="145"/>
      <c r="EG355" s="145"/>
      <c r="EH355" s="145"/>
      <c r="EI355" s="145"/>
      <c r="EJ355" s="145"/>
      <c r="EK355" s="668"/>
      <c r="EL355" s="91" t="str">
        <f t="shared" si="100"/>
        <v>No aplica, no hay meta</v>
      </c>
      <c r="EM355" s="83" t="str">
        <f t="shared" si="101"/>
        <v>No se reportó avance</v>
      </c>
      <c r="EN355" s="86"/>
      <c r="EO355" t="str">
        <f t="shared" si="104"/>
        <v>Gestión</v>
      </c>
      <c r="EP355" t="str">
        <f t="shared" si="105"/>
        <v>5</v>
      </c>
    </row>
    <row r="356" spans="1:146" ht="69.95" customHeight="1">
      <c r="A356" s="84" t="s">
        <v>3048</v>
      </c>
      <c r="B356" s="85" t="s">
        <v>3049</v>
      </c>
      <c r="C356" s="85" t="s">
        <v>3145</v>
      </c>
      <c r="D356" s="85" t="s">
        <v>3110</v>
      </c>
      <c r="E356" s="85" t="s">
        <v>3082</v>
      </c>
      <c r="F356" s="84" t="s">
        <v>201</v>
      </c>
      <c r="G356" s="145" t="s">
        <v>201</v>
      </c>
      <c r="H356" s="145" t="s">
        <v>3112</v>
      </c>
      <c r="I356" s="84" t="s">
        <v>3054</v>
      </c>
      <c r="J356" s="84" t="s">
        <v>3054</v>
      </c>
      <c r="K356" s="84" t="s">
        <v>3154</v>
      </c>
      <c r="L356" s="84">
        <v>3</v>
      </c>
      <c r="M356" s="84" t="s">
        <v>3155</v>
      </c>
      <c r="N356" s="84" t="s">
        <v>3156</v>
      </c>
      <c r="O356" s="84" t="s">
        <v>3157</v>
      </c>
      <c r="P356" s="84" t="s">
        <v>200</v>
      </c>
      <c r="Q356" s="84" t="s">
        <v>275</v>
      </c>
      <c r="R356" s="83">
        <v>0</v>
      </c>
      <c r="S356" s="84" t="s">
        <v>163</v>
      </c>
      <c r="T356" s="90">
        <v>44927</v>
      </c>
      <c r="U356" s="90">
        <v>46387</v>
      </c>
      <c r="V356" s="83"/>
      <c r="W356" s="83"/>
      <c r="X356" s="83"/>
      <c r="Y356" s="83"/>
      <c r="Z356" s="83"/>
      <c r="AA356" s="83"/>
      <c r="AB356" s="83"/>
      <c r="AC356" s="83"/>
      <c r="AD356" s="83"/>
      <c r="AE356" s="83"/>
      <c r="AF356" s="83"/>
      <c r="AG356" s="83"/>
      <c r="AH356" s="83"/>
      <c r="AI356" s="83"/>
      <c r="AJ356" s="83"/>
      <c r="AK356" s="83"/>
      <c r="AL356" s="83"/>
      <c r="AM356" s="83"/>
      <c r="AN356" s="83"/>
      <c r="AO356" s="83"/>
      <c r="AP356" s="83"/>
      <c r="AQ356" s="84"/>
      <c r="AR356" s="84"/>
      <c r="AS356" s="84"/>
      <c r="AT356" s="84"/>
      <c r="AU356" s="84"/>
      <c r="AV356" s="84"/>
      <c r="AW356" s="84"/>
      <c r="AX356" s="84"/>
      <c r="AY356" s="84"/>
      <c r="AZ356" s="86"/>
      <c r="BA356" s="84"/>
      <c r="BB356" s="84"/>
      <c r="BC356" s="84"/>
      <c r="BD356" s="84"/>
      <c r="BE356" s="84"/>
      <c r="BF356" s="84"/>
      <c r="BG356" s="84"/>
      <c r="BH356" s="84"/>
      <c r="BI356" s="84"/>
      <c r="BJ356" s="86"/>
      <c r="BK356" s="84"/>
      <c r="BL356" s="86"/>
      <c r="BM356" s="84"/>
      <c r="BN356" s="86"/>
      <c r="BO356" s="84"/>
      <c r="BP356" s="86"/>
      <c r="BQ356" s="84"/>
      <c r="BR356" s="84"/>
      <c r="BS356" s="84"/>
      <c r="BT356" s="84"/>
      <c r="BU356" s="84"/>
      <c r="BV356" s="84"/>
      <c r="BW356" s="84"/>
      <c r="BX356" s="84"/>
      <c r="BY356" s="84"/>
      <c r="BZ356" s="84"/>
      <c r="CA356" s="84"/>
      <c r="CB356" s="84"/>
      <c r="CC356" s="84"/>
      <c r="CD356" s="84"/>
      <c r="CE356" s="84"/>
      <c r="CF356" s="84"/>
      <c r="CG356" s="372"/>
      <c r="CH356" s="155"/>
      <c r="CI356" s="84"/>
      <c r="CJ356" s="83" t="str">
        <f t="shared" si="106"/>
        <v>No aplica</v>
      </c>
      <c r="CK356" s="83" t="str">
        <f t="shared" si="103"/>
        <v>No aplica</v>
      </c>
      <c r="CL356" s="83" t="str">
        <f t="shared" si="97"/>
        <v>No requiere reporte</v>
      </c>
      <c r="CM356" s="89" t="str">
        <f t="shared" si="98"/>
        <v>No requiere reporte</v>
      </c>
      <c r="CN356" s="89" t="str">
        <f t="shared" si="99"/>
        <v>No requiere reporte</v>
      </c>
      <c r="CO356" s="145" t="s">
        <v>3184</v>
      </c>
      <c r="CP356" s="145" t="s">
        <v>3185</v>
      </c>
      <c r="CQ356" s="178" t="s">
        <v>1475</v>
      </c>
      <c r="CR356" s="178" t="s">
        <v>3186</v>
      </c>
      <c r="CS356" s="178" t="s">
        <v>3187</v>
      </c>
      <c r="CT356" s="178" t="s">
        <v>161</v>
      </c>
      <c r="CU356" s="741" t="s">
        <v>233</v>
      </c>
      <c r="CV356" s="503">
        <v>51</v>
      </c>
      <c r="CW356" s="178" t="s">
        <v>402</v>
      </c>
      <c r="CX356" s="663">
        <v>46023</v>
      </c>
      <c r="CY356" s="663">
        <v>46387</v>
      </c>
      <c r="CZ356" s="154">
        <v>0</v>
      </c>
      <c r="DA356" s="154">
        <v>0</v>
      </c>
      <c r="DB356" s="154">
        <v>35</v>
      </c>
      <c r="DC356" s="154">
        <v>39</v>
      </c>
      <c r="DD356" s="154">
        <f>CZ356+DA356+DB356+DC356</f>
        <v>74</v>
      </c>
      <c r="DE356" s="178" t="s">
        <v>3188</v>
      </c>
      <c r="DF356" s="178" t="s">
        <v>762</v>
      </c>
      <c r="DG356" s="178" t="s">
        <v>763</v>
      </c>
      <c r="DH356" s="466">
        <v>9355530200</v>
      </c>
      <c r="DI356" s="145" t="s">
        <v>1022</v>
      </c>
      <c r="DJ356" s="145" t="s">
        <v>480</v>
      </c>
      <c r="DK356" s="145" t="s">
        <v>3074</v>
      </c>
      <c r="DL356" s="145" t="s">
        <v>2708</v>
      </c>
      <c r="DM356" s="145" t="s">
        <v>3189</v>
      </c>
      <c r="DN356" s="145"/>
      <c r="DO356" s="677"/>
      <c r="DP356" s="145"/>
      <c r="DQ356" s="677"/>
      <c r="DR356" s="677"/>
      <c r="DS356" s="145"/>
      <c r="DT356" s="734"/>
      <c r="DU356" s="145"/>
      <c r="DV356" s="677"/>
      <c r="DW356" s="677"/>
      <c r="DX356" s="145"/>
      <c r="DY356" s="734"/>
      <c r="DZ356" s="145"/>
      <c r="EA356" s="677"/>
      <c r="EB356" s="677"/>
      <c r="EC356" s="145"/>
      <c r="ED356" s="145"/>
      <c r="EE356" s="145"/>
      <c r="EF356" s="145"/>
      <c r="EG356" s="145"/>
      <c r="EH356" s="145"/>
      <c r="EI356" s="145"/>
      <c r="EJ356" s="145"/>
      <c r="EK356" s="668"/>
      <c r="EL356" s="91" t="str">
        <f t="shared" si="100"/>
        <v>No aplica, no hay meta</v>
      </c>
      <c r="EM356" s="83" t="str">
        <f t="shared" si="101"/>
        <v>No se reportó avance</v>
      </c>
      <c r="EN356" s="86"/>
      <c r="EO356" t="str">
        <f t="shared" si="104"/>
        <v>Gestión</v>
      </c>
      <c r="EP356" t="str">
        <f t="shared" si="105"/>
        <v>5</v>
      </c>
    </row>
    <row r="357" spans="1:146" ht="69.95" customHeight="1">
      <c r="A357" s="84" t="s">
        <v>3048</v>
      </c>
      <c r="B357" s="85" t="s">
        <v>3049</v>
      </c>
      <c r="C357" s="85" t="s">
        <v>3145</v>
      </c>
      <c r="D357" s="85" t="s">
        <v>3110</v>
      </c>
      <c r="E357" s="85" t="s">
        <v>3082</v>
      </c>
      <c r="F357" s="84" t="s">
        <v>201</v>
      </c>
      <c r="G357" s="145" t="s">
        <v>201</v>
      </c>
      <c r="H357" s="145" t="s">
        <v>3112</v>
      </c>
      <c r="I357" s="84" t="s">
        <v>3054</v>
      </c>
      <c r="J357" s="84" t="s">
        <v>3054</v>
      </c>
      <c r="K357" s="84" t="s">
        <v>3154</v>
      </c>
      <c r="L357" s="84">
        <v>3</v>
      </c>
      <c r="M357" s="84" t="s">
        <v>3155</v>
      </c>
      <c r="N357" s="84" t="s">
        <v>3156</v>
      </c>
      <c r="O357" s="84" t="s">
        <v>3157</v>
      </c>
      <c r="P357" s="84" t="s">
        <v>200</v>
      </c>
      <c r="Q357" s="84" t="s">
        <v>275</v>
      </c>
      <c r="R357" s="83">
        <v>0</v>
      </c>
      <c r="S357" s="84" t="s">
        <v>163</v>
      </c>
      <c r="T357" s="90">
        <v>44927</v>
      </c>
      <c r="U357" s="90">
        <v>46387</v>
      </c>
      <c r="V357" s="83"/>
      <c r="W357" s="83"/>
      <c r="X357" s="83"/>
      <c r="Y357" s="83"/>
      <c r="Z357" s="83"/>
      <c r="AA357" s="83"/>
      <c r="AB357" s="83"/>
      <c r="AC357" s="83"/>
      <c r="AD357" s="83"/>
      <c r="AE357" s="83"/>
      <c r="AF357" s="83"/>
      <c r="AG357" s="83"/>
      <c r="AH357" s="83"/>
      <c r="AI357" s="83"/>
      <c r="AJ357" s="83"/>
      <c r="AK357" s="83"/>
      <c r="AL357" s="83"/>
      <c r="AM357" s="83"/>
      <c r="AN357" s="83"/>
      <c r="AO357" s="83"/>
      <c r="AP357" s="83"/>
      <c r="AQ357" s="84"/>
      <c r="AR357" s="84"/>
      <c r="AS357" s="84"/>
      <c r="AT357" s="84"/>
      <c r="AU357" s="84"/>
      <c r="AV357" s="84"/>
      <c r="AW357" s="84"/>
      <c r="AX357" s="84"/>
      <c r="AY357" s="84"/>
      <c r="AZ357" s="86"/>
      <c r="BA357" s="84"/>
      <c r="BB357" s="84"/>
      <c r="BC357" s="84"/>
      <c r="BD357" s="84"/>
      <c r="BE357" s="84"/>
      <c r="BF357" s="84"/>
      <c r="BG357" s="84"/>
      <c r="BH357" s="84"/>
      <c r="BI357" s="84"/>
      <c r="BJ357" s="86"/>
      <c r="BK357" s="84"/>
      <c r="BL357" s="86"/>
      <c r="BM357" s="84"/>
      <c r="BN357" s="86"/>
      <c r="BO357" s="84"/>
      <c r="BP357" s="86"/>
      <c r="BQ357" s="84"/>
      <c r="BR357" s="84"/>
      <c r="BS357" s="84"/>
      <c r="BT357" s="84"/>
      <c r="BU357" s="84"/>
      <c r="BV357" s="84"/>
      <c r="BW357" s="84"/>
      <c r="BX357" s="84"/>
      <c r="BY357" s="84"/>
      <c r="BZ357" s="84"/>
      <c r="CA357" s="84"/>
      <c r="CB357" s="84"/>
      <c r="CC357" s="84"/>
      <c r="CD357" s="84"/>
      <c r="CE357" s="84"/>
      <c r="CF357" s="84"/>
      <c r="CG357" s="372"/>
      <c r="CH357" s="155"/>
      <c r="CI357" s="84"/>
      <c r="CJ357" s="83" t="str">
        <f t="shared" si="106"/>
        <v>No aplica</v>
      </c>
      <c r="CK357" s="83" t="str">
        <f t="shared" si="103"/>
        <v>No aplica</v>
      </c>
      <c r="CL357" s="83" t="str">
        <f t="shared" si="97"/>
        <v>No requiere reporte</v>
      </c>
      <c r="CM357" s="89" t="str">
        <f t="shared" si="98"/>
        <v>No requiere reporte</v>
      </c>
      <c r="CN357" s="89" t="str">
        <f t="shared" si="99"/>
        <v>No requiere reporte</v>
      </c>
      <c r="CO357" s="145" t="s">
        <v>3190</v>
      </c>
      <c r="CP357" s="178" t="s">
        <v>3191</v>
      </c>
      <c r="CQ357" s="178" t="s">
        <v>1475</v>
      </c>
      <c r="CR357" s="178" t="s">
        <v>3192</v>
      </c>
      <c r="CS357" s="178" t="s">
        <v>3193</v>
      </c>
      <c r="CT357" s="178" t="s">
        <v>161</v>
      </c>
      <c r="CU357" s="741" t="s">
        <v>233</v>
      </c>
      <c r="CV357" s="503">
        <v>0</v>
      </c>
      <c r="CW357" s="178" t="s">
        <v>402</v>
      </c>
      <c r="CX357" s="663">
        <v>46023</v>
      </c>
      <c r="CY357" s="663">
        <v>46387</v>
      </c>
      <c r="CZ357" s="154">
        <v>0</v>
      </c>
      <c r="DA357" s="154">
        <v>0</v>
      </c>
      <c r="DB357" s="154">
        <v>0</v>
      </c>
      <c r="DC357" s="154">
        <v>1</v>
      </c>
      <c r="DD357" s="154">
        <v>1</v>
      </c>
      <c r="DE357" s="178" t="s">
        <v>3188</v>
      </c>
      <c r="DF357" s="178" t="s">
        <v>762</v>
      </c>
      <c r="DG357" s="178" t="s">
        <v>763</v>
      </c>
      <c r="DH357" s="466">
        <v>250000000</v>
      </c>
      <c r="DI357" s="145" t="s">
        <v>1022</v>
      </c>
      <c r="DJ357" s="145" t="s">
        <v>480</v>
      </c>
      <c r="DK357" s="145" t="s">
        <v>3074</v>
      </c>
      <c r="DL357" s="145" t="s">
        <v>2708</v>
      </c>
      <c r="DM357" s="145" t="s">
        <v>3189</v>
      </c>
      <c r="DN357" s="145"/>
      <c r="DO357" s="677"/>
      <c r="DP357" s="145"/>
      <c r="DQ357" s="677"/>
      <c r="DR357" s="677"/>
      <c r="DS357" s="145"/>
      <c r="DT357" s="677"/>
      <c r="DU357" s="145"/>
      <c r="DV357" s="677"/>
      <c r="DW357" s="677"/>
      <c r="DX357" s="145"/>
      <c r="DY357" s="145"/>
      <c r="DZ357" s="145"/>
      <c r="EA357" s="145"/>
      <c r="EB357" s="145"/>
      <c r="EC357" s="145"/>
      <c r="ED357" s="145"/>
      <c r="EE357" s="145"/>
      <c r="EF357" s="145"/>
      <c r="EG357" s="145"/>
      <c r="EH357" s="145"/>
      <c r="EI357" s="145"/>
      <c r="EJ357" s="145"/>
      <c r="EK357" s="145"/>
      <c r="EL357" s="91" t="str">
        <f t="shared" si="100"/>
        <v>No aplica, no hay meta</v>
      </c>
      <c r="EM357" s="83" t="str">
        <f t="shared" si="101"/>
        <v>No se reportó avance</v>
      </c>
      <c r="EN357" s="86"/>
      <c r="EO357" t="str">
        <f t="shared" si="104"/>
        <v>Gestión</v>
      </c>
      <c r="EP357" t="str">
        <f t="shared" si="105"/>
        <v>5</v>
      </c>
    </row>
    <row r="358" spans="1:146" ht="69.95" customHeight="1">
      <c r="A358" s="84" t="s">
        <v>3048</v>
      </c>
      <c r="B358" s="85" t="s">
        <v>3049</v>
      </c>
      <c r="C358" s="85" t="s">
        <v>3096</v>
      </c>
      <c r="D358" s="85" t="s">
        <v>3110</v>
      </c>
      <c r="E358" s="85" t="s">
        <v>3082</v>
      </c>
      <c r="F358" s="84" t="s">
        <v>201</v>
      </c>
      <c r="G358" s="145" t="s">
        <v>201</v>
      </c>
      <c r="H358" s="145" t="s">
        <v>3112</v>
      </c>
      <c r="I358" s="84" t="s">
        <v>3054</v>
      </c>
      <c r="J358" s="84" t="s">
        <v>3054</v>
      </c>
      <c r="K358" s="84" t="s">
        <v>3154</v>
      </c>
      <c r="L358" s="84">
        <v>3</v>
      </c>
      <c r="M358" s="84" t="s">
        <v>3155</v>
      </c>
      <c r="N358" s="84" t="s">
        <v>3156</v>
      </c>
      <c r="O358" s="84" t="s">
        <v>3157</v>
      </c>
      <c r="P358" s="84" t="s">
        <v>200</v>
      </c>
      <c r="Q358" s="84" t="s">
        <v>275</v>
      </c>
      <c r="R358" s="83">
        <v>0</v>
      </c>
      <c r="S358" s="84" t="s">
        <v>163</v>
      </c>
      <c r="T358" s="90">
        <v>44927</v>
      </c>
      <c r="U358" s="90">
        <v>46387</v>
      </c>
      <c r="V358" s="83"/>
      <c r="W358" s="83"/>
      <c r="X358" s="83"/>
      <c r="Y358" s="83"/>
      <c r="Z358" s="83"/>
      <c r="AA358" s="83"/>
      <c r="AB358" s="83"/>
      <c r="AC358" s="83"/>
      <c r="AD358" s="83"/>
      <c r="AE358" s="83"/>
      <c r="AF358" s="83"/>
      <c r="AG358" s="83"/>
      <c r="AH358" s="83"/>
      <c r="AI358" s="83"/>
      <c r="AJ358" s="83"/>
      <c r="AK358" s="83"/>
      <c r="AL358" s="83"/>
      <c r="AM358" s="83"/>
      <c r="AN358" s="83"/>
      <c r="AO358" s="83"/>
      <c r="AP358" s="83"/>
      <c r="AQ358" s="84"/>
      <c r="AR358" s="84"/>
      <c r="AS358" s="84"/>
      <c r="AT358" s="84"/>
      <c r="AU358" s="84"/>
      <c r="AV358" s="84"/>
      <c r="AW358" s="84"/>
      <c r="AX358" s="84"/>
      <c r="AY358" s="84"/>
      <c r="AZ358" s="86"/>
      <c r="BA358" s="84"/>
      <c r="BB358" s="84"/>
      <c r="BC358" s="84"/>
      <c r="BD358" s="84"/>
      <c r="BE358" s="84"/>
      <c r="BF358" s="84"/>
      <c r="BG358" s="84"/>
      <c r="BH358" s="84"/>
      <c r="BI358" s="84"/>
      <c r="BJ358" s="86"/>
      <c r="BK358" s="84"/>
      <c r="BL358" s="86"/>
      <c r="BM358" s="84"/>
      <c r="BN358" s="86"/>
      <c r="BO358" s="84"/>
      <c r="BP358" s="86"/>
      <c r="BQ358" s="84"/>
      <c r="BR358" s="84"/>
      <c r="BS358" s="84"/>
      <c r="BT358" s="84"/>
      <c r="BU358" s="84"/>
      <c r="BV358" s="84"/>
      <c r="BW358" s="84"/>
      <c r="BX358" s="84"/>
      <c r="BY358" s="84"/>
      <c r="BZ358" s="84"/>
      <c r="CA358" s="84"/>
      <c r="CB358" s="84"/>
      <c r="CC358" s="84"/>
      <c r="CD358" s="84"/>
      <c r="CE358" s="84"/>
      <c r="CF358" s="84"/>
      <c r="CG358" s="372"/>
      <c r="CH358" s="155"/>
      <c r="CI358" s="84"/>
      <c r="CJ358" s="83" t="str">
        <f t="shared" si="106"/>
        <v>No aplica</v>
      </c>
      <c r="CK358" s="83" t="str">
        <f t="shared" si="103"/>
        <v>No aplica</v>
      </c>
      <c r="CL358" s="83" t="str">
        <f t="shared" si="97"/>
        <v>No requiere reporte</v>
      </c>
      <c r="CM358" s="89" t="str">
        <f t="shared" si="98"/>
        <v>No requiere reporte</v>
      </c>
      <c r="CN358" s="89" t="str">
        <f t="shared" si="99"/>
        <v>No requiere reporte</v>
      </c>
      <c r="CO358" s="145" t="s">
        <v>3194</v>
      </c>
      <c r="CP358" s="145" t="s">
        <v>3195</v>
      </c>
      <c r="CQ358" s="178" t="s">
        <v>3147</v>
      </c>
      <c r="CR358" s="178" t="s">
        <v>3196</v>
      </c>
      <c r="CS358" s="178" t="s">
        <v>3197</v>
      </c>
      <c r="CT358" s="145" t="s">
        <v>200</v>
      </c>
      <c r="CU358" s="741" t="s">
        <v>162</v>
      </c>
      <c r="CV358" s="504">
        <v>1</v>
      </c>
      <c r="CW358" s="178" t="s">
        <v>252</v>
      </c>
      <c r="CX358" s="663">
        <v>46023</v>
      </c>
      <c r="CY358" s="663">
        <v>46387</v>
      </c>
      <c r="CZ358" s="146">
        <v>1</v>
      </c>
      <c r="DA358" s="146">
        <v>1</v>
      </c>
      <c r="DB358" s="146">
        <v>1</v>
      </c>
      <c r="DC358" s="146">
        <v>1</v>
      </c>
      <c r="DD358" s="146">
        <v>1</v>
      </c>
      <c r="DE358" s="178" t="s">
        <v>3188</v>
      </c>
      <c r="DF358" s="178" t="s">
        <v>762</v>
      </c>
      <c r="DG358" s="178" t="s">
        <v>763</v>
      </c>
      <c r="DH358" s="466">
        <v>1010000000</v>
      </c>
      <c r="DI358" s="145" t="s">
        <v>1022</v>
      </c>
      <c r="DJ358" s="145" t="s">
        <v>480</v>
      </c>
      <c r="DK358" s="145" t="s">
        <v>3074</v>
      </c>
      <c r="DL358" s="145" t="s">
        <v>2708</v>
      </c>
      <c r="DM358" s="145" t="s">
        <v>3189</v>
      </c>
      <c r="DN358" s="145"/>
      <c r="DO358" s="677"/>
      <c r="DP358" s="145"/>
      <c r="DQ358" s="677"/>
      <c r="DR358" s="677"/>
      <c r="DS358" s="145"/>
      <c r="DT358" s="677"/>
      <c r="DU358" s="145"/>
      <c r="DV358" s="677"/>
      <c r="DW358" s="677"/>
      <c r="DX358" s="145"/>
      <c r="DY358" s="145"/>
      <c r="DZ358" s="145"/>
      <c r="EA358" s="145"/>
      <c r="EB358" s="145"/>
      <c r="EC358" s="145"/>
      <c r="ED358" s="145"/>
      <c r="EE358" s="145"/>
      <c r="EF358" s="145"/>
      <c r="EG358" s="145"/>
      <c r="EH358" s="145"/>
      <c r="EI358" s="145"/>
      <c r="EJ358" s="145"/>
      <c r="EK358" s="145"/>
      <c r="EL358" s="91" t="str">
        <f t="shared" si="100"/>
        <v>No se reportó avance</v>
      </c>
      <c r="EM358" s="83" t="str">
        <f t="shared" si="101"/>
        <v>No se reportó avance</v>
      </c>
      <c r="EN358" s="86"/>
      <c r="EO358" t="str">
        <f t="shared" si="104"/>
        <v>Gestión</v>
      </c>
      <c r="EP358" t="str">
        <f t="shared" si="105"/>
        <v>5</v>
      </c>
    </row>
    <row r="359" spans="1:146" ht="69.95" customHeight="1">
      <c r="A359" s="74" t="s">
        <v>3048</v>
      </c>
      <c r="B359" s="74" t="s">
        <v>3049</v>
      </c>
      <c r="C359" s="75" t="s">
        <v>3096</v>
      </c>
      <c r="D359" s="75" t="s">
        <v>3110</v>
      </c>
      <c r="E359" s="75" t="s">
        <v>3111</v>
      </c>
      <c r="F359" s="74" t="s">
        <v>201</v>
      </c>
      <c r="G359" s="502" t="s">
        <v>201</v>
      </c>
      <c r="H359" s="502" t="s">
        <v>3112</v>
      </c>
      <c r="I359" s="74" t="s">
        <v>3054</v>
      </c>
      <c r="J359" s="74" t="s">
        <v>3054</v>
      </c>
      <c r="K359" s="74" t="s">
        <v>3198</v>
      </c>
      <c r="L359" s="78">
        <v>4</v>
      </c>
      <c r="M359" s="78" t="s">
        <v>3199</v>
      </c>
      <c r="N359" s="78" t="s">
        <v>3200</v>
      </c>
      <c r="O359" s="78" t="s">
        <v>3201</v>
      </c>
      <c r="P359" s="78" t="s">
        <v>200</v>
      </c>
      <c r="Q359" s="78" t="s">
        <v>275</v>
      </c>
      <c r="R359" s="82">
        <v>0</v>
      </c>
      <c r="S359" s="78" t="s">
        <v>163</v>
      </c>
      <c r="T359" s="80">
        <v>44927</v>
      </c>
      <c r="U359" s="80">
        <v>46387</v>
      </c>
      <c r="V359" s="121">
        <v>0.5714285714285714</v>
      </c>
      <c r="W359" s="121">
        <v>0.7142857142857143</v>
      </c>
      <c r="X359" s="121">
        <v>0.7142857142857143</v>
      </c>
      <c r="Y359" s="121">
        <v>1</v>
      </c>
      <c r="Z359" s="82">
        <v>1</v>
      </c>
      <c r="AA359" s="121">
        <v>0.5714285714285714</v>
      </c>
      <c r="AB359" s="121">
        <v>0.7142857142857143</v>
      </c>
      <c r="AC359" s="121">
        <v>0.7142857142857143</v>
      </c>
      <c r="AD359" s="121">
        <v>1</v>
      </c>
      <c r="AE359" s="82">
        <v>1</v>
      </c>
      <c r="AF359" s="82">
        <v>0.13</v>
      </c>
      <c r="AG359" s="82">
        <v>0.38</v>
      </c>
      <c r="AH359" s="82">
        <v>0.69</v>
      </c>
      <c r="AI359" s="82">
        <v>1</v>
      </c>
      <c r="AJ359" s="82">
        <v>1</v>
      </c>
      <c r="AK359" s="289">
        <v>1</v>
      </c>
      <c r="AL359" s="289">
        <v>1</v>
      </c>
      <c r="AM359" s="289">
        <v>1</v>
      </c>
      <c r="AN359" s="289">
        <v>1</v>
      </c>
      <c r="AO359" s="82">
        <v>1</v>
      </c>
      <c r="AP359" s="82">
        <v>1</v>
      </c>
      <c r="AQ359" s="84"/>
      <c r="AR359" s="84"/>
      <c r="AS359" s="84"/>
      <c r="AT359" s="84"/>
      <c r="AU359" s="84"/>
      <c r="AV359" s="84"/>
      <c r="AW359" s="84"/>
      <c r="AX359" s="84"/>
      <c r="AY359" s="85">
        <f>1140/1140</f>
        <v>1</v>
      </c>
      <c r="AZ359" s="86" t="s">
        <v>3202</v>
      </c>
      <c r="BA359" s="83">
        <v>0.5714285714285714</v>
      </c>
      <c r="BB359" s="84" t="s">
        <v>3203</v>
      </c>
      <c r="BC359" s="83">
        <f>(334/334)*AF359</f>
        <v>0.13</v>
      </c>
      <c r="BD359" s="84" t="s">
        <v>3204</v>
      </c>
      <c r="BE359" s="83">
        <f>(7/8)*AC359</f>
        <v>0.625</v>
      </c>
      <c r="BF359" s="84" t="s">
        <v>3205</v>
      </c>
      <c r="BG359" s="83">
        <f>(5/9)*AD359</f>
        <v>0.55555555555555558</v>
      </c>
      <c r="BH359" s="84" t="s">
        <v>3206</v>
      </c>
      <c r="BI359" s="85">
        <v>0.75</v>
      </c>
      <c r="BJ359" s="86" t="s">
        <v>3207</v>
      </c>
      <c r="BK359" s="83">
        <f>5/12</f>
        <v>0.41666666666666669</v>
      </c>
      <c r="BL359" s="86" t="s">
        <v>3208</v>
      </c>
      <c r="BM359" s="83">
        <f>2/8</f>
        <v>0.25</v>
      </c>
      <c r="BN359" s="86" t="s">
        <v>3209</v>
      </c>
      <c r="BO359" s="146">
        <f>(7/9)*AG359</f>
        <v>0.29555555555555557</v>
      </c>
      <c r="BP359" s="677" t="s">
        <v>3210</v>
      </c>
      <c r="BQ359" s="84"/>
      <c r="BR359" s="84"/>
      <c r="BS359" s="146">
        <f>+(BK359+BM359+BO359)/3</f>
        <v>0.32074074074074077</v>
      </c>
      <c r="BT359" s="84"/>
      <c r="BU359" s="84"/>
      <c r="BV359" s="84"/>
      <c r="BW359" s="84"/>
      <c r="BX359" s="84"/>
      <c r="BY359" s="84"/>
      <c r="BZ359" s="84"/>
      <c r="CA359" s="84"/>
      <c r="CB359" s="84"/>
      <c r="CC359" s="84"/>
      <c r="CD359" s="84"/>
      <c r="CE359" s="146">
        <f>+(AY359+BI359+BS359)/3</f>
        <v>0.69024691358024681</v>
      </c>
      <c r="CF359" s="84"/>
      <c r="CG359" s="497">
        <f>SUM(DH359:DH367)</f>
        <v>14226100000</v>
      </c>
      <c r="CH359" s="465"/>
      <c r="CI359" s="465"/>
      <c r="CJ359" s="83">
        <f t="shared" si="106"/>
        <v>0</v>
      </c>
      <c r="CK359" s="83">
        <f t="shared" si="103"/>
        <v>0</v>
      </c>
      <c r="CL359" s="83" t="str">
        <f t="shared" si="97"/>
        <v>No se reportó avance</v>
      </c>
      <c r="CM359" s="89" t="str">
        <f t="shared" si="98"/>
        <v>No se reportó avance</v>
      </c>
      <c r="CN359" s="89">
        <f t="shared" si="99"/>
        <v>0.69024691358024681</v>
      </c>
      <c r="CO359" s="145" t="s">
        <v>391</v>
      </c>
      <c r="CP359" s="145" t="s">
        <v>3211</v>
      </c>
      <c r="CQ359" s="178" t="s">
        <v>1475</v>
      </c>
      <c r="CR359" s="178" t="s">
        <v>3212</v>
      </c>
      <c r="CS359" s="178" t="s">
        <v>3213</v>
      </c>
      <c r="CT359" s="145" t="s">
        <v>200</v>
      </c>
      <c r="CU359" s="741" t="s">
        <v>162</v>
      </c>
      <c r="CV359" s="503" t="s">
        <v>182</v>
      </c>
      <c r="CW359" s="145" t="s">
        <v>163</v>
      </c>
      <c r="CX359" s="663">
        <v>46023</v>
      </c>
      <c r="CY359" s="663">
        <v>46387</v>
      </c>
      <c r="CZ359" s="146">
        <v>1</v>
      </c>
      <c r="DA359" s="146">
        <v>1</v>
      </c>
      <c r="DB359" s="146">
        <v>1</v>
      </c>
      <c r="DC359" s="146">
        <v>1</v>
      </c>
      <c r="DD359" s="146">
        <v>1</v>
      </c>
      <c r="DE359" s="178" t="s">
        <v>761</v>
      </c>
      <c r="DF359" s="178" t="s">
        <v>3130</v>
      </c>
      <c r="DG359" s="178" t="s">
        <v>3131</v>
      </c>
      <c r="DH359" s="466">
        <v>154500000</v>
      </c>
      <c r="DI359" s="145" t="s">
        <v>1022</v>
      </c>
      <c r="DJ359" s="145" t="s">
        <v>480</v>
      </c>
      <c r="DK359" s="145" t="s">
        <v>3074</v>
      </c>
      <c r="DL359" s="145" t="s">
        <v>2708</v>
      </c>
      <c r="DM359" s="145" t="s">
        <v>3132</v>
      </c>
      <c r="DN359" s="146"/>
      <c r="DO359" s="677"/>
      <c r="DP359" s="293"/>
      <c r="DQ359" s="677"/>
      <c r="DR359" s="677"/>
      <c r="DS359" s="146"/>
      <c r="DT359" s="677"/>
      <c r="DU359" s="145"/>
      <c r="DV359" s="677"/>
      <c r="DW359" s="677"/>
      <c r="DX359" s="146"/>
      <c r="DY359" s="146"/>
      <c r="DZ359" s="145"/>
      <c r="EA359" s="677"/>
      <c r="EB359" s="677"/>
      <c r="EC359" s="145"/>
      <c r="ED359" s="145"/>
      <c r="EE359" s="145"/>
      <c r="EF359" s="145"/>
      <c r="EG359" s="145"/>
      <c r="EH359" s="145"/>
      <c r="EI359" s="145"/>
      <c r="EJ359" s="145"/>
      <c r="EK359" s="145"/>
      <c r="EL359" s="91" t="str">
        <f t="shared" si="100"/>
        <v>No se reportó avance</v>
      </c>
      <c r="EM359" s="83" t="str">
        <f t="shared" si="101"/>
        <v>No se reportó avance</v>
      </c>
      <c r="EN359" s="153"/>
      <c r="EO359" t="str">
        <f t="shared" si="104"/>
        <v>Gestión</v>
      </c>
      <c r="EP359" t="str">
        <f t="shared" si="105"/>
        <v>5</v>
      </c>
    </row>
    <row r="360" spans="1:146" ht="69.95" customHeight="1">
      <c r="A360" s="84" t="s">
        <v>3048</v>
      </c>
      <c r="B360" s="85" t="s">
        <v>3049</v>
      </c>
      <c r="C360" s="85" t="s">
        <v>3096</v>
      </c>
      <c r="D360" s="85" t="s">
        <v>3110</v>
      </c>
      <c r="E360" s="85" t="s">
        <v>3111</v>
      </c>
      <c r="F360" s="84" t="s">
        <v>201</v>
      </c>
      <c r="G360" s="145" t="s">
        <v>3214</v>
      </c>
      <c r="H360" s="145" t="s">
        <v>3112</v>
      </c>
      <c r="I360" s="84" t="s">
        <v>3054</v>
      </c>
      <c r="J360" s="84" t="s">
        <v>3054</v>
      </c>
      <c r="K360" s="84" t="s">
        <v>3198</v>
      </c>
      <c r="L360" s="84">
        <v>4</v>
      </c>
      <c r="M360" s="84" t="s">
        <v>3199</v>
      </c>
      <c r="N360" s="84" t="s">
        <v>3200</v>
      </c>
      <c r="O360" s="84" t="s">
        <v>3201</v>
      </c>
      <c r="P360" s="84" t="s">
        <v>200</v>
      </c>
      <c r="Q360" s="84" t="s">
        <v>275</v>
      </c>
      <c r="R360" s="83">
        <v>0</v>
      </c>
      <c r="S360" s="84" t="s">
        <v>163</v>
      </c>
      <c r="T360" s="90">
        <v>44927</v>
      </c>
      <c r="U360" s="90">
        <v>46387</v>
      </c>
      <c r="V360" s="83"/>
      <c r="W360" s="83"/>
      <c r="X360" s="83"/>
      <c r="Y360" s="83"/>
      <c r="Z360" s="83"/>
      <c r="AA360" s="83"/>
      <c r="AB360" s="83"/>
      <c r="AC360" s="83"/>
      <c r="AD360" s="83"/>
      <c r="AE360" s="83"/>
      <c r="AF360" s="83"/>
      <c r="AG360" s="83"/>
      <c r="AH360" s="83"/>
      <c r="AI360" s="83"/>
      <c r="AJ360" s="83"/>
      <c r="AK360" s="83"/>
      <c r="AL360" s="83"/>
      <c r="AM360" s="83"/>
      <c r="AN360" s="83"/>
      <c r="AO360" s="83"/>
      <c r="AP360" s="83"/>
      <c r="AQ360" s="84"/>
      <c r="AR360" s="84"/>
      <c r="AS360" s="84"/>
      <c r="AT360" s="84"/>
      <c r="AU360" s="84"/>
      <c r="AV360" s="84"/>
      <c r="AW360" s="84"/>
      <c r="AX360" s="84"/>
      <c r="AY360" s="84"/>
      <c r="AZ360" s="86"/>
      <c r="BA360" s="84"/>
      <c r="BB360" s="84"/>
      <c r="BC360" s="84"/>
      <c r="BD360" s="84"/>
      <c r="BE360" s="84"/>
      <c r="BF360" s="84"/>
      <c r="BG360" s="84"/>
      <c r="BH360" s="84"/>
      <c r="BI360" s="84"/>
      <c r="BJ360" s="86"/>
      <c r="BK360" s="84"/>
      <c r="BL360" s="86"/>
      <c r="BM360" s="84"/>
      <c r="BN360" s="86"/>
      <c r="BO360" s="84"/>
      <c r="BP360" s="86"/>
      <c r="BQ360" s="84"/>
      <c r="BR360" s="84"/>
      <c r="BS360" s="84"/>
      <c r="BT360" s="84"/>
      <c r="BU360" s="84"/>
      <c r="BV360" s="84"/>
      <c r="BW360" s="84"/>
      <c r="BX360" s="84"/>
      <c r="BY360" s="84"/>
      <c r="BZ360" s="84"/>
      <c r="CA360" s="84"/>
      <c r="CB360" s="84"/>
      <c r="CC360" s="84"/>
      <c r="CD360" s="84"/>
      <c r="CE360" s="84"/>
      <c r="CF360" s="84"/>
      <c r="CG360" s="372"/>
      <c r="CH360" s="155"/>
      <c r="CI360" s="84"/>
      <c r="CJ360" s="83" t="str">
        <f t="shared" si="106"/>
        <v>No aplica</v>
      </c>
      <c r="CK360" s="83" t="str">
        <f t="shared" si="103"/>
        <v>No aplica</v>
      </c>
      <c r="CL360" s="83" t="str">
        <f t="shared" si="97"/>
        <v>No requiere reporte</v>
      </c>
      <c r="CM360" s="89" t="str">
        <f t="shared" si="98"/>
        <v>No requiere reporte</v>
      </c>
      <c r="CN360" s="89" t="str">
        <f t="shared" si="99"/>
        <v>No requiere reporte</v>
      </c>
      <c r="CO360" s="145" t="s">
        <v>403</v>
      </c>
      <c r="CP360" s="869" t="s">
        <v>3215</v>
      </c>
      <c r="CQ360" s="178" t="s">
        <v>1475</v>
      </c>
      <c r="CR360" s="869" t="s">
        <v>3216</v>
      </c>
      <c r="CS360" s="178" t="s">
        <v>3217</v>
      </c>
      <c r="CT360" s="178" t="s">
        <v>200</v>
      </c>
      <c r="CU360" s="741" t="s">
        <v>162</v>
      </c>
      <c r="CV360" s="145" t="s">
        <v>182</v>
      </c>
      <c r="CW360" s="178" t="s">
        <v>163</v>
      </c>
      <c r="CX360" s="663">
        <v>46023</v>
      </c>
      <c r="CY360" s="663">
        <v>46387</v>
      </c>
      <c r="CZ360" s="146">
        <v>1</v>
      </c>
      <c r="DA360" s="146">
        <v>1</v>
      </c>
      <c r="DB360" s="146">
        <v>1</v>
      </c>
      <c r="DC360" s="146">
        <v>1</v>
      </c>
      <c r="DD360" s="146">
        <v>1</v>
      </c>
      <c r="DE360" s="178" t="s">
        <v>761</v>
      </c>
      <c r="DF360" s="178" t="s">
        <v>3130</v>
      </c>
      <c r="DG360" s="178" t="s">
        <v>3131</v>
      </c>
      <c r="DH360" s="466">
        <v>496500000</v>
      </c>
      <c r="DI360" s="145" t="s">
        <v>1022</v>
      </c>
      <c r="DJ360" s="145" t="s">
        <v>480</v>
      </c>
      <c r="DK360" s="145" t="s">
        <v>3074</v>
      </c>
      <c r="DL360" s="145" t="s">
        <v>2708</v>
      </c>
      <c r="DM360" s="145" t="s">
        <v>3132</v>
      </c>
      <c r="DN360" s="157"/>
      <c r="DO360" s="677"/>
      <c r="DP360" s="145"/>
      <c r="DQ360" s="677"/>
      <c r="DR360" s="677"/>
      <c r="DS360" s="146"/>
      <c r="DT360" s="734"/>
      <c r="DU360" s="145"/>
      <c r="DV360" s="677"/>
      <c r="DW360" s="677"/>
      <c r="DX360" s="146"/>
      <c r="DY360" s="734"/>
      <c r="DZ360" s="145"/>
      <c r="EA360" s="677"/>
      <c r="EB360" s="677"/>
      <c r="EC360" s="145"/>
      <c r="ED360" s="145"/>
      <c r="EE360" s="145"/>
      <c r="EF360" s="145"/>
      <c r="EG360" s="145"/>
      <c r="EH360" s="145"/>
      <c r="EI360" s="145"/>
      <c r="EJ360" s="145"/>
      <c r="EK360" s="145"/>
      <c r="EL360" s="91" t="str">
        <f t="shared" si="100"/>
        <v>No se reportó avance</v>
      </c>
      <c r="EM360" s="83" t="str">
        <f t="shared" si="101"/>
        <v>No se reportó avance</v>
      </c>
      <c r="EN360" s="86"/>
      <c r="EO360" t="str">
        <f t="shared" si="104"/>
        <v>Gestión</v>
      </c>
      <c r="EP360" t="str">
        <f t="shared" si="105"/>
        <v>5</v>
      </c>
    </row>
    <row r="361" spans="1:146" ht="69.95" customHeight="1">
      <c r="A361" s="84" t="s">
        <v>3048</v>
      </c>
      <c r="B361" s="85" t="s">
        <v>3049</v>
      </c>
      <c r="C361" s="85" t="s">
        <v>3096</v>
      </c>
      <c r="D361" s="85" t="s">
        <v>3110</v>
      </c>
      <c r="E361" s="85" t="s">
        <v>3111</v>
      </c>
      <c r="F361" s="84" t="s">
        <v>201</v>
      </c>
      <c r="G361" s="145" t="s">
        <v>201</v>
      </c>
      <c r="H361" s="145" t="s">
        <v>3218</v>
      </c>
      <c r="I361" s="84" t="s">
        <v>3054</v>
      </c>
      <c r="J361" s="84" t="s">
        <v>3054</v>
      </c>
      <c r="K361" s="84" t="s">
        <v>3198</v>
      </c>
      <c r="L361" s="84">
        <v>4</v>
      </c>
      <c r="M361" s="84" t="s">
        <v>3199</v>
      </c>
      <c r="N361" s="84" t="s">
        <v>3200</v>
      </c>
      <c r="O361" s="84" t="s">
        <v>3201</v>
      </c>
      <c r="P361" s="84" t="s">
        <v>200</v>
      </c>
      <c r="Q361" s="84" t="s">
        <v>275</v>
      </c>
      <c r="R361" s="83">
        <v>0</v>
      </c>
      <c r="S361" s="84" t="s">
        <v>163</v>
      </c>
      <c r="T361" s="90">
        <v>44927</v>
      </c>
      <c r="U361" s="90">
        <v>46387</v>
      </c>
      <c r="V361" s="83"/>
      <c r="W361" s="83"/>
      <c r="X361" s="83"/>
      <c r="Y361" s="83"/>
      <c r="Z361" s="83"/>
      <c r="AA361" s="83"/>
      <c r="AB361" s="83"/>
      <c r="AC361" s="83"/>
      <c r="AD361" s="83"/>
      <c r="AE361" s="83"/>
      <c r="AF361" s="83"/>
      <c r="AG361" s="83"/>
      <c r="AH361" s="83"/>
      <c r="AI361" s="83"/>
      <c r="AJ361" s="83"/>
      <c r="AK361" s="83"/>
      <c r="AL361" s="83"/>
      <c r="AM361" s="83"/>
      <c r="AN361" s="83"/>
      <c r="AO361" s="83"/>
      <c r="AP361" s="83"/>
      <c r="AQ361" s="84"/>
      <c r="AR361" s="84"/>
      <c r="AS361" s="84"/>
      <c r="AT361" s="84"/>
      <c r="AU361" s="84"/>
      <c r="AV361" s="84"/>
      <c r="AW361" s="84"/>
      <c r="AX361" s="84"/>
      <c r="AY361" s="84"/>
      <c r="AZ361" s="86"/>
      <c r="BA361" s="84"/>
      <c r="BB361" s="84"/>
      <c r="BC361" s="84"/>
      <c r="BD361" s="84"/>
      <c r="BE361" s="84"/>
      <c r="BF361" s="84"/>
      <c r="BG361" s="84"/>
      <c r="BH361" s="84"/>
      <c r="BI361" s="84"/>
      <c r="BJ361" s="86"/>
      <c r="BK361" s="84"/>
      <c r="BL361" s="86"/>
      <c r="BM361" s="84"/>
      <c r="BN361" s="86"/>
      <c r="BO361" s="84"/>
      <c r="BP361" s="86"/>
      <c r="BQ361" s="84"/>
      <c r="BR361" s="84"/>
      <c r="BS361" s="84"/>
      <c r="BT361" s="84"/>
      <c r="BU361" s="84"/>
      <c r="BV361" s="84"/>
      <c r="BW361" s="84"/>
      <c r="BX361" s="84"/>
      <c r="BY361" s="84"/>
      <c r="BZ361" s="84"/>
      <c r="CA361" s="84"/>
      <c r="CB361" s="84"/>
      <c r="CC361" s="84"/>
      <c r="CD361" s="84"/>
      <c r="CE361" s="84"/>
      <c r="CF361" s="84"/>
      <c r="CG361" s="372"/>
      <c r="CH361" s="155"/>
      <c r="CI361" s="84"/>
      <c r="CJ361" s="83" t="str">
        <f t="shared" si="106"/>
        <v>No aplica</v>
      </c>
      <c r="CK361" s="83" t="str">
        <f t="shared" si="103"/>
        <v>No aplica</v>
      </c>
      <c r="CL361" s="83" t="str">
        <f t="shared" si="97"/>
        <v>No requiere reporte</v>
      </c>
      <c r="CM361" s="89" t="str">
        <f t="shared" si="98"/>
        <v>No requiere reporte</v>
      </c>
      <c r="CN361" s="89" t="str">
        <f t="shared" si="99"/>
        <v>No requiere reporte</v>
      </c>
      <c r="CO361" s="145" t="s">
        <v>408</v>
      </c>
      <c r="CP361" s="145" t="s">
        <v>3219</v>
      </c>
      <c r="CQ361" s="178" t="s">
        <v>1475</v>
      </c>
      <c r="CR361" s="178" t="s">
        <v>3220</v>
      </c>
      <c r="CS361" s="178" t="s">
        <v>3221</v>
      </c>
      <c r="CT361" s="178" t="s">
        <v>161</v>
      </c>
      <c r="CU361" s="741" t="s">
        <v>233</v>
      </c>
      <c r="CV361" s="503">
        <v>750</v>
      </c>
      <c r="CW361" s="178" t="s">
        <v>234</v>
      </c>
      <c r="CX361" s="663">
        <v>46023</v>
      </c>
      <c r="CY361" s="663">
        <v>46387</v>
      </c>
      <c r="CZ361" s="154">
        <v>0</v>
      </c>
      <c r="DA361" s="154">
        <v>200</v>
      </c>
      <c r="DB361" s="154">
        <v>280</v>
      </c>
      <c r="DC361" s="154">
        <v>300</v>
      </c>
      <c r="DD361" s="154">
        <f>SUM(CZ361,DA361,DB361,DC361)</f>
        <v>780</v>
      </c>
      <c r="DE361" s="178" t="s">
        <v>761</v>
      </c>
      <c r="DF361" s="178" t="s">
        <v>3130</v>
      </c>
      <c r="DG361" s="178" t="s">
        <v>3131</v>
      </c>
      <c r="DH361" s="466">
        <v>309000000</v>
      </c>
      <c r="DI361" s="145" t="s">
        <v>1022</v>
      </c>
      <c r="DJ361" s="145" t="s">
        <v>480</v>
      </c>
      <c r="DK361" s="145" t="s">
        <v>3074</v>
      </c>
      <c r="DL361" s="145" t="s">
        <v>2708</v>
      </c>
      <c r="DM361" s="145" t="s">
        <v>3132</v>
      </c>
      <c r="DN361" s="157"/>
      <c r="DO361" s="677"/>
      <c r="DP361" s="145"/>
      <c r="DQ361" s="677"/>
      <c r="DR361" s="677"/>
      <c r="DS361" s="145"/>
      <c r="DT361" s="677"/>
      <c r="DU361" s="145"/>
      <c r="DV361" s="677"/>
      <c r="DW361" s="677"/>
      <c r="DX361" s="145"/>
      <c r="DY361" s="145"/>
      <c r="DZ361" s="145"/>
      <c r="EA361" s="145"/>
      <c r="EB361" s="145"/>
      <c r="EC361" s="145"/>
      <c r="ED361" s="145"/>
      <c r="EE361" s="145"/>
      <c r="EF361" s="145"/>
      <c r="EG361" s="145"/>
      <c r="EH361" s="145"/>
      <c r="EI361" s="145"/>
      <c r="EJ361" s="145"/>
      <c r="EK361" s="145"/>
      <c r="EL361" s="91" t="str">
        <f t="shared" si="100"/>
        <v>No aplica, no hay meta</v>
      </c>
      <c r="EM361" s="83" t="str">
        <f t="shared" si="101"/>
        <v>No se reportó avance</v>
      </c>
      <c r="EN361" s="86"/>
      <c r="EO361" t="str">
        <f t="shared" si="104"/>
        <v>Gestión</v>
      </c>
      <c r="EP361" t="str">
        <f t="shared" si="105"/>
        <v>5</v>
      </c>
    </row>
    <row r="362" spans="1:146" ht="69.95" customHeight="1">
      <c r="A362" s="84" t="s">
        <v>3048</v>
      </c>
      <c r="B362" s="85" t="s">
        <v>3049</v>
      </c>
      <c r="C362" s="85" t="s">
        <v>3096</v>
      </c>
      <c r="D362" s="85" t="s">
        <v>3110</v>
      </c>
      <c r="E362" s="85" t="s">
        <v>3111</v>
      </c>
      <c r="F362" s="84" t="s">
        <v>201</v>
      </c>
      <c r="G362" s="145" t="s">
        <v>201</v>
      </c>
      <c r="H362" s="145" t="s">
        <v>3222</v>
      </c>
      <c r="I362" s="84" t="s">
        <v>3054</v>
      </c>
      <c r="J362" s="84" t="s">
        <v>3054</v>
      </c>
      <c r="K362" s="84" t="s">
        <v>3198</v>
      </c>
      <c r="L362" s="84">
        <v>4</v>
      </c>
      <c r="M362" s="84" t="s">
        <v>3199</v>
      </c>
      <c r="N362" s="84" t="s">
        <v>3200</v>
      </c>
      <c r="O362" s="84" t="s">
        <v>3201</v>
      </c>
      <c r="P362" s="84" t="s">
        <v>200</v>
      </c>
      <c r="Q362" s="84" t="s">
        <v>275</v>
      </c>
      <c r="R362" s="83">
        <v>0</v>
      </c>
      <c r="S362" s="84" t="s">
        <v>163</v>
      </c>
      <c r="T362" s="90">
        <v>44927</v>
      </c>
      <c r="U362" s="90">
        <v>46387</v>
      </c>
      <c r="V362" s="83"/>
      <c r="W362" s="83"/>
      <c r="X362" s="83"/>
      <c r="Y362" s="83"/>
      <c r="Z362" s="83"/>
      <c r="AA362" s="83"/>
      <c r="AB362" s="83"/>
      <c r="AC362" s="83"/>
      <c r="AD362" s="83"/>
      <c r="AE362" s="83"/>
      <c r="AF362" s="83"/>
      <c r="AG362" s="83"/>
      <c r="AH362" s="83"/>
      <c r="AI362" s="83"/>
      <c r="AJ362" s="83"/>
      <c r="AK362" s="83"/>
      <c r="AL362" s="83"/>
      <c r="AM362" s="83"/>
      <c r="AN362" s="83"/>
      <c r="AO362" s="83"/>
      <c r="AP362" s="83"/>
      <c r="AQ362" s="84"/>
      <c r="AR362" s="84"/>
      <c r="AS362" s="84"/>
      <c r="AT362" s="84"/>
      <c r="AU362" s="84"/>
      <c r="AV362" s="84"/>
      <c r="AW362" s="84"/>
      <c r="AX362" s="84"/>
      <c r="AY362" s="84"/>
      <c r="AZ362" s="86"/>
      <c r="BA362" s="84"/>
      <c r="BB362" s="84"/>
      <c r="BC362" s="84"/>
      <c r="BD362" s="84"/>
      <c r="BE362" s="84"/>
      <c r="BF362" s="84"/>
      <c r="BG362" s="84"/>
      <c r="BH362" s="84"/>
      <c r="BI362" s="84"/>
      <c r="BJ362" s="86"/>
      <c r="BK362" s="84"/>
      <c r="BL362" s="86"/>
      <c r="BM362" s="84"/>
      <c r="BN362" s="86"/>
      <c r="BO362" s="84"/>
      <c r="BP362" s="86"/>
      <c r="BQ362" s="84"/>
      <c r="BR362" s="84"/>
      <c r="BS362" s="84"/>
      <c r="BT362" s="84"/>
      <c r="BU362" s="84"/>
      <c r="BV362" s="84"/>
      <c r="BW362" s="84"/>
      <c r="BX362" s="84"/>
      <c r="BY362" s="84"/>
      <c r="BZ362" s="84"/>
      <c r="CA362" s="84"/>
      <c r="CB362" s="84"/>
      <c r="CC362" s="84"/>
      <c r="CD362" s="84"/>
      <c r="CE362" s="84"/>
      <c r="CF362" s="84"/>
      <c r="CG362" s="372"/>
      <c r="CH362" s="155"/>
      <c r="CI362" s="84"/>
      <c r="CJ362" s="83" t="str">
        <f t="shared" si="106"/>
        <v>No aplica</v>
      </c>
      <c r="CK362" s="83" t="str">
        <f t="shared" si="103"/>
        <v>No aplica</v>
      </c>
      <c r="CL362" s="83" t="str">
        <f t="shared" si="97"/>
        <v>No requiere reporte</v>
      </c>
      <c r="CM362" s="89" t="str">
        <f t="shared" si="98"/>
        <v>No requiere reporte</v>
      </c>
      <c r="CN362" s="89" t="str">
        <f t="shared" si="99"/>
        <v>No requiere reporte</v>
      </c>
      <c r="CO362" s="145" t="s">
        <v>413</v>
      </c>
      <c r="CP362" s="869" t="s">
        <v>3223</v>
      </c>
      <c r="CQ362" s="178" t="s">
        <v>1475</v>
      </c>
      <c r="CR362" s="869" t="s">
        <v>3224</v>
      </c>
      <c r="CS362" s="869" t="s">
        <v>3225</v>
      </c>
      <c r="CT362" s="178" t="s">
        <v>161</v>
      </c>
      <c r="CU362" s="741" t="s">
        <v>233</v>
      </c>
      <c r="CV362" s="503">
        <v>8</v>
      </c>
      <c r="CW362" s="178" t="s">
        <v>234</v>
      </c>
      <c r="CX362" s="663">
        <v>46023</v>
      </c>
      <c r="CY362" s="663">
        <v>46387</v>
      </c>
      <c r="CZ362" s="154">
        <v>0</v>
      </c>
      <c r="DA362" s="154">
        <v>5</v>
      </c>
      <c r="DB362" s="154">
        <v>5</v>
      </c>
      <c r="DC362" s="154">
        <v>5</v>
      </c>
      <c r="DD362" s="154">
        <f>SUM(CZ362:DC362)</f>
        <v>15</v>
      </c>
      <c r="DE362" s="178" t="s">
        <v>761</v>
      </c>
      <c r="DF362" s="178" t="s">
        <v>3130</v>
      </c>
      <c r="DG362" s="178" t="s">
        <v>3131</v>
      </c>
      <c r="DH362" s="466">
        <v>706400000</v>
      </c>
      <c r="DI362" s="145" t="s">
        <v>1022</v>
      </c>
      <c r="DJ362" s="145" t="s">
        <v>480</v>
      </c>
      <c r="DK362" s="145" t="s">
        <v>3074</v>
      </c>
      <c r="DL362" s="145" t="s">
        <v>2708</v>
      </c>
      <c r="DM362" s="145" t="s">
        <v>3132</v>
      </c>
      <c r="DN362" s="145"/>
      <c r="DO362" s="677"/>
      <c r="DP362" s="145"/>
      <c r="DQ362" s="677"/>
      <c r="DR362" s="677"/>
      <c r="DS362" s="145"/>
      <c r="DT362" s="677"/>
      <c r="DU362" s="145"/>
      <c r="DV362" s="677"/>
      <c r="DW362" s="677"/>
      <c r="DX362" s="145"/>
      <c r="DY362" s="145"/>
      <c r="DZ362" s="145"/>
      <c r="EA362" s="677"/>
      <c r="EB362" s="677"/>
      <c r="EC362" s="145"/>
      <c r="ED362" s="145"/>
      <c r="EE362" s="145"/>
      <c r="EF362" s="145"/>
      <c r="EG362" s="145"/>
      <c r="EH362" s="145"/>
      <c r="EI362" s="145"/>
      <c r="EJ362" s="145"/>
      <c r="EK362" s="145"/>
      <c r="EL362" s="91" t="str">
        <f t="shared" si="100"/>
        <v>No aplica, no hay meta</v>
      </c>
      <c r="EM362" s="83" t="str">
        <f t="shared" si="101"/>
        <v>No se reportó avance</v>
      </c>
      <c r="EN362" s="153"/>
      <c r="EO362" t="str">
        <f t="shared" si="104"/>
        <v>Gestión</v>
      </c>
      <c r="EP362" t="str">
        <f t="shared" si="105"/>
        <v>5</v>
      </c>
    </row>
    <row r="363" spans="1:146" ht="69.95" customHeight="1">
      <c r="A363" s="84" t="s">
        <v>3048</v>
      </c>
      <c r="B363" s="85" t="s">
        <v>3049</v>
      </c>
      <c r="C363" s="85" t="s">
        <v>3096</v>
      </c>
      <c r="D363" s="85" t="s">
        <v>3110</v>
      </c>
      <c r="E363" s="85" t="s">
        <v>3111</v>
      </c>
      <c r="F363" s="84" t="s">
        <v>201</v>
      </c>
      <c r="G363" s="145" t="s">
        <v>201</v>
      </c>
      <c r="H363" s="145" t="s">
        <v>3112</v>
      </c>
      <c r="I363" s="84" t="s">
        <v>3054</v>
      </c>
      <c r="J363" s="84" t="s">
        <v>3054</v>
      </c>
      <c r="K363" s="84" t="s">
        <v>3198</v>
      </c>
      <c r="L363" s="84">
        <v>4</v>
      </c>
      <c r="M363" s="84" t="s">
        <v>3199</v>
      </c>
      <c r="N363" s="84" t="s">
        <v>3200</v>
      </c>
      <c r="O363" s="84" t="s">
        <v>3201</v>
      </c>
      <c r="P363" s="84" t="s">
        <v>200</v>
      </c>
      <c r="Q363" s="84" t="s">
        <v>275</v>
      </c>
      <c r="R363" s="83">
        <v>0</v>
      </c>
      <c r="S363" s="84" t="s">
        <v>163</v>
      </c>
      <c r="T363" s="90">
        <v>44927</v>
      </c>
      <c r="U363" s="90">
        <v>46387</v>
      </c>
      <c r="V363" s="83"/>
      <c r="W363" s="83"/>
      <c r="X363" s="83"/>
      <c r="Y363" s="83"/>
      <c r="Z363" s="83"/>
      <c r="AA363" s="83"/>
      <c r="AB363" s="83"/>
      <c r="AC363" s="83"/>
      <c r="AD363" s="83"/>
      <c r="AE363" s="83"/>
      <c r="AF363" s="83"/>
      <c r="AG363" s="83"/>
      <c r="AH363" s="83"/>
      <c r="AI363" s="83"/>
      <c r="AJ363" s="83"/>
      <c r="AK363" s="83"/>
      <c r="AL363" s="83"/>
      <c r="AM363" s="83"/>
      <c r="AN363" s="83"/>
      <c r="AO363" s="83"/>
      <c r="AP363" s="83"/>
      <c r="AQ363" s="84"/>
      <c r="AR363" s="84"/>
      <c r="AS363" s="84"/>
      <c r="AT363" s="84"/>
      <c r="AU363" s="84"/>
      <c r="AV363" s="84"/>
      <c r="AW363" s="84"/>
      <c r="AX363" s="84"/>
      <c r="AY363" s="84"/>
      <c r="AZ363" s="86"/>
      <c r="BA363" s="84"/>
      <c r="BB363" s="84"/>
      <c r="BC363" s="84"/>
      <c r="BD363" s="84"/>
      <c r="BE363" s="84"/>
      <c r="BF363" s="84"/>
      <c r="BG363" s="84"/>
      <c r="BH363" s="84"/>
      <c r="BI363" s="84"/>
      <c r="BJ363" s="86"/>
      <c r="BK363" s="84"/>
      <c r="BL363" s="86"/>
      <c r="BM363" s="84"/>
      <c r="BN363" s="86"/>
      <c r="BO363" s="84"/>
      <c r="BP363" s="86"/>
      <c r="BQ363" s="84"/>
      <c r="BR363" s="84"/>
      <c r="BS363" s="84"/>
      <c r="BT363" s="84"/>
      <c r="BU363" s="84"/>
      <c r="BV363" s="84"/>
      <c r="BW363" s="84"/>
      <c r="BX363" s="84"/>
      <c r="BY363" s="84"/>
      <c r="BZ363" s="84"/>
      <c r="CA363" s="84"/>
      <c r="CB363" s="84"/>
      <c r="CC363" s="84"/>
      <c r="CD363" s="84"/>
      <c r="CE363" s="84"/>
      <c r="CF363" s="84"/>
      <c r="CG363" s="372"/>
      <c r="CH363" s="155"/>
      <c r="CI363" s="84"/>
      <c r="CJ363" s="83" t="str">
        <f t="shared" si="106"/>
        <v>No aplica</v>
      </c>
      <c r="CK363" s="83" t="str">
        <f t="shared" si="103"/>
        <v>No aplica</v>
      </c>
      <c r="CL363" s="83" t="str">
        <f t="shared" si="97"/>
        <v>No requiere reporte</v>
      </c>
      <c r="CM363" s="89" t="str">
        <f t="shared" si="98"/>
        <v>No requiere reporte</v>
      </c>
      <c r="CN363" s="89" t="str">
        <f t="shared" si="99"/>
        <v>No requiere reporte</v>
      </c>
      <c r="CO363" s="145" t="s">
        <v>417</v>
      </c>
      <c r="CP363" s="145" t="s">
        <v>3226</v>
      </c>
      <c r="CQ363" s="145" t="s">
        <v>262</v>
      </c>
      <c r="CR363" s="145" t="s">
        <v>3227</v>
      </c>
      <c r="CS363" s="178" t="s">
        <v>3228</v>
      </c>
      <c r="CT363" s="145" t="s">
        <v>200</v>
      </c>
      <c r="CU363" s="145" t="s">
        <v>162</v>
      </c>
      <c r="CV363" s="157">
        <v>1</v>
      </c>
      <c r="CW363" s="145" t="s">
        <v>163</v>
      </c>
      <c r="CX363" s="663">
        <v>46023</v>
      </c>
      <c r="CY363" s="663">
        <v>46387</v>
      </c>
      <c r="CZ363" s="157">
        <v>0</v>
      </c>
      <c r="DA363" s="146">
        <v>1</v>
      </c>
      <c r="DB363" s="146">
        <v>1</v>
      </c>
      <c r="DC363" s="146">
        <v>1</v>
      </c>
      <c r="DD363" s="146">
        <v>1</v>
      </c>
      <c r="DE363" s="178" t="s">
        <v>761</v>
      </c>
      <c r="DF363" s="178" t="s">
        <v>3130</v>
      </c>
      <c r="DG363" s="178" t="s">
        <v>3131</v>
      </c>
      <c r="DH363" s="466">
        <v>257500000</v>
      </c>
      <c r="DI363" s="145" t="s">
        <v>1022</v>
      </c>
      <c r="DJ363" s="145" t="s">
        <v>480</v>
      </c>
      <c r="DK363" s="145" t="s">
        <v>3074</v>
      </c>
      <c r="DL363" s="145" t="s">
        <v>2708</v>
      </c>
      <c r="DM363" s="145" t="s">
        <v>3132</v>
      </c>
      <c r="DN363" s="145"/>
      <c r="DO363" s="677"/>
      <c r="DP363" s="145"/>
      <c r="DQ363" s="677"/>
      <c r="DR363" s="677"/>
      <c r="DS363" s="145"/>
      <c r="DT363" s="677"/>
      <c r="DU363" s="145"/>
      <c r="DV363" s="677"/>
      <c r="DW363" s="677"/>
      <c r="DX363" s="145"/>
      <c r="DY363" s="145"/>
      <c r="DZ363" s="145"/>
      <c r="EA363" s="145"/>
      <c r="EB363" s="145"/>
      <c r="EC363" s="145"/>
      <c r="ED363" s="145"/>
      <c r="EE363" s="145"/>
      <c r="EF363" s="145"/>
      <c r="EG363" s="145"/>
      <c r="EH363" s="145"/>
      <c r="EI363" s="145"/>
      <c r="EJ363" s="145"/>
      <c r="EK363" s="145"/>
      <c r="EL363" s="91" t="str">
        <f t="shared" si="100"/>
        <v>No aplica, no hay meta</v>
      </c>
      <c r="EM363" s="83" t="str">
        <f t="shared" si="101"/>
        <v>No se reportó avance</v>
      </c>
      <c r="EN363" s="86"/>
      <c r="EO363" t="str">
        <f t="shared" si="104"/>
        <v>Gestión</v>
      </c>
      <c r="EP363" t="str">
        <f t="shared" si="105"/>
        <v>5</v>
      </c>
    </row>
    <row r="364" spans="1:146" ht="69.95" customHeight="1">
      <c r="A364" s="84" t="s">
        <v>3048</v>
      </c>
      <c r="B364" s="85" t="s">
        <v>3049</v>
      </c>
      <c r="C364" s="85" t="s">
        <v>3096</v>
      </c>
      <c r="D364" s="85" t="s">
        <v>3110</v>
      </c>
      <c r="E364" s="85" t="s">
        <v>3111</v>
      </c>
      <c r="F364" s="84" t="s">
        <v>201</v>
      </c>
      <c r="G364" s="145" t="s">
        <v>201</v>
      </c>
      <c r="H364" s="145" t="s">
        <v>3112</v>
      </c>
      <c r="I364" s="84" t="s">
        <v>3054</v>
      </c>
      <c r="J364" s="84" t="s">
        <v>3054</v>
      </c>
      <c r="K364" s="84" t="s">
        <v>3198</v>
      </c>
      <c r="L364" s="84">
        <v>4</v>
      </c>
      <c r="M364" s="84" t="s">
        <v>3199</v>
      </c>
      <c r="N364" s="84" t="s">
        <v>3200</v>
      </c>
      <c r="O364" s="84" t="s">
        <v>3201</v>
      </c>
      <c r="P364" s="84" t="s">
        <v>200</v>
      </c>
      <c r="Q364" s="84" t="s">
        <v>275</v>
      </c>
      <c r="R364" s="83">
        <v>0</v>
      </c>
      <c r="S364" s="84" t="s">
        <v>163</v>
      </c>
      <c r="T364" s="90">
        <v>44927</v>
      </c>
      <c r="U364" s="90">
        <v>46387</v>
      </c>
      <c r="V364" s="83"/>
      <c r="W364" s="83"/>
      <c r="X364" s="83"/>
      <c r="Y364" s="83"/>
      <c r="Z364" s="83"/>
      <c r="AA364" s="83"/>
      <c r="AB364" s="83"/>
      <c r="AC364" s="83"/>
      <c r="AD364" s="83"/>
      <c r="AE364" s="83"/>
      <c r="AF364" s="83"/>
      <c r="AG364" s="83"/>
      <c r="AH364" s="83"/>
      <c r="AI364" s="83"/>
      <c r="AJ364" s="83"/>
      <c r="AK364" s="83"/>
      <c r="AL364" s="83"/>
      <c r="AM364" s="83"/>
      <c r="AN364" s="83"/>
      <c r="AO364" s="83"/>
      <c r="AP364" s="83"/>
      <c r="AQ364" s="84"/>
      <c r="AR364" s="84"/>
      <c r="AS364" s="84"/>
      <c r="AT364" s="84"/>
      <c r="AU364" s="84"/>
      <c r="AV364" s="84"/>
      <c r="AW364" s="84"/>
      <c r="AX364" s="84"/>
      <c r="AY364" s="84"/>
      <c r="AZ364" s="86"/>
      <c r="BA364" s="84"/>
      <c r="BB364" s="84"/>
      <c r="BC364" s="84"/>
      <c r="BD364" s="84"/>
      <c r="BE364" s="84"/>
      <c r="BF364" s="84"/>
      <c r="BG364" s="84"/>
      <c r="BH364" s="84"/>
      <c r="BI364" s="84"/>
      <c r="BJ364" s="86"/>
      <c r="BK364" s="84"/>
      <c r="BL364" s="86"/>
      <c r="BM364" s="84"/>
      <c r="BN364" s="86"/>
      <c r="BO364" s="84"/>
      <c r="BP364" s="86"/>
      <c r="BQ364" s="84"/>
      <c r="BR364" s="84"/>
      <c r="BS364" s="84"/>
      <c r="BT364" s="84"/>
      <c r="BU364" s="84"/>
      <c r="BV364" s="84"/>
      <c r="BW364" s="84"/>
      <c r="BX364" s="84"/>
      <c r="BY364" s="84"/>
      <c r="BZ364" s="84"/>
      <c r="CA364" s="84"/>
      <c r="CB364" s="84"/>
      <c r="CC364" s="84"/>
      <c r="CD364" s="84"/>
      <c r="CE364" s="84"/>
      <c r="CF364" s="84"/>
      <c r="CG364" s="372"/>
      <c r="CH364" s="155"/>
      <c r="CI364" s="84"/>
      <c r="CJ364" s="83" t="str">
        <f t="shared" si="106"/>
        <v>No aplica</v>
      </c>
      <c r="CK364" s="83" t="str">
        <f t="shared" si="103"/>
        <v>No aplica</v>
      </c>
      <c r="CL364" s="83" t="str">
        <f t="shared" si="97"/>
        <v>No requiere reporte</v>
      </c>
      <c r="CM364" s="89" t="str">
        <f t="shared" si="98"/>
        <v>No requiere reporte</v>
      </c>
      <c r="CN364" s="89" t="str">
        <f t="shared" si="99"/>
        <v>No requiere reporte</v>
      </c>
      <c r="CO364" s="145" t="s">
        <v>422</v>
      </c>
      <c r="CP364" s="145" t="s">
        <v>3229</v>
      </c>
      <c r="CQ364" s="178" t="s">
        <v>1475</v>
      </c>
      <c r="CR364" s="145" t="s">
        <v>3230</v>
      </c>
      <c r="CS364" s="145" t="s">
        <v>3231</v>
      </c>
      <c r="CT364" s="178" t="s">
        <v>161</v>
      </c>
      <c r="CU364" s="741" t="s">
        <v>233</v>
      </c>
      <c r="CV364" s="503">
        <v>0</v>
      </c>
      <c r="CW364" s="178" t="s">
        <v>234</v>
      </c>
      <c r="CX364" s="663">
        <v>46023</v>
      </c>
      <c r="CY364" s="663">
        <v>46387</v>
      </c>
      <c r="CZ364" s="154">
        <v>0</v>
      </c>
      <c r="DA364" s="154">
        <v>0</v>
      </c>
      <c r="DB364" s="154">
        <v>4</v>
      </c>
      <c r="DC364" s="154">
        <v>1</v>
      </c>
      <c r="DD364" s="154">
        <f>CZ364+DA364+DB364+DC364</f>
        <v>5</v>
      </c>
      <c r="DE364" s="178" t="s">
        <v>761</v>
      </c>
      <c r="DF364" s="178" t="s">
        <v>3130</v>
      </c>
      <c r="DG364" s="178" t="s">
        <v>3131</v>
      </c>
      <c r="DH364" s="466">
        <v>206000000</v>
      </c>
      <c r="DI364" s="145" t="s">
        <v>1022</v>
      </c>
      <c r="DJ364" s="145" t="s">
        <v>480</v>
      </c>
      <c r="DK364" s="145" t="s">
        <v>3074</v>
      </c>
      <c r="DL364" s="145" t="s">
        <v>2708</v>
      </c>
      <c r="DM364" s="145" t="s">
        <v>3152</v>
      </c>
      <c r="DN364" s="145"/>
      <c r="DO364" s="677"/>
      <c r="DP364" s="145"/>
      <c r="DQ364" s="677"/>
      <c r="DR364" s="677"/>
      <c r="DS364" s="145"/>
      <c r="DT364" s="734"/>
      <c r="DU364" s="145"/>
      <c r="DV364" s="677"/>
      <c r="DW364" s="677"/>
      <c r="DX364" s="145"/>
      <c r="DY364" s="677"/>
      <c r="DZ364" s="145"/>
      <c r="EA364" s="677"/>
      <c r="EB364" s="677"/>
      <c r="EC364" s="145"/>
      <c r="ED364" s="145"/>
      <c r="EE364" s="145"/>
      <c r="EF364" s="145"/>
      <c r="EG364" s="145"/>
      <c r="EH364" s="145"/>
      <c r="EI364" s="145"/>
      <c r="EJ364" s="145"/>
      <c r="EK364" s="145"/>
      <c r="EL364" s="91" t="str">
        <f t="shared" si="100"/>
        <v>No aplica, no hay meta</v>
      </c>
      <c r="EM364" s="83" t="str">
        <f t="shared" si="101"/>
        <v>No se reportó avance</v>
      </c>
      <c r="EN364" s="86"/>
      <c r="EO364" t="str">
        <f t="shared" si="104"/>
        <v>Gestión</v>
      </c>
      <c r="EP364" t="str">
        <f t="shared" si="105"/>
        <v>5</v>
      </c>
    </row>
    <row r="365" spans="1:146" ht="69.95" customHeight="1">
      <c r="A365" s="84" t="s">
        <v>3048</v>
      </c>
      <c r="B365" s="85" t="s">
        <v>3049</v>
      </c>
      <c r="C365" s="85" t="s">
        <v>3096</v>
      </c>
      <c r="D365" s="85" t="s">
        <v>3110</v>
      </c>
      <c r="E365" s="85" t="s">
        <v>3111</v>
      </c>
      <c r="F365" s="84" t="s">
        <v>201</v>
      </c>
      <c r="G365" s="145" t="s">
        <v>201</v>
      </c>
      <c r="H365" s="145" t="s">
        <v>3112</v>
      </c>
      <c r="I365" s="84" t="s">
        <v>3054</v>
      </c>
      <c r="J365" s="84" t="s">
        <v>3054</v>
      </c>
      <c r="K365" s="84" t="s">
        <v>3198</v>
      </c>
      <c r="L365" s="84">
        <v>4</v>
      </c>
      <c r="M365" s="84" t="s">
        <v>3199</v>
      </c>
      <c r="N365" s="84" t="s">
        <v>3200</v>
      </c>
      <c r="O365" s="84" t="s">
        <v>3201</v>
      </c>
      <c r="P365" s="84" t="s">
        <v>200</v>
      </c>
      <c r="Q365" s="84" t="s">
        <v>275</v>
      </c>
      <c r="R365" s="83">
        <v>0</v>
      </c>
      <c r="S365" s="84" t="s">
        <v>163</v>
      </c>
      <c r="T365" s="90">
        <v>44927</v>
      </c>
      <c r="U365" s="90">
        <v>46387</v>
      </c>
      <c r="V365" s="83"/>
      <c r="W365" s="83"/>
      <c r="X365" s="83"/>
      <c r="Y365" s="83"/>
      <c r="Z365" s="83"/>
      <c r="AA365" s="83"/>
      <c r="AB365" s="83"/>
      <c r="AC365" s="83"/>
      <c r="AD365" s="83"/>
      <c r="AE365" s="83"/>
      <c r="AF365" s="83"/>
      <c r="AG365" s="83"/>
      <c r="AH365" s="83"/>
      <c r="AI365" s="83"/>
      <c r="AJ365" s="83"/>
      <c r="AK365" s="83"/>
      <c r="AL365" s="83"/>
      <c r="AM365" s="83"/>
      <c r="AN365" s="83"/>
      <c r="AO365" s="83"/>
      <c r="AP365" s="83"/>
      <c r="AQ365" s="84"/>
      <c r="AR365" s="84"/>
      <c r="AS365" s="84"/>
      <c r="AT365" s="84"/>
      <c r="AU365" s="84"/>
      <c r="AV365" s="84"/>
      <c r="AW365" s="84"/>
      <c r="AX365" s="84"/>
      <c r="AY365" s="84"/>
      <c r="AZ365" s="86"/>
      <c r="BA365" s="84"/>
      <c r="BB365" s="84"/>
      <c r="BC365" s="84"/>
      <c r="BD365" s="84"/>
      <c r="BE365" s="84"/>
      <c r="BF365" s="84"/>
      <c r="BG365" s="84"/>
      <c r="BH365" s="84"/>
      <c r="BI365" s="84"/>
      <c r="BJ365" s="86"/>
      <c r="BK365" s="84"/>
      <c r="BL365" s="86"/>
      <c r="BM365" s="84"/>
      <c r="BN365" s="86"/>
      <c r="BO365" s="84"/>
      <c r="BP365" s="86"/>
      <c r="BQ365" s="84"/>
      <c r="BR365" s="84"/>
      <c r="BS365" s="84"/>
      <c r="BT365" s="84"/>
      <c r="BU365" s="84"/>
      <c r="BV365" s="84"/>
      <c r="BW365" s="84"/>
      <c r="BX365" s="84"/>
      <c r="BY365" s="84"/>
      <c r="BZ365" s="84"/>
      <c r="CA365" s="84"/>
      <c r="CB365" s="84"/>
      <c r="CC365" s="84"/>
      <c r="CD365" s="84"/>
      <c r="CE365" s="84"/>
      <c r="CF365" s="84"/>
      <c r="CG365" s="372"/>
      <c r="CH365" s="155"/>
      <c r="CI365" s="84"/>
      <c r="CJ365" s="83" t="str">
        <f t="shared" si="106"/>
        <v>No aplica</v>
      </c>
      <c r="CK365" s="83" t="str">
        <f t="shared" si="103"/>
        <v>No aplica</v>
      </c>
      <c r="CL365" s="83" t="str">
        <f t="shared" si="97"/>
        <v>No requiere reporte</v>
      </c>
      <c r="CM365" s="89" t="str">
        <f t="shared" si="98"/>
        <v>No requiere reporte</v>
      </c>
      <c r="CN365" s="89" t="str">
        <f t="shared" si="99"/>
        <v>No requiere reporte</v>
      </c>
      <c r="CO365" s="145" t="s">
        <v>427</v>
      </c>
      <c r="CP365" s="145" t="s">
        <v>3232</v>
      </c>
      <c r="CQ365" s="178" t="s">
        <v>1475</v>
      </c>
      <c r="CR365" s="145" t="s">
        <v>3233</v>
      </c>
      <c r="CS365" s="145" t="s">
        <v>3233</v>
      </c>
      <c r="CT365" s="178" t="s">
        <v>161</v>
      </c>
      <c r="CU365" s="741" t="s">
        <v>233</v>
      </c>
      <c r="CV365" s="503">
        <v>3</v>
      </c>
      <c r="CW365" s="178" t="s">
        <v>234</v>
      </c>
      <c r="CX365" s="663">
        <v>46023</v>
      </c>
      <c r="CY365" s="663">
        <v>46387</v>
      </c>
      <c r="CZ365" s="154">
        <v>0</v>
      </c>
      <c r="DA365" s="154">
        <v>0</v>
      </c>
      <c r="DB365" s="154">
        <v>0</v>
      </c>
      <c r="DC365" s="154">
        <v>1</v>
      </c>
      <c r="DD365" s="154">
        <f>CZ365+DA365+DB365+DC365</f>
        <v>1</v>
      </c>
      <c r="DE365" s="178" t="s">
        <v>761</v>
      </c>
      <c r="DF365" s="178" t="s">
        <v>3130</v>
      </c>
      <c r="DG365" s="178" t="s">
        <v>3131</v>
      </c>
      <c r="DH365" s="466">
        <v>412000000</v>
      </c>
      <c r="DI365" s="145" t="s">
        <v>1022</v>
      </c>
      <c r="DJ365" s="145" t="s">
        <v>480</v>
      </c>
      <c r="DK365" s="145" t="s">
        <v>3074</v>
      </c>
      <c r="DL365" s="145" t="s">
        <v>2708</v>
      </c>
      <c r="DM365" s="145" t="s">
        <v>3152</v>
      </c>
      <c r="DN365" s="145"/>
      <c r="DO365" s="677"/>
      <c r="DP365" s="145"/>
      <c r="DQ365" s="677"/>
      <c r="DR365" s="677"/>
      <c r="DS365" s="146"/>
      <c r="DT365" s="677"/>
      <c r="DU365" s="145"/>
      <c r="DV365" s="677"/>
      <c r="DW365" s="677"/>
      <c r="DX365" s="146"/>
      <c r="DY365" s="677"/>
      <c r="DZ365" s="145"/>
      <c r="EA365" s="677"/>
      <c r="EB365" s="677"/>
      <c r="EC365" s="145"/>
      <c r="ED365" s="145"/>
      <c r="EE365" s="145"/>
      <c r="EF365" s="145"/>
      <c r="EG365" s="145"/>
      <c r="EH365" s="145"/>
      <c r="EI365" s="145"/>
      <c r="EJ365" s="145"/>
      <c r="EK365" s="145"/>
      <c r="EL365" s="91" t="str">
        <f t="shared" si="100"/>
        <v>No aplica, no hay meta</v>
      </c>
      <c r="EM365" s="83" t="str">
        <f t="shared" si="101"/>
        <v>No se reportó avance</v>
      </c>
      <c r="EN365" s="153"/>
      <c r="EO365" t="str">
        <f t="shared" si="104"/>
        <v>Gestión</v>
      </c>
      <c r="EP365" t="str">
        <f t="shared" si="105"/>
        <v>5</v>
      </c>
    </row>
    <row r="366" spans="1:146" ht="69.95" customHeight="1">
      <c r="A366" s="84" t="s">
        <v>3048</v>
      </c>
      <c r="B366" s="85" t="s">
        <v>3049</v>
      </c>
      <c r="C366" s="85" t="s">
        <v>3096</v>
      </c>
      <c r="D366" s="85" t="s">
        <v>3110</v>
      </c>
      <c r="E366" s="85" t="s">
        <v>3111</v>
      </c>
      <c r="F366" s="84" t="s">
        <v>201</v>
      </c>
      <c r="G366" s="145" t="s">
        <v>201</v>
      </c>
      <c r="H366" s="145" t="s">
        <v>3112</v>
      </c>
      <c r="I366" s="84" t="s">
        <v>3054</v>
      </c>
      <c r="J366" s="84" t="s">
        <v>3054</v>
      </c>
      <c r="K366" s="84" t="s">
        <v>3198</v>
      </c>
      <c r="L366" s="84">
        <v>4</v>
      </c>
      <c r="M366" s="84" t="s">
        <v>3199</v>
      </c>
      <c r="N366" s="84" t="s">
        <v>3200</v>
      </c>
      <c r="O366" s="84" t="s">
        <v>3201</v>
      </c>
      <c r="P366" s="84" t="s">
        <v>200</v>
      </c>
      <c r="Q366" s="84" t="s">
        <v>275</v>
      </c>
      <c r="R366" s="83">
        <v>0</v>
      </c>
      <c r="S366" s="84" t="s">
        <v>163</v>
      </c>
      <c r="T366" s="90">
        <v>44927</v>
      </c>
      <c r="U366" s="90">
        <v>46387</v>
      </c>
      <c r="V366" s="83"/>
      <c r="W366" s="83"/>
      <c r="X366" s="83"/>
      <c r="Y366" s="83"/>
      <c r="Z366" s="83"/>
      <c r="AA366" s="83"/>
      <c r="AB366" s="83"/>
      <c r="AC366" s="83"/>
      <c r="AD366" s="83"/>
      <c r="AE366" s="83"/>
      <c r="AF366" s="83"/>
      <c r="AG366" s="83"/>
      <c r="AH366" s="83"/>
      <c r="AI366" s="83"/>
      <c r="AJ366" s="83"/>
      <c r="AK366" s="83"/>
      <c r="AL366" s="83"/>
      <c r="AM366" s="83"/>
      <c r="AN366" s="83"/>
      <c r="AO366" s="83"/>
      <c r="AP366" s="83"/>
      <c r="AQ366" s="84"/>
      <c r="AR366" s="84"/>
      <c r="AS366" s="84"/>
      <c r="AT366" s="84"/>
      <c r="AU366" s="84"/>
      <c r="AV366" s="84"/>
      <c r="AW366" s="84"/>
      <c r="AX366" s="84"/>
      <c r="AY366" s="84"/>
      <c r="AZ366" s="86"/>
      <c r="BA366" s="84"/>
      <c r="BB366" s="84"/>
      <c r="BC366" s="84"/>
      <c r="BD366" s="84"/>
      <c r="BE366" s="84"/>
      <c r="BF366" s="84"/>
      <c r="BG366" s="84"/>
      <c r="BH366" s="84"/>
      <c r="BI366" s="84"/>
      <c r="BJ366" s="86"/>
      <c r="BK366" s="84"/>
      <c r="BL366" s="86"/>
      <c r="BM366" s="84"/>
      <c r="BN366" s="86"/>
      <c r="BO366" s="84"/>
      <c r="BP366" s="86"/>
      <c r="BQ366" s="84"/>
      <c r="BR366" s="84"/>
      <c r="BS366" s="84"/>
      <c r="BT366" s="84"/>
      <c r="BU366" s="84"/>
      <c r="BV366" s="84"/>
      <c r="BW366" s="84"/>
      <c r="BX366" s="84"/>
      <c r="BY366" s="84"/>
      <c r="BZ366" s="84"/>
      <c r="CA366" s="84"/>
      <c r="CB366" s="84"/>
      <c r="CC366" s="84"/>
      <c r="CD366" s="84"/>
      <c r="CE366" s="84"/>
      <c r="CF366" s="84"/>
      <c r="CG366" s="372"/>
      <c r="CH366" s="155"/>
      <c r="CI366" s="84"/>
      <c r="CJ366" s="83" t="str">
        <f t="shared" si="106"/>
        <v>No aplica</v>
      </c>
      <c r="CK366" s="83" t="str">
        <f t="shared" si="103"/>
        <v>No aplica</v>
      </c>
      <c r="CL366" s="83" t="str">
        <f t="shared" si="97"/>
        <v>No requiere reporte</v>
      </c>
      <c r="CM366" s="89" t="str">
        <f t="shared" si="98"/>
        <v>No requiere reporte</v>
      </c>
      <c r="CN366" s="89" t="str">
        <f t="shared" si="99"/>
        <v>No requiere reporte</v>
      </c>
      <c r="CO366" s="145" t="s">
        <v>434</v>
      </c>
      <c r="CP366" s="145" t="s">
        <v>3234</v>
      </c>
      <c r="CQ366" s="178" t="s">
        <v>1475</v>
      </c>
      <c r="CR366" s="145" t="s">
        <v>3235</v>
      </c>
      <c r="CS366" s="145" t="s">
        <v>3235</v>
      </c>
      <c r="CT366" s="178" t="s">
        <v>161</v>
      </c>
      <c r="CU366" s="741" t="s">
        <v>233</v>
      </c>
      <c r="CV366" s="503">
        <v>3</v>
      </c>
      <c r="CW366" s="178" t="s">
        <v>234</v>
      </c>
      <c r="CX366" s="663">
        <v>46023</v>
      </c>
      <c r="CY366" s="663">
        <v>46387</v>
      </c>
      <c r="CZ366" s="154">
        <v>0</v>
      </c>
      <c r="DA366" s="154">
        <v>0</v>
      </c>
      <c r="DB366" s="154">
        <v>2</v>
      </c>
      <c r="DC366" s="154">
        <v>1</v>
      </c>
      <c r="DD366" s="154">
        <f>CZ366+DA366+DB366+DC366</f>
        <v>3</v>
      </c>
      <c r="DE366" s="178" t="s">
        <v>761</v>
      </c>
      <c r="DF366" s="178" t="s">
        <v>3130</v>
      </c>
      <c r="DG366" s="178" t="s">
        <v>3131</v>
      </c>
      <c r="DH366" s="870">
        <v>154500515</v>
      </c>
      <c r="DI366" s="145" t="s">
        <v>1022</v>
      </c>
      <c r="DJ366" s="145" t="s">
        <v>480</v>
      </c>
      <c r="DK366" s="145" t="s">
        <v>3074</v>
      </c>
      <c r="DL366" s="145" t="s">
        <v>2708</v>
      </c>
      <c r="DM366" s="145" t="s">
        <v>3152</v>
      </c>
      <c r="DN366" s="145"/>
      <c r="DO366" s="677"/>
      <c r="DP366" s="145"/>
      <c r="DQ366" s="677"/>
      <c r="DR366" s="677"/>
      <c r="DS366" s="145"/>
      <c r="DT366" s="677"/>
      <c r="DU366" s="145"/>
      <c r="DV366" s="677"/>
      <c r="DW366" s="677"/>
      <c r="DX366" s="145"/>
      <c r="DY366" s="145"/>
      <c r="DZ366" s="145"/>
      <c r="EA366" s="145"/>
      <c r="EB366" s="145"/>
      <c r="EC366" s="145"/>
      <c r="ED366" s="145"/>
      <c r="EE366" s="145"/>
      <c r="EF366" s="145"/>
      <c r="EG366" s="145"/>
      <c r="EH366" s="145"/>
      <c r="EI366" s="145"/>
      <c r="EJ366" s="145"/>
      <c r="EK366" s="145"/>
      <c r="EL366" s="91" t="str">
        <f t="shared" si="100"/>
        <v>No aplica, no hay meta</v>
      </c>
      <c r="EM366" s="83" t="str">
        <f t="shared" si="101"/>
        <v>No se reportó avance</v>
      </c>
      <c r="EN366" s="86"/>
      <c r="EO366" t="str">
        <f t="shared" si="104"/>
        <v>Gestión</v>
      </c>
      <c r="EP366" t="str">
        <f t="shared" si="105"/>
        <v>5</v>
      </c>
    </row>
    <row r="367" spans="1:146" ht="69.95" customHeight="1">
      <c r="A367" s="84" t="s">
        <v>3048</v>
      </c>
      <c r="B367" s="85" t="s">
        <v>3049</v>
      </c>
      <c r="C367" s="85" t="s">
        <v>3096</v>
      </c>
      <c r="D367" s="85" t="s">
        <v>3110</v>
      </c>
      <c r="E367" s="85" t="s">
        <v>3111</v>
      </c>
      <c r="F367" s="84" t="s">
        <v>201</v>
      </c>
      <c r="G367" s="145" t="s">
        <v>201</v>
      </c>
      <c r="H367" s="145" t="s">
        <v>3112</v>
      </c>
      <c r="I367" s="84" t="s">
        <v>3054</v>
      </c>
      <c r="J367" s="84" t="s">
        <v>3054</v>
      </c>
      <c r="K367" s="84" t="s">
        <v>3198</v>
      </c>
      <c r="L367" s="84">
        <v>4</v>
      </c>
      <c r="M367" s="84" t="s">
        <v>3199</v>
      </c>
      <c r="N367" s="84" t="s">
        <v>3200</v>
      </c>
      <c r="O367" s="84" t="s">
        <v>3201</v>
      </c>
      <c r="P367" s="84" t="s">
        <v>200</v>
      </c>
      <c r="Q367" s="84" t="s">
        <v>275</v>
      </c>
      <c r="R367" s="83">
        <v>0</v>
      </c>
      <c r="S367" s="84" t="s">
        <v>163</v>
      </c>
      <c r="T367" s="90">
        <v>44927</v>
      </c>
      <c r="U367" s="90">
        <v>46387</v>
      </c>
      <c r="V367" s="83"/>
      <c r="W367" s="83"/>
      <c r="X367" s="83"/>
      <c r="Y367" s="83"/>
      <c r="Z367" s="83"/>
      <c r="AA367" s="83"/>
      <c r="AB367" s="83"/>
      <c r="AC367" s="83"/>
      <c r="AD367" s="83"/>
      <c r="AE367" s="83"/>
      <c r="AF367" s="83"/>
      <c r="AG367" s="83"/>
      <c r="AH367" s="83"/>
      <c r="AI367" s="83"/>
      <c r="AJ367" s="83"/>
      <c r="AK367" s="83"/>
      <c r="AL367" s="83"/>
      <c r="AM367" s="83"/>
      <c r="AN367" s="83"/>
      <c r="AO367" s="83"/>
      <c r="AP367" s="83"/>
      <c r="AQ367" s="84"/>
      <c r="AR367" s="84"/>
      <c r="AS367" s="84"/>
      <c r="AT367" s="84"/>
      <c r="AU367" s="84"/>
      <c r="AV367" s="84"/>
      <c r="AW367" s="84"/>
      <c r="AX367" s="84"/>
      <c r="AY367" s="84"/>
      <c r="AZ367" s="86"/>
      <c r="BA367" s="84"/>
      <c r="BB367" s="84"/>
      <c r="BC367" s="84"/>
      <c r="BD367" s="84"/>
      <c r="BE367" s="84"/>
      <c r="BF367" s="84"/>
      <c r="BG367" s="84"/>
      <c r="BH367" s="84"/>
      <c r="BI367" s="84"/>
      <c r="BJ367" s="86"/>
      <c r="BK367" s="84"/>
      <c r="BL367" s="86"/>
      <c r="BM367" s="84"/>
      <c r="BN367" s="86"/>
      <c r="BO367" s="84"/>
      <c r="BP367" s="86"/>
      <c r="BQ367" s="84"/>
      <c r="BR367" s="84"/>
      <c r="BS367" s="84"/>
      <c r="BT367" s="84"/>
      <c r="BU367" s="84"/>
      <c r="BV367" s="84"/>
      <c r="BW367" s="84"/>
      <c r="BX367" s="84"/>
      <c r="BY367" s="84"/>
      <c r="BZ367" s="84"/>
      <c r="CA367" s="84"/>
      <c r="CB367" s="84"/>
      <c r="CC367" s="84"/>
      <c r="CD367" s="84"/>
      <c r="CE367" s="84"/>
      <c r="CF367" s="84"/>
      <c r="CG367" s="372"/>
      <c r="CH367" s="155"/>
      <c r="CI367" s="84"/>
      <c r="CJ367" s="83" t="str">
        <f t="shared" si="106"/>
        <v>No aplica</v>
      </c>
      <c r="CK367" s="83" t="str">
        <f t="shared" si="103"/>
        <v>No aplica</v>
      </c>
      <c r="CL367" s="83" t="str">
        <f t="shared" si="97"/>
        <v>No requiere reporte</v>
      </c>
      <c r="CM367" s="89" t="str">
        <f t="shared" si="98"/>
        <v>No requiere reporte</v>
      </c>
      <c r="CN367" s="89" t="str">
        <f t="shared" si="99"/>
        <v>No requiere reporte</v>
      </c>
      <c r="CO367" s="145" t="s">
        <v>439</v>
      </c>
      <c r="CP367" s="145" t="s">
        <v>3236</v>
      </c>
      <c r="CQ367" s="178" t="s">
        <v>1475</v>
      </c>
      <c r="CR367" s="178" t="s">
        <v>3237</v>
      </c>
      <c r="CS367" s="178" t="s">
        <v>3238</v>
      </c>
      <c r="CT367" s="178" t="s">
        <v>200</v>
      </c>
      <c r="CU367" s="741" t="s">
        <v>162</v>
      </c>
      <c r="CV367" s="689">
        <v>1</v>
      </c>
      <c r="CW367" s="741" t="s">
        <v>252</v>
      </c>
      <c r="CX367" s="663">
        <v>46023</v>
      </c>
      <c r="CY367" s="663">
        <v>46387</v>
      </c>
      <c r="CZ367" s="146">
        <v>1</v>
      </c>
      <c r="DA367" s="146">
        <v>1</v>
      </c>
      <c r="DB367" s="146">
        <v>1</v>
      </c>
      <c r="DC367" s="146">
        <v>1</v>
      </c>
      <c r="DD367" s="146">
        <v>1</v>
      </c>
      <c r="DE367" s="178" t="s">
        <v>761</v>
      </c>
      <c r="DF367" s="178" t="s">
        <v>3130</v>
      </c>
      <c r="DG367" s="178" t="s">
        <v>3131</v>
      </c>
      <c r="DH367" s="870">
        <v>11529699485</v>
      </c>
      <c r="DI367" s="145" t="s">
        <v>1022</v>
      </c>
      <c r="DJ367" s="145" t="s">
        <v>480</v>
      </c>
      <c r="DK367" s="145" t="s">
        <v>3074</v>
      </c>
      <c r="DL367" s="145" t="s">
        <v>2708</v>
      </c>
      <c r="DM367" s="145" t="s">
        <v>3132</v>
      </c>
      <c r="DN367" s="145"/>
      <c r="DO367" s="677"/>
      <c r="DP367" s="145"/>
      <c r="DQ367" s="677"/>
      <c r="DR367" s="677"/>
      <c r="DS367" s="145"/>
      <c r="DT367" s="677"/>
      <c r="DU367" s="145"/>
      <c r="DV367" s="677"/>
      <c r="DW367" s="677"/>
      <c r="DX367" s="145"/>
      <c r="DY367" s="677"/>
      <c r="DZ367" s="145"/>
      <c r="EA367" s="677"/>
      <c r="EB367" s="677"/>
      <c r="EC367" s="145"/>
      <c r="ED367" s="145"/>
      <c r="EE367" s="145"/>
      <c r="EF367" s="145"/>
      <c r="EG367" s="145"/>
      <c r="EH367" s="145"/>
      <c r="EI367" s="145"/>
      <c r="EJ367" s="145"/>
      <c r="EK367" s="145"/>
      <c r="EL367" s="91" t="str">
        <f t="shared" si="100"/>
        <v>No se reportó avance</v>
      </c>
      <c r="EM367" s="83" t="str">
        <f t="shared" si="101"/>
        <v>No se reportó avance</v>
      </c>
      <c r="EN367" s="153"/>
      <c r="EO367" t="str">
        <f t="shared" si="104"/>
        <v>Gestión</v>
      </c>
      <c r="EP367" t="str">
        <f t="shared" si="105"/>
        <v>5</v>
      </c>
    </row>
    <row r="368" spans="1:146" ht="69.95" customHeight="1">
      <c r="A368" s="74" t="s">
        <v>3048</v>
      </c>
      <c r="B368" s="74" t="s">
        <v>3049</v>
      </c>
      <c r="C368" s="75" t="s">
        <v>3133</v>
      </c>
      <c r="D368" s="75" t="s">
        <v>3110</v>
      </c>
      <c r="E368" s="75" t="s">
        <v>3111</v>
      </c>
      <c r="F368" s="74" t="s">
        <v>201</v>
      </c>
      <c r="G368" s="502" t="s">
        <v>201</v>
      </c>
      <c r="H368" s="502" t="s">
        <v>3239</v>
      </c>
      <c r="I368" s="74" t="s">
        <v>3054</v>
      </c>
      <c r="J368" s="74" t="s">
        <v>3054</v>
      </c>
      <c r="K368" s="74" t="s">
        <v>3198</v>
      </c>
      <c r="L368" s="78">
        <v>5</v>
      </c>
      <c r="M368" s="78" t="s">
        <v>3240</v>
      </c>
      <c r="N368" s="78" t="s">
        <v>3241</v>
      </c>
      <c r="O368" s="78" t="s">
        <v>3242</v>
      </c>
      <c r="P368" s="78" t="s">
        <v>200</v>
      </c>
      <c r="Q368" s="78" t="s">
        <v>275</v>
      </c>
      <c r="R368" s="82">
        <v>0</v>
      </c>
      <c r="S368" s="78" t="s">
        <v>252</v>
      </c>
      <c r="T368" s="80">
        <v>44927</v>
      </c>
      <c r="U368" s="80">
        <v>46387</v>
      </c>
      <c r="V368" s="121">
        <v>0.38461538461538464</v>
      </c>
      <c r="W368" s="121">
        <v>0.61538461538461542</v>
      </c>
      <c r="X368" s="121">
        <v>0.69230769230769229</v>
      </c>
      <c r="Y368" s="121">
        <v>1</v>
      </c>
      <c r="Z368" s="82">
        <v>1</v>
      </c>
      <c r="AA368" s="121">
        <v>0.38461538461538464</v>
      </c>
      <c r="AB368" s="121">
        <v>0.61538461538461542</v>
      </c>
      <c r="AC368" s="121">
        <v>0.69230769230769229</v>
      </c>
      <c r="AD368" s="121">
        <v>1</v>
      </c>
      <c r="AE368" s="82">
        <v>1</v>
      </c>
      <c r="AF368" s="82">
        <v>0.14000000000000001</v>
      </c>
      <c r="AG368" s="82">
        <v>0.38</v>
      </c>
      <c r="AH368" s="82">
        <v>0.72</v>
      </c>
      <c r="AI368" s="82">
        <v>1</v>
      </c>
      <c r="AJ368" s="82">
        <v>1</v>
      </c>
      <c r="AK368" s="121">
        <v>1</v>
      </c>
      <c r="AL368" s="121">
        <v>1</v>
      </c>
      <c r="AM368" s="121">
        <v>1</v>
      </c>
      <c r="AN368" s="121">
        <v>1</v>
      </c>
      <c r="AO368" s="82">
        <v>1</v>
      </c>
      <c r="AP368" s="82">
        <v>1</v>
      </c>
      <c r="AQ368" s="84"/>
      <c r="AR368" s="84"/>
      <c r="AS368" s="84"/>
      <c r="AT368" s="84"/>
      <c r="AU368" s="84"/>
      <c r="AV368" s="84"/>
      <c r="AW368" s="84"/>
      <c r="AX368" s="84"/>
      <c r="AY368" s="85">
        <v>1</v>
      </c>
      <c r="AZ368" s="86" t="s">
        <v>3243</v>
      </c>
      <c r="BA368" s="83">
        <v>0.38461538461538464</v>
      </c>
      <c r="BB368" s="84" t="s">
        <v>3244</v>
      </c>
      <c r="BC368" s="83">
        <f>(117/117)*AF368</f>
        <v>0.14000000000000001</v>
      </c>
      <c r="BD368" s="84" t="s">
        <v>3245</v>
      </c>
      <c r="BE368" s="83">
        <f>6/13</f>
        <v>0.46153846153846156</v>
      </c>
      <c r="BF368" s="84" t="s">
        <v>3246</v>
      </c>
      <c r="BG368" s="83">
        <f>2/13</f>
        <v>0.15384615384615385</v>
      </c>
      <c r="BH368" s="84" t="s">
        <v>3247</v>
      </c>
      <c r="BI368" s="85">
        <f>65/65</f>
        <v>1</v>
      </c>
      <c r="BJ368" s="106" t="s">
        <v>3248</v>
      </c>
      <c r="BK368" s="83">
        <f>(4/10)*AF368</f>
        <v>5.6000000000000008E-2</v>
      </c>
      <c r="BL368" s="86" t="s">
        <v>3249</v>
      </c>
      <c r="BM368" s="83">
        <f>(5/5)*AG368</f>
        <v>0.38</v>
      </c>
      <c r="BN368" s="86" t="s">
        <v>3250</v>
      </c>
      <c r="BO368" s="146">
        <f>(4/6)*AH368</f>
        <v>0.48</v>
      </c>
      <c r="BP368" s="677" t="s">
        <v>3251</v>
      </c>
      <c r="BQ368" s="84"/>
      <c r="BR368" s="84"/>
      <c r="BS368" s="146">
        <f>+(BK368+BM368+BO368)/3</f>
        <v>0.30533333333333329</v>
      </c>
      <c r="BT368" s="84"/>
      <c r="BU368" s="84"/>
      <c r="BV368" s="84"/>
      <c r="BW368" s="84"/>
      <c r="BX368" s="84"/>
      <c r="BY368" s="84"/>
      <c r="BZ368" s="84"/>
      <c r="CA368" s="84"/>
      <c r="CB368" s="84"/>
      <c r="CC368" s="84"/>
      <c r="CD368" s="84"/>
      <c r="CE368" s="146">
        <f>+(AY368+BI368+BS368)/3</f>
        <v>0.76844444444444449</v>
      </c>
      <c r="CF368" s="84"/>
      <c r="CG368" s="497">
        <f>SUM(DH368:DH373)</f>
        <v>4938900000</v>
      </c>
      <c r="CH368" s="465"/>
      <c r="CI368" s="465"/>
      <c r="CJ368" s="83">
        <f t="shared" si="106"/>
        <v>0</v>
      </c>
      <c r="CK368" s="83">
        <f t="shared" si="103"/>
        <v>0</v>
      </c>
      <c r="CL368" s="83" t="str">
        <f t="shared" si="97"/>
        <v>No se reportó avance</v>
      </c>
      <c r="CM368" s="89" t="str">
        <f t="shared" si="98"/>
        <v>No se reportó avance</v>
      </c>
      <c r="CN368" s="89">
        <f t="shared" si="99"/>
        <v>0.76844444444444449</v>
      </c>
      <c r="CO368" s="145" t="s">
        <v>583</v>
      </c>
      <c r="CP368" s="145" t="s">
        <v>3252</v>
      </c>
      <c r="CQ368" s="178" t="s">
        <v>1475</v>
      </c>
      <c r="CR368" s="145" t="s">
        <v>3253</v>
      </c>
      <c r="CS368" s="178" t="s">
        <v>3254</v>
      </c>
      <c r="CT368" s="178" t="s">
        <v>200</v>
      </c>
      <c r="CU368" s="741" t="s">
        <v>162</v>
      </c>
      <c r="CV368" s="503" t="s">
        <v>182</v>
      </c>
      <c r="CW368" s="741" t="s">
        <v>252</v>
      </c>
      <c r="CX368" s="663">
        <v>46023</v>
      </c>
      <c r="CY368" s="663">
        <v>46387</v>
      </c>
      <c r="CZ368" s="146">
        <v>1</v>
      </c>
      <c r="DA368" s="146">
        <v>1</v>
      </c>
      <c r="DB368" s="146">
        <v>1</v>
      </c>
      <c r="DC368" s="146">
        <v>1</v>
      </c>
      <c r="DD368" s="146">
        <v>1</v>
      </c>
      <c r="DE368" s="178" t="s">
        <v>761</v>
      </c>
      <c r="DF368" s="178" t="s">
        <v>3130</v>
      </c>
      <c r="DG368" s="178" t="s">
        <v>3131</v>
      </c>
      <c r="DH368" s="870">
        <v>1081500000</v>
      </c>
      <c r="DI368" s="145" t="s">
        <v>1022</v>
      </c>
      <c r="DJ368" s="145" t="s">
        <v>480</v>
      </c>
      <c r="DK368" s="145" t="s">
        <v>3074</v>
      </c>
      <c r="DL368" s="145" t="s">
        <v>2708</v>
      </c>
      <c r="DM368" s="145" t="s">
        <v>3132</v>
      </c>
      <c r="DN368" s="146"/>
      <c r="DO368" s="677"/>
      <c r="DP368" s="293"/>
      <c r="DQ368" s="677"/>
      <c r="DR368" s="677"/>
      <c r="DS368" s="146"/>
      <c r="DT368" s="677"/>
      <c r="DU368" s="145"/>
      <c r="DV368" s="677"/>
      <c r="DW368" s="677"/>
      <c r="DX368" s="146"/>
      <c r="DY368" s="677"/>
      <c r="DZ368" s="145"/>
      <c r="EA368" s="677"/>
      <c r="EB368" s="677"/>
      <c r="EC368" s="145"/>
      <c r="ED368" s="145"/>
      <c r="EE368" s="145"/>
      <c r="EF368" s="145"/>
      <c r="EG368" s="145"/>
      <c r="EH368" s="157"/>
      <c r="EI368" s="145"/>
      <c r="EJ368" s="145"/>
      <c r="EK368" s="668"/>
      <c r="EL368" s="91" t="str">
        <f t="shared" si="100"/>
        <v>No se reportó avance</v>
      </c>
      <c r="EM368" s="83" t="str">
        <f t="shared" si="101"/>
        <v>No se reportó avance</v>
      </c>
      <c r="EN368" s="153"/>
      <c r="EO368" t="str">
        <f t="shared" si="104"/>
        <v>Gestión</v>
      </c>
      <c r="EP368" t="str">
        <f t="shared" si="105"/>
        <v>5</v>
      </c>
    </row>
    <row r="369" spans="1:146" s="69" customFormat="1" ht="69.95" customHeight="1">
      <c r="A369" s="84" t="s">
        <v>3048</v>
      </c>
      <c r="B369" s="85" t="s">
        <v>3049</v>
      </c>
      <c r="C369" s="85" t="s">
        <v>3133</v>
      </c>
      <c r="D369" s="85" t="s">
        <v>3110</v>
      </c>
      <c r="E369" s="85" t="s">
        <v>3111</v>
      </c>
      <c r="F369" s="84" t="s">
        <v>201</v>
      </c>
      <c r="G369" s="145" t="s">
        <v>201</v>
      </c>
      <c r="H369" s="145" t="s">
        <v>3239</v>
      </c>
      <c r="I369" s="84" t="s">
        <v>3054</v>
      </c>
      <c r="J369" s="84" t="s">
        <v>3054</v>
      </c>
      <c r="K369" s="84" t="s">
        <v>3198</v>
      </c>
      <c r="L369" s="84">
        <v>5</v>
      </c>
      <c r="M369" s="84" t="s">
        <v>3240</v>
      </c>
      <c r="N369" s="84" t="s">
        <v>3241</v>
      </c>
      <c r="O369" s="84" t="s">
        <v>3242</v>
      </c>
      <c r="P369" s="84" t="s">
        <v>200</v>
      </c>
      <c r="Q369" s="84" t="s">
        <v>275</v>
      </c>
      <c r="R369" s="83">
        <v>0</v>
      </c>
      <c r="S369" s="84" t="s">
        <v>252</v>
      </c>
      <c r="T369" s="90">
        <v>44927</v>
      </c>
      <c r="U369" s="90">
        <v>46387</v>
      </c>
      <c r="V369" s="83"/>
      <c r="W369" s="83"/>
      <c r="X369" s="83"/>
      <c r="Y369" s="83"/>
      <c r="Z369" s="83"/>
      <c r="AA369" s="83"/>
      <c r="AB369" s="83"/>
      <c r="AC369" s="83"/>
      <c r="AD369" s="83"/>
      <c r="AE369" s="83"/>
      <c r="AF369" s="83"/>
      <c r="AG369" s="83"/>
      <c r="AH369" s="83"/>
      <c r="AI369" s="83"/>
      <c r="AJ369" s="83"/>
      <c r="AK369" s="83"/>
      <c r="AL369" s="83"/>
      <c r="AM369" s="83"/>
      <c r="AN369" s="83"/>
      <c r="AO369" s="83"/>
      <c r="AP369" s="83"/>
      <c r="AQ369" s="84"/>
      <c r="AR369" s="84"/>
      <c r="AS369" s="84"/>
      <c r="AT369" s="84"/>
      <c r="AU369" s="84"/>
      <c r="AV369" s="84"/>
      <c r="AW369" s="84"/>
      <c r="AX369" s="84"/>
      <c r="AY369" s="84"/>
      <c r="AZ369" s="86"/>
      <c r="BA369" s="84"/>
      <c r="BB369" s="84"/>
      <c r="BC369" s="84"/>
      <c r="BD369" s="84"/>
      <c r="BE369" s="84"/>
      <c r="BF369" s="84"/>
      <c r="BG369" s="84"/>
      <c r="BH369" s="84"/>
      <c r="BI369" s="84"/>
      <c r="BJ369" s="86"/>
      <c r="BK369" s="84"/>
      <c r="BL369" s="86"/>
      <c r="BM369" s="84"/>
      <c r="BN369" s="86"/>
      <c r="BO369" s="84"/>
      <c r="BP369" s="86"/>
      <c r="BQ369" s="84"/>
      <c r="BR369" s="84"/>
      <c r="BS369" s="84"/>
      <c r="BT369" s="84"/>
      <c r="BU369" s="84"/>
      <c r="BV369" s="84"/>
      <c r="BW369" s="84"/>
      <c r="BX369" s="84"/>
      <c r="BY369" s="84"/>
      <c r="BZ369" s="84"/>
      <c r="CA369" s="84"/>
      <c r="CB369" s="84"/>
      <c r="CC369" s="84"/>
      <c r="CD369" s="84"/>
      <c r="CE369" s="84"/>
      <c r="CF369" s="84"/>
      <c r="CG369" s="372"/>
      <c r="CH369" s="155"/>
      <c r="CI369" s="84"/>
      <c r="CJ369" s="83" t="str">
        <f t="shared" si="106"/>
        <v>No aplica</v>
      </c>
      <c r="CK369" s="83" t="str">
        <f t="shared" si="103"/>
        <v>No aplica</v>
      </c>
      <c r="CL369" s="83" t="str">
        <f t="shared" si="97"/>
        <v>No requiere reporte</v>
      </c>
      <c r="CM369" s="89" t="str">
        <f t="shared" si="98"/>
        <v>No requiere reporte</v>
      </c>
      <c r="CN369" s="89" t="str">
        <f t="shared" si="99"/>
        <v>No requiere reporte</v>
      </c>
      <c r="CO369" s="145" t="s">
        <v>589</v>
      </c>
      <c r="CP369" s="145" t="s">
        <v>3255</v>
      </c>
      <c r="CQ369" s="178" t="s">
        <v>1475</v>
      </c>
      <c r="CR369" s="145" t="s">
        <v>3256</v>
      </c>
      <c r="CS369" s="178" t="s">
        <v>3257</v>
      </c>
      <c r="CT369" s="178" t="s">
        <v>200</v>
      </c>
      <c r="CU369" s="741" t="s">
        <v>162</v>
      </c>
      <c r="CV369" s="503" t="s">
        <v>182</v>
      </c>
      <c r="CW369" s="741" t="s">
        <v>252</v>
      </c>
      <c r="CX369" s="663">
        <v>46023</v>
      </c>
      <c r="CY369" s="663">
        <v>46387</v>
      </c>
      <c r="CZ369" s="146">
        <v>1</v>
      </c>
      <c r="DA369" s="146">
        <v>1</v>
      </c>
      <c r="DB369" s="146">
        <v>1</v>
      </c>
      <c r="DC369" s="146">
        <v>1</v>
      </c>
      <c r="DD369" s="146">
        <v>1</v>
      </c>
      <c r="DE369" s="178" t="s">
        <v>761</v>
      </c>
      <c r="DF369" s="178" t="s">
        <v>3130</v>
      </c>
      <c r="DG369" s="178" t="s">
        <v>3131</v>
      </c>
      <c r="DH369" s="870">
        <v>1000000000</v>
      </c>
      <c r="DI369" s="145" t="s">
        <v>1022</v>
      </c>
      <c r="DJ369" s="145" t="s">
        <v>480</v>
      </c>
      <c r="DK369" s="145" t="s">
        <v>3074</v>
      </c>
      <c r="DL369" s="145" t="s">
        <v>2708</v>
      </c>
      <c r="DM369" s="145" t="s">
        <v>3132</v>
      </c>
      <c r="DN369" s="146"/>
      <c r="DO369" s="677"/>
      <c r="DP369" s="293"/>
      <c r="DQ369" s="677"/>
      <c r="DR369" s="677"/>
      <c r="DS369" s="146"/>
      <c r="DT369" s="677"/>
      <c r="DU369" s="145"/>
      <c r="DV369" s="677"/>
      <c r="DW369" s="677"/>
      <c r="DX369" s="146"/>
      <c r="DY369" s="677"/>
      <c r="DZ369" s="145"/>
      <c r="EA369" s="677"/>
      <c r="EB369" s="677"/>
      <c r="EC369" s="145"/>
      <c r="ED369" s="145"/>
      <c r="EE369" s="145"/>
      <c r="EF369" s="145"/>
      <c r="EG369" s="145"/>
      <c r="EH369" s="157"/>
      <c r="EI369" s="145"/>
      <c r="EJ369" s="145"/>
      <c r="EK369" s="145"/>
      <c r="EL369" s="91" t="str">
        <f t="shared" si="100"/>
        <v>No se reportó avance</v>
      </c>
      <c r="EM369" s="83" t="str">
        <f t="shared" si="101"/>
        <v>No se reportó avance</v>
      </c>
      <c r="EN369" s="153"/>
      <c r="EO369" t="str">
        <f t="shared" si="104"/>
        <v>Gestión</v>
      </c>
      <c r="EP369" t="str">
        <f t="shared" si="105"/>
        <v>5</v>
      </c>
    </row>
    <row r="370" spans="1:146" ht="69.95" customHeight="1">
      <c r="A370" s="84" t="s">
        <v>3048</v>
      </c>
      <c r="B370" s="85" t="s">
        <v>3049</v>
      </c>
      <c r="C370" s="85" t="s">
        <v>3133</v>
      </c>
      <c r="D370" s="85" t="s">
        <v>3110</v>
      </c>
      <c r="E370" s="85" t="s">
        <v>3111</v>
      </c>
      <c r="F370" s="84" t="s">
        <v>201</v>
      </c>
      <c r="G370" s="145" t="s">
        <v>201</v>
      </c>
      <c r="H370" s="145" t="s">
        <v>3239</v>
      </c>
      <c r="I370" s="84" t="s">
        <v>3054</v>
      </c>
      <c r="J370" s="84" t="s">
        <v>3054</v>
      </c>
      <c r="K370" s="84" t="s">
        <v>3198</v>
      </c>
      <c r="L370" s="84">
        <v>5</v>
      </c>
      <c r="M370" s="84" t="s">
        <v>3240</v>
      </c>
      <c r="N370" s="84" t="s">
        <v>3241</v>
      </c>
      <c r="O370" s="84" t="s">
        <v>3242</v>
      </c>
      <c r="P370" s="84" t="s">
        <v>200</v>
      </c>
      <c r="Q370" s="84" t="s">
        <v>275</v>
      </c>
      <c r="R370" s="83">
        <v>0</v>
      </c>
      <c r="S370" s="84" t="s">
        <v>252</v>
      </c>
      <c r="T370" s="90">
        <v>44927</v>
      </c>
      <c r="U370" s="90">
        <v>46387</v>
      </c>
      <c r="V370" s="83"/>
      <c r="W370" s="83"/>
      <c r="X370" s="83"/>
      <c r="Y370" s="83"/>
      <c r="Z370" s="83"/>
      <c r="AA370" s="83"/>
      <c r="AB370" s="83"/>
      <c r="AC370" s="83"/>
      <c r="AD370" s="83"/>
      <c r="AE370" s="83"/>
      <c r="AF370" s="83"/>
      <c r="AG370" s="83"/>
      <c r="AH370" s="83"/>
      <c r="AI370" s="83"/>
      <c r="AJ370" s="83"/>
      <c r="AK370" s="83"/>
      <c r="AL370" s="83"/>
      <c r="AM370" s="83"/>
      <c r="AN370" s="83"/>
      <c r="AO370" s="83"/>
      <c r="AP370" s="83"/>
      <c r="AQ370" s="84"/>
      <c r="AR370" s="84"/>
      <c r="AS370" s="84"/>
      <c r="AT370" s="84"/>
      <c r="AU370" s="84"/>
      <c r="AV370" s="84"/>
      <c r="AW370" s="84"/>
      <c r="AX370" s="84"/>
      <c r="AY370" s="84"/>
      <c r="AZ370" s="86"/>
      <c r="BA370" s="84"/>
      <c r="BB370" s="84"/>
      <c r="BC370" s="84"/>
      <c r="BD370" s="84"/>
      <c r="BE370" s="84"/>
      <c r="BF370" s="84"/>
      <c r="BG370" s="84"/>
      <c r="BH370" s="84"/>
      <c r="BI370" s="84"/>
      <c r="BJ370" s="86"/>
      <c r="BK370" s="84"/>
      <c r="BL370" s="86"/>
      <c r="BM370" s="84"/>
      <c r="BN370" s="86"/>
      <c r="BO370" s="84"/>
      <c r="BP370" s="86"/>
      <c r="BQ370" s="84"/>
      <c r="BR370" s="84"/>
      <c r="BS370" s="84"/>
      <c r="BT370" s="84"/>
      <c r="BU370" s="84"/>
      <c r="BV370" s="84"/>
      <c r="BW370" s="84"/>
      <c r="BX370" s="84"/>
      <c r="BY370" s="84"/>
      <c r="BZ370" s="84"/>
      <c r="CA370" s="84"/>
      <c r="CB370" s="84"/>
      <c r="CC370" s="84"/>
      <c r="CD370" s="84"/>
      <c r="CE370" s="84"/>
      <c r="CF370" s="84"/>
      <c r="CG370" s="372"/>
      <c r="CH370" s="155"/>
      <c r="CI370" s="84"/>
      <c r="CJ370" s="83" t="str">
        <f t="shared" si="106"/>
        <v>No aplica</v>
      </c>
      <c r="CK370" s="83" t="str">
        <f t="shared" si="103"/>
        <v>No aplica</v>
      </c>
      <c r="CL370" s="83" t="str">
        <f t="shared" si="97"/>
        <v>No requiere reporte</v>
      </c>
      <c r="CM370" s="89" t="str">
        <f t="shared" si="98"/>
        <v>No requiere reporte</v>
      </c>
      <c r="CN370" s="89" t="str">
        <f t="shared" si="99"/>
        <v>No requiere reporte</v>
      </c>
      <c r="CO370" s="145" t="s">
        <v>592</v>
      </c>
      <c r="CP370" s="869" t="s">
        <v>3258</v>
      </c>
      <c r="CQ370" s="178" t="s">
        <v>1475</v>
      </c>
      <c r="CR370" s="869" t="s">
        <v>3259</v>
      </c>
      <c r="CS370" s="869" t="s">
        <v>3260</v>
      </c>
      <c r="CT370" s="178" t="s">
        <v>200</v>
      </c>
      <c r="CU370" s="741" t="s">
        <v>162</v>
      </c>
      <c r="CV370" s="291">
        <v>1</v>
      </c>
      <c r="CW370" s="178" t="s">
        <v>163</v>
      </c>
      <c r="CX370" s="663">
        <v>46023</v>
      </c>
      <c r="CY370" s="663">
        <v>46387</v>
      </c>
      <c r="CZ370" s="146">
        <v>1</v>
      </c>
      <c r="DA370" s="146">
        <v>1</v>
      </c>
      <c r="DB370" s="146">
        <v>1</v>
      </c>
      <c r="DC370" s="146">
        <v>1</v>
      </c>
      <c r="DD370" s="146">
        <v>1</v>
      </c>
      <c r="DE370" s="178" t="s">
        <v>761</v>
      </c>
      <c r="DF370" s="178" t="s">
        <v>3130</v>
      </c>
      <c r="DG370" s="178" t="s">
        <v>3131</v>
      </c>
      <c r="DH370" s="870">
        <v>927000000</v>
      </c>
      <c r="DI370" s="145" t="s">
        <v>1022</v>
      </c>
      <c r="DJ370" s="145" t="s">
        <v>480</v>
      </c>
      <c r="DK370" s="145" t="s">
        <v>3074</v>
      </c>
      <c r="DL370" s="145" t="s">
        <v>2708</v>
      </c>
      <c r="DM370" s="145" t="s">
        <v>3132</v>
      </c>
      <c r="DN370" s="146"/>
      <c r="DO370" s="677"/>
      <c r="DP370" s="145"/>
      <c r="DQ370" s="677"/>
      <c r="DR370" s="677"/>
      <c r="DS370" s="146"/>
      <c r="DT370" s="734"/>
      <c r="DU370" s="145"/>
      <c r="DV370" s="677"/>
      <c r="DW370" s="677"/>
      <c r="DX370" s="146"/>
      <c r="DY370" s="734"/>
      <c r="DZ370" s="145"/>
      <c r="EA370" s="677"/>
      <c r="EB370" s="677"/>
      <c r="EC370" s="145"/>
      <c r="ED370" s="145"/>
      <c r="EE370" s="145"/>
      <c r="EF370" s="145"/>
      <c r="EG370" s="145"/>
      <c r="EH370" s="157"/>
      <c r="EI370" s="145"/>
      <c r="EJ370" s="145"/>
      <c r="EK370" s="145"/>
      <c r="EL370" s="91" t="str">
        <f t="shared" si="100"/>
        <v>No se reportó avance</v>
      </c>
      <c r="EM370" s="83" t="str">
        <f t="shared" si="101"/>
        <v>No se reportó avance</v>
      </c>
      <c r="EN370" s="86"/>
      <c r="EO370" t="str">
        <f t="shared" si="104"/>
        <v>Gestión</v>
      </c>
      <c r="EP370" t="str">
        <f t="shared" si="105"/>
        <v>5</v>
      </c>
    </row>
    <row r="371" spans="1:146" ht="69.95" customHeight="1">
      <c r="A371" s="84" t="s">
        <v>3048</v>
      </c>
      <c r="B371" s="85" t="s">
        <v>3049</v>
      </c>
      <c r="C371" s="85" t="s">
        <v>3133</v>
      </c>
      <c r="D371" s="85" t="s">
        <v>3110</v>
      </c>
      <c r="E371" s="85" t="s">
        <v>3111</v>
      </c>
      <c r="F371" s="84" t="s">
        <v>201</v>
      </c>
      <c r="G371" s="145" t="s">
        <v>201</v>
      </c>
      <c r="H371" s="145" t="s">
        <v>3239</v>
      </c>
      <c r="I371" s="84" t="s">
        <v>3054</v>
      </c>
      <c r="J371" s="84" t="s">
        <v>3054</v>
      </c>
      <c r="K371" s="84" t="s">
        <v>3198</v>
      </c>
      <c r="L371" s="84">
        <v>5</v>
      </c>
      <c r="M371" s="84" t="s">
        <v>3240</v>
      </c>
      <c r="N371" s="84" t="s">
        <v>3241</v>
      </c>
      <c r="O371" s="84" t="s">
        <v>3242</v>
      </c>
      <c r="P371" s="84" t="s">
        <v>200</v>
      </c>
      <c r="Q371" s="84" t="s">
        <v>275</v>
      </c>
      <c r="R371" s="83">
        <v>0</v>
      </c>
      <c r="S371" s="84" t="s">
        <v>252</v>
      </c>
      <c r="T371" s="90">
        <v>44927</v>
      </c>
      <c r="U371" s="90">
        <v>46387</v>
      </c>
      <c r="V371" s="83"/>
      <c r="W371" s="83"/>
      <c r="X371" s="83"/>
      <c r="Y371" s="83"/>
      <c r="Z371" s="83"/>
      <c r="AA371" s="83"/>
      <c r="AB371" s="83"/>
      <c r="AC371" s="83"/>
      <c r="AD371" s="83"/>
      <c r="AE371" s="83"/>
      <c r="AF371" s="83"/>
      <c r="AG371" s="83"/>
      <c r="AH371" s="83"/>
      <c r="AI371" s="83"/>
      <c r="AJ371" s="83"/>
      <c r="AK371" s="83"/>
      <c r="AL371" s="83"/>
      <c r="AM371" s="83"/>
      <c r="AN371" s="83"/>
      <c r="AO371" s="83"/>
      <c r="AP371" s="83"/>
      <c r="AQ371" s="84"/>
      <c r="AR371" s="84"/>
      <c r="AS371" s="84"/>
      <c r="AT371" s="84"/>
      <c r="AU371" s="84"/>
      <c r="AV371" s="84"/>
      <c r="AW371" s="84"/>
      <c r="AX371" s="84"/>
      <c r="AY371" s="84"/>
      <c r="AZ371" s="86"/>
      <c r="BA371" s="84"/>
      <c r="BB371" s="84"/>
      <c r="BC371" s="84"/>
      <c r="BD371" s="84"/>
      <c r="BE371" s="84"/>
      <c r="BF371" s="84"/>
      <c r="BG371" s="84"/>
      <c r="BH371" s="84"/>
      <c r="BI371" s="84"/>
      <c r="BJ371" s="86"/>
      <c r="BK371" s="84"/>
      <c r="BL371" s="86"/>
      <c r="BM371" s="84"/>
      <c r="BN371" s="86"/>
      <c r="BO371" s="84"/>
      <c r="BP371" s="86"/>
      <c r="BQ371" s="84"/>
      <c r="BR371" s="84"/>
      <c r="BS371" s="84"/>
      <c r="BT371" s="84"/>
      <c r="BU371" s="84"/>
      <c r="BV371" s="84"/>
      <c r="BW371" s="84"/>
      <c r="BX371" s="84"/>
      <c r="BY371" s="84"/>
      <c r="BZ371" s="84"/>
      <c r="CA371" s="84"/>
      <c r="CB371" s="84"/>
      <c r="CC371" s="84"/>
      <c r="CD371" s="84"/>
      <c r="CE371" s="84"/>
      <c r="CF371" s="84"/>
      <c r="CG371" s="372"/>
      <c r="CH371" s="84"/>
      <c r="CI371" s="84"/>
      <c r="CJ371" s="83" t="str">
        <f t="shared" si="106"/>
        <v>No aplica</v>
      </c>
      <c r="CK371" s="83" t="str">
        <f t="shared" si="103"/>
        <v>No aplica</v>
      </c>
      <c r="CL371" s="83" t="str">
        <f t="shared" si="97"/>
        <v>No requiere reporte</v>
      </c>
      <c r="CM371" s="89" t="str">
        <f t="shared" si="98"/>
        <v>No requiere reporte</v>
      </c>
      <c r="CN371" s="89" t="str">
        <f t="shared" si="99"/>
        <v>No requiere reporte</v>
      </c>
      <c r="CO371" s="145" t="s">
        <v>595</v>
      </c>
      <c r="CP371" s="869" t="s">
        <v>3261</v>
      </c>
      <c r="CQ371" s="178" t="s">
        <v>3147</v>
      </c>
      <c r="CR371" s="869" t="s">
        <v>3262</v>
      </c>
      <c r="CS371" s="869" t="s">
        <v>3263</v>
      </c>
      <c r="CT371" s="741" t="s">
        <v>161</v>
      </c>
      <c r="CU371" s="741" t="s">
        <v>233</v>
      </c>
      <c r="CV371" s="503">
        <v>0</v>
      </c>
      <c r="CW371" s="178" t="s">
        <v>234</v>
      </c>
      <c r="CX371" s="663">
        <v>46023</v>
      </c>
      <c r="CY371" s="663">
        <v>46387</v>
      </c>
      <c r="CZ371" s="154">
        <v>0</v>
      </c>
      <c r="DA371" s="154">
        <v>0</v>
      </c>
      <c r="DB371" s="154">
        <v>0</v>
      </c>
      <c r="DC371" s="154">
        <v>1</v>
      </c>
      <c r="DD371" s="154">
        <f>+CZ371+DA371+DB371+DC371</f>
        <v>1</v>
      </c>
      <c r="DE371" s="178" t="s">
        <v>761</v>
      </c>
      <c r="DF371" s="178" t="s">
        <v>3130</v>
      </c>
      <c r="DG371" s="178" t="s">
        <v>3131</v>
      </c>
      <c r="DH371" s="870">
        <v>1024400000</v>
      </c>
      <c r="DI371" s="145" t="s">
        <v>1022</v>
      </c>
      <c r="DJ371" s="145" t="s">
        <v>480</v>
      </c>
      <c r="DK371" s="145" t="s">
        <v>3074</v>
      </c>
      <c r="DL371" s="145" t="s">
        <v>2708</v>
      </c>
      <c r="DM371" s="145" t="s">
        <v>3132</v>
      </c>
      <c r="DN371" s="157"/>
      <c r="DO371" s="677"/>
      <c r="DP371" s="145"/>
      <c r="DQ371" s="677"/>
      <c r="DR371" s="677"/>
      <c r="DS371" s="145"/>
      <c r="DT371" s="677"/>
      <c r="DU371" s="145"/>
      <c r="DV371" s="677"/>
      <c r="DW371" s="677"/>
      <c r="DX371" s="145"/>
      <c r="DY371" s="145"/>
      <c r="DZ371" s="145"/>
      <c r="EA371" s="145"/>
      <c r="EB371" s="145"/>
      <c r="EC371" s="145"/>
      <c r="ED371" s="145"/>
      <c r="EE371" s="145"/>
      <c r="EF371" s="145"/>
      <c r="EG371" s="145"/>
      <c r="EH371" s="145"/>
      <c r="EI371" s="145"/>
      <c r="EJ371" s="145"/>
      <c r="EK371" s="145"/>
      <c r="EL371" s="91" t="str">
        <f t="shared" si="100"/>
        <v>No aplica, no hay meta</v>
      </c>
      <c r="EM371" s="83" t="str">
        <f t="shared" si="101"/>
        <v>No se reportó avance</v>
      </c>
      <c r="EN371" s="86"/>
      <c r="EO371" t="str">
        <f t="shared" si="104"/>
        <v>Gestión</v>
      </c>
      <c r="EP371" t="str">
        <f t="shared" si="105"/>
        <v>5</v>
      </c>
    </row>
    <row r="372" spans="1:146" ht="69.95" customHeight="1">
      <c r="A372" s="84" t="s">
        <v>3048</v>
      </c>
      <c r="B372" s="85" t="s">
        <v>3049</v>
      </c>
      <c r="C372" s="85" t="s">
        <v>3133</v>
      </c>
      <c r="D372" s="85" t="s">
        <v>3110</v>
      </c>
      <c r="E372" s="85" t="s">
        <v>3111</v>
      </c>
      <c r="F372" s="84" t="s">
        <v>201</v>
      </c>
      <c r="G372" s="145" t="s">
        <v>201</v>
      </c>
      <c r="H372" s="145" t="s">
        <v>3112</v>
      </c>
      <c r="I372" s="84" t="s">
        <v>3054</v>
      </c>
      <c r="J372" s="84" t="s">
        <v>3054</v>
      </c>
      <c r="K372" s="84" t="s">
        <v>3198</v>
      </c>
      <c r="L372" s="84">
        <v>5</v>
      </c>
      <c r="M372" s="84" t="s">
        <v>3240</v>
      </c>
      <c r="N372" s="84" t="s">
        <v>3241</v>
      </c>
      <c r="O372" s="84" t="s">
        <v>3242</v>
      </c>
      <c r="P372" s="84" t="s">
        <v>200</v>
      </c>
      <c r="Q372" s="84" t="s">
        <v>275</v>
      </c>
      <c r="R372" s="83">
        <v>0</v>
      </c>
      <c r="S372" s="84" t="s">
        <v>252</v>
      </c>
      <c r="T372" s="90">
        <v>44927</v>
      </c>
      <c r="U372" s="90">
        <v>46387</v>
      </c>
      <c r="V372" s="83"/>
      <c r="W372" s="83"/>
      <c r="X372" s="83"/>
      <c r="Y372" s="83"/>
      <c r="Z372" s="83"/>
      <c r="AA372" s="83"/>
      <c r="AB372" s="83"/>
      <c r="AC372" s="83"/>
      <c r="AD372" s="83"/>
      <c r="AE372" s="83"/>
      <c r="AF372" s="83"/>
      <c r="AG372" s="83"/>
      <c r="AH372" s="83"/>
      <c r="AI372" s="83"/>
      <c r="AJ372" s="83"/>
      <c r="AK372" s="83"/>
      <c r="AL372" s="83"/>
      <c r="AM372" s="83"/>
      <c r="AN372" s="83"/>
      <c r="AO372" s="83"/>
      <c r="AP372" s="83"/>
      <c r="AQ372" s="84"/>
      <c r="AR372" s="84"/>
      <c r="AS372" s="84"/>
      <c r="AT372" s="84"/>
      <c r="AU372" s="84"/>
      <c r="AV372" s="84"/>
      <c r="AW372" s="84"/>
      <c r="AX372" s="84"/>
      <c r="AY372" s="84"/>
      <c r="AZ372" s="86"/>
      <c r="BA372" s="84"/>
      <c r="BB372" s="84"/>
      <c r="BC372" s="84"/>
      <c r="BD372" s="84"/>
      <c r="BE372" s="84"/>
      <c r="BF372" s="84"/>
      <c r="BG372" s="84"/>
      <c r="BH372" s="84"/>
      <c r="BI372" s="84"/>
      <c r="BJ372" s="86"/>
      <c r="BK372" s="84"/>
      <c r="BL372" s="86"/>
      <c r="BM372" s="84"/>
      <c r="BN372" s="86"/>
      <c r="BO372" s="84"/>
      <c r="BP372" s="86"/>
      <c r="BQ372" s="84"/>
      <c r="BR372" s="84"/>
      <c r="BS372" s="84"/>
      <c r="BT372" s="84"/>
      <c r="BU372" s="84"/>
      <c r="BV372" s="84"/>
      <c r="BW372" s="84"/>
      <c r="BX372" s="84"/>
      <c r="BY372" s="84"/>
      <c r="BZ372" s="84"/>
      <c r="CA372" s="84"/>
      <c r="CB372" s="84"/>
      <c r="CC372" s="84"/>
      <c r="CD372" s="84"/>
      <c r="CE372" s="84"/>
      <c r="CF372" s="84"/>
      <c r="CG372" s="372"/>
      <c r="CH372" s="155"/>
      <c r="CI372" s="84"/>
      <c r="CJ372" s="83" t="str">
        <f t="shared" si="106"/>
        <v>No aplica</v>
      </c>
      <c r="CK372" s="83" t="str">
        <f t="shared" si="103"/>
        <v>No aplica</v>
      </c>
      <c r="CL372" s="83" t="str">
        <f t="shared" si="97"/>
        <v>No requiere reporte</v>
      </c>
      <c r="CM372" s="89" t="str">
        <f t="shared" si="98"/>
        <v>No requiere reporte</v>
      </c>
      <c r="CN372" s="89" t="str">
        <f t="shared" si="99"/>
        <v>No requiere reporte</v>
      </c>
      <c r="CO372" s="145" t="s">
        <v>600</v>
      </c>
      <c r="CP372" s="869" t="s">
        <v>3264</v>
      </c>
      <c r="CQ372" s="178" t="s">
        <v>3147</v>
      </c>
      <c r="CR372" s="869" t="s">
        <v>3265</v>
      </c>
      <c r="CS372" s="869" t="s">
        <v>3266</v>
      </c>
      <c r="CT372" s="741" t="s">
        <v>161</v>
      </c>
      <c r="CU372" s="741" t="s">
        <v>233</v>
      </c>
      <c r="CV372" s="503">
        <v>0</v>
      </c>
      <c r="CW372" s="178" t="s">
        <v>234</v>
      </c>
      <c r="CX372" s="663">
        <v>46023</v>
      </c>
      <c r="CY372" s="663">
        <v>46387</v>
      </c>
      <c r="CZ372" s="154">
        <v>0</v>
      </c>
      <c r="DA372" s="154">
        <v>0</v>
      </c>
      <c r="DB372" s="154">
        <v>0</v>
      </c>
      <c r="DC372" s="154">
        <v>1</v>
      </c>
      <c r="DD372" s="154">
        <f>SUM(CZ372,DA372,DB372,DC372)</f>
        <v>1</v>
      </c>
      <c r="DE372" s="178" t="s">
        <v>761</v>
      </c>
      <c r="DF372" s="178" t="s">
        <v>3130</v>
      </c>
      <c r="DG372" s="178" t="s">
        <v>3131</v>
      </c>
      <c r="DH372" s="870">
        <v>206000000</v>
      </c>
      <c r="DI372" s="145" t="s">
        <v>1022</v>
      </c>
      <c r="DJ372" s="145" t="s">
        <v>480</v>
      </c>
      <c r="DK372" s="145" t="s">
        <v>3074</v>
      </c>
      <c r="DL372" s="145" t="s">
        <v>2708</v>
      </c>
      <c r="DM372" s="145" t="s">
        <v>3132</v>
      </c>
      <c r="DN372" s="145"/>
      <c r="DO372" s="677"/>
      <c r="DP372" s="145"/>
      <c r="DQ372" s="677"/>
      <c r="DR372" s="677"/>
      <c r="DS372" s="145"/>
      <c r="DT372" s="677"/>
      <c r="DU372" s="145"/>
      <c r="DV372" s="677"/>
      <c r="DW372" s="677"/>
      <c r="DX372" s="145"/>
      <c r="DY372" s="145"/>
      <c r="DZ372" s="145"/>
      <c r="EA372" s="145"/>
      <c r="EB372" s="145"/>
      <c r="EC372" s="145"/>
      <c r="ED372" s="145"/>
      <c r="EE372" s="145"/>
      <c r="EF372" s="145"/>
      <c r="EG372" s="145"/>
      <c r="EH372" s="145"/>
      <c r="EI372" s="145"/>
      <c r="EJ372" s="145"/>
      <c r="EK372" s="145"/>
      <c r="EL372" s="91" t="str">
        <f t="shared" si="100"/>
        <v>No aplica, no hay meta</v>
      </c>
      <c r="EM372" s="83" t="str">
        <f t="shared" si="101"/>
        <v>No se reportó avance</v>
      </c>
      <c r="EN372" s="86"/>
      <c r="EO372" t="str">
        <f t="shared" si="104"/>
        <v>Gestión</v>
      </c>
      <c r="EP372" t="str">
        <f t="shared" si="105"/>
        <v>5</v>
      </c>
    </row>
    <row r="373" spans="1:146" ht="69.95" customHeight="1" thickBot="1">
      <c r="A373" s="84" t="s">
        <v>3048</v>
      </c>
      <c r="B373" s="85" t="s">
        <v>3049</v>
      </c>
      <c r="C373" s="85" t="s">
        <v>3133</v>
      </c>
      <c r="D373" s="85" t="s">
        <v>3110</v>
      </c>
      <c r="E373" s="85" t="s">
        <v>3111</v>
      </c>
      <c r="F373" s="84" t="s">
        <v>201</v>
      </c>
      <c r="G373" s="145" t="s">
        <v>201</v>
      </c>
      <c r="H373" s="145" t="s">
        <v>3267</v>
      </c>
      <c r="I373" s="84" t="s">
        <v>3054</v>
      </c>
      <c r="J373" s="84" t="s">
        <v>3054</v>
      </c>
      <c r="K373" s="84" t="s">
        <v>3198</v>
      </c>
      <c r="L373" s="84">
        <v>5</v>
      </c>
      <c r="M373" s="84" t="s">
        <v>3240</v>
      </c>
      <c r="N373" s="84" t="s">
        <v>3241</v>
      </c>
      <c r="O373" s="84" t="s">
        <v>3242</v>
      </c>
      <c r="P373" s="84" t="s">
        <v>200</v>
      </c>
      <c r="Q373" s="84" t="s">
        <v>275</v>
      </c>
      <c r="R373" s="83">
        <v>0</v>
      </c>
      <c r="S373" s="84" t="s">
        <v>252</v>
      </c>
      <c r="T373" s="90">
        <v>44927</v>
      </c>
      <c r="U373" s="90">
        <v>46387</v>
      </c>
      <c r="V373" s="83"/>
      <c r="W373" s="83"/>
      <c r="X373" s="83"/>
      <c r="Y373" s="83"/>
      <c r="Z373" s="83"/>
      <c r="AA373" s="83"/>
      <c r="AB373" s="83"/>
      <c r="AC373" s="83"/>
      <c r="AD373" s="83"/>
      <c r="AE373" s="83"/>
      <c r="AF373" s="83"/>
      <c r="AG373" s="83"/>
      <c r="AH373" s="83"/>
      <c r="AI373" s="83"/>
      <c r="AJ373" s="83"/>
      <c r="AK373" s="83"/>
      <c r="AL373" s="83"/>
      <c r="AM373" s="83"/>
      <c r="AN373" s="83"/>
      <c r="AO373" s="83"/>
      <c r="AP373" s="83"/>
      <c r="AQ373" s="84"/>
      <c r="AR373" s="84"/>
      <c r="AS373" s="84"/>
      <c r="AT373" s="84"/>
      <c r="AU373" s="84"/>
      <c r="AV373" s="84"/>
      <c r="AW373" s="84"/>
      <c r="AX373" s="84"/>
      <c r="AY373" s="84"/>
      <c r="AZ373" s="86"/>
      <c r="BA373" s="84"/>
      <c r="BB373" s="84"/>
      <c r="BC373" s="84"/>
      <c r="BD373" s="84"/>
      <c r="BE373" s="84"/>
      <c r="BF373" s="84"/>
      <c r="BG373" s="84"/>
      <c r="BH373" s="84"/>
      <c r="BI373" s="84"/>
      <c r="BJ373" s="86"/>
      <c r="BK373" s="84"/>
      <c r="BL373" s="86"/>
      <c r="BM373" s="84"/>
      <c r="BN373" s="86"/>
      <c r="BO373" s="84"/>
      <c r="BP373" s="86"/>
      <c r="BQ373" s="84"/>
      <c r="BR373" s="84"/>
      <c r="BS373" s="84"/>
      <c r="BT373" s="84"/>
      <c r="BU373" s="84"/>
      <c r="BV373" s="84"/>
      <c r="BW373" s="84"/>
      <c r="BX373" s="84"/>
      <c r="BY373" s="84"/>
      <c r="BZ373" s="84"/>
      <c r="CA373" s="84"/>
      <c r="CB373" s="84"/>
      <c r="CC373" s="84"/>
      <c r="CD373" s="84"/>
      <c r="CE373" s="84"/>
      <c r="CF373" s="84"/>
      <c r="CG373" s="372"/>
      <c r="CH373" s="84"/>
      <c r="CI373" s="84"/>
      <c r="CJ373" s="83" t="str">
        <f t="shared" si="106"/>
        <v>No aplica</v>
      </c>
      <c r="CK373" s="83" t="str">
        <f t="shared" si="103"/>
        <v>No aplica</v>
      </c>
      <c r="CL373" s="83" t="str">
        <f t="shared" si="97"/>
        <v>No requiere reporte</v>
      </c>
      <c r="CM373" s="89" t="str">
        <f t="shared" si="98"/>
        <v>No requiere reporte</v>
      </c>
      <c r="CN373" s="89" t="str">
        <f t="shared" si="99"/>
        <v>No requiere reporte</v>
      </c>
      <c r="CO373" s="145" t="s">
        <v>3268</v>
      </c>
      <c r="CP373" s="869" t="s">
        <v>3269</v>
      </c>
      <c r="CQ373" s="178" t="s">
        <v>1475</v>
      </c>
      <c r="CR373" s="869" t="s">
        <v>3270</v>
      </c>
      <c r="CS373" s="869" t="s">
        <v>3271</v>
      </c>
      <c r="CT373" s="741" t="s">
        <v>161</v>
      </c>
      <c r="CU373" s="741" t="s">
        <v>233</v>
      </c>
      <c r="CV373" s="503">
        <v>7</v>
      </c>
      <c r="CW373" s="178" t="s">
        <v>234</v>
      </c>
      <c r="CX373" s="663">
        <v>46023</v>
      </c>
      <c r="CY373" s="663">
        <v>46387</v>
      </c>
      <c r="CZ373" s="154">
        <v>0</v>
      </c>
      <c r="DA373" s="154">
        <v>5</v>
      </c>
      <c r="DB373" s="154">
        <v>5</v>
      </c>
      <c r="DC373" s="154">
        <v>5</v>
      </c>
      <c r="DD373" s="154">
        <f>SUM(CZ373,DA373,DB373,DC373)</f>
        <v>15</v>
      </c>
      <c r="DE373" s="178" t="s">
        <v>761</v>
      </c>
      <c r="DF373" s="178" t="s">
        <v>3130</v>
      </c>
      <c r="DG373" s="178" t="s">
        <v>3131</v>
      </c>
      <c r="DH373" s="870">
        <f>350000000+350000000</f>
        <v>700000000</v>
      </c>
      <c r="DI373" s="145" t="s">
        <v>1022</v>
      </c>
      <c r="DJ373" s="145" t="s">
        <v>480</v>
      </c>
      <c r="DK373" s="145" t="s">
        <v>3074</v>
      </c>
      <c r="DL373" s="145" t="s">
        <v>2708</v>
      </c>
      <c r="DM373" s="145" t="s">
        <v>3132</v>
      </c>
      <c r="DN373" s="145"/>
      <c r="DO373" s="677"/>
      <c r="DP373" s="145"/>
      <c r="DQ373" s="677"/>
      <c r="DR373" s="677"/>
      <c r="DS373" s="145"/>
      <c r="DT373" s="734"/>
      <c r="DU373" s="145"/>
      <c r="DV373" s="677"/>
      <c r="DW373" s="677"/>
      <c r="DX373" s="145"/>
      <c r="DY373" s="734"/>
      <c r="DZ373" s="145"/>
      <c r="EA373" s="677"/>
      <c r="EB373" s="677"/>
      <c r="EC373" s="145"/>
      <c r="ED373" s="145"/>
      <c r="EE373" s="145"/>
      <c r="EF373" s="145"/>
      <c r="EG373" s="145"/>
      <c r="EH373" s="145"/>
      <c r="EI373" s="145"/>
      <c r="EJ373" s="145"/>
      <c r="EK373" s="145"/>
      <c r="EL373" s="91" t="str">
        <f t="shared" si="100"/>
        <v>No aplica, no hay meta</v>
      </c>
      <c r="EM373" s="83" t="str">
        <f t="shared" si="101"/>
        <v>No se reportó avance</v>
      </c>
      <c r="EN373" s="86"/>
      <c r="EO373" t="str">
        <f t="shared" si="104"/>
        <v>Gestión</v>
      </c>
      <c r="EP373" t="str">
        <f t="shared" si="105"/>
        <v>5</v>
      </c>
    </row>
    <row r="374" spans="1:146" ht="50.1" customHeight="1">
      <c r="A374" s="203" t="s">
        <v>4671</v>
      </c>
      <c r="B374" s="505" t="s">
        <v>3272</v>
      </c>
      <c r="C374" s="505" t="s">
        <v>3273</v>
      </c>
      <c r="D374" s="505" t="s">
        <v>3274</v>
      </c>
      <c r="E374" s="505" t="s">
        <v>3275</v>
      </c>
      <c r="F374" s="506" t="s">
        <v>280</v>
      </c>
      <c r="G374" s="506"/>
      <c r="H374" s="506" t="s">
        <v>3276</v>
      </c>
      <c r="I374" s="506" t="s">
        <v>3277</v>
      </c>
      <c r="J374" s="506" t="s">
        <v>3277</v>
      </c>
      <c r="K374" s="506" t="s">
        <v>3278</v>
      </c>
      <c r="L374" s="507">
        <v>1</v>
      </c>
      <c r="M374" s="507" t="s">
        <v>3279</v>
      </c>
      <c r="N374" s="507" t="s">
        <v>3280</v>
      </c>
      <c r="O374" s="507" t="s">
        <v>3281</v>
      </c>
      <c r="P374" s="507" t="s">
        <v>1161</v>
      </c>
      <c r="Q374" s="507" t="s">
        <v>162</v>
      </c>
      <c r="R374" s="637">
        <v>0</v>
      </c>
      <c r="S374" s="507" t="s">
        <v>163</v>
      </c>
      <c r="T374" s="508">
        <v>45108</v>
      </c>
      <c r="U374" s="508">
        <v>46357</v>
      </c>
      <c r="V374" s="509"/>
      <c r="W374" s="510"/>
      <c r="X374" s="510"/>
      <c r="Y374" s="511"/>
      <c r="Z374" s="512">
        <v>1</v>
      </c>
      <c r="AA374" s="513">
        <v>1</v>
      </c>
      <c r="AB374" s="513">
        <v>1</v>
      </c>
      <c r="AC374" s="513">
        <v>1</v>
      </c>
      <c r="AD374" s="513">
        <v>1</v>
      </c>
      <c r="AE374" s="79">
        <v>1</v>
      </c>
      <c r="AF374" s="79">
        <v>1</v>
      </c>
      <c r="AG374" s="79">
        <v>1</v>
      </c>
      <c r="AH374" s="79">
        <v>1</v>
      </c>
      <c r="AI374" s="79">
        <v>1</v>
      </c>
      <c r="AJ374" s="79">
        <v>1</v>
      </c>
      <c r="AK374" s="514">
        <v>1</v>
      </c>
      <c r="AL374" s="514">
        <v>1</v>
      </c>
      <c r="AM374" s="514">
        <v>1</v>
      </c>
      <c r="AN374" s="514">
        <v>1</v>
      </c>
      <c r="AO374" s="514">
        <v>1</v>
      </c>
      <c r="AP374" s="79">
        <v>1</v>
      </c>
      <c r="AQ374" s="170"/>
      <c r="AR374" s="170"/>
      <c r="AS374" s="170"/>
      <c r="AT374" s="170"/>
      <c r="AU374" s="170"/>
      <c r="AV374" s="170"/>
      <c r="AW374" s="170"/>
      <c r="AX374" s="170"/>
      <c r="AY374" s="173">
        <v>1</v>
      </c>
      <c r="AZ374" s="692" t="s">
        <v>3282</v>
      </c>
      <c r="BA374" s="173">
        <f>86/86</f>
        <v>1</v>
      </c>
      <c r="BB374" s="170" t="s">
        <v>3283</v>
      </c>
      <c r="BC374" s="173">
        <f>10/34</f>
        <v>0.29411764705882354</v>
      </c>
      <c r="BD374" s="170" t="s">
        <v>3284</v>
      </c>
      <c r="BE374" s="173">
        <f>7/36</f>
        <v>0.19444444444444445</v>
      </c>
      <c r="BF374" s="170" t="s">
        <v>3285</v>
      </c>
      <c r="BG374" s="173">
        <v>0</v>
      </c>
      <c r="BH374" s="170" t="s">
        <v>3286</v>
      </c>
      <c r="BI374" s="173">
        <f>+(BA374+BC374+BE374+BG374)/4</f>
        <v>0.372140522875817</v>
      </c>
      <c r="BJ374" s="692"/>
      <c r="BK374" s="173">
        <v>0</v>
      </c>
      <c r="BL374" s="692" t="s">
        <v>3287</v>
      </c>
      <c r="BM374" s="712">
        <v>5.2499999999999998E-2</v>
      </c>
      <c r="BN374" s="692" t="s">
        <v>3288</v>
      </c>
      <c r="BO374" s="712">
        <v>0.19</v>
      </c>
      <c r="BP374" s="692" t="s">
        <v>3289</v>
      </c>
      <c r="BQ374" s="170"/>
      <c r="BR374" s="170"/>
      <c r="BS374" s="83"/>
      <c r="BT374" s="170"/>
      <c r="BU374" s="170"/>
      <c r="BV374" s="170"/>
      <c r="BW374" s="170"/>
      <c r="BX374" s="170"/>
      <c r="BY374" s="170"/>
      <c r="BZ374" s="170"/>
      <c r="CA374" s="170"/>
      <c r="CB374" s="170"/>
      <c r="CC374" s="170"/>
      <c r="CD374" s="170"/>
      <c r="CE374" s="146"/>
      <c r="CF374" s="170"/>
      <c r="CG374" s="713">
        <f>SUM(DH374:DH407)</f>
        <v>46049000000</v>
      </c>
      <c r="CH374" s="515"/>
      <c r="CI374" s="516"/>
      <c r="CJ374" s="83">
        <f t="shared" si="106"/>
        <v>0</v>
      </c>
      <c r="CK374" s="83">
        <f t="shared" si="103"/>
        <v>0</v>
      </c>
      <c r="CL374" s="83" t="str">
        <f t="shared" si="97"/>
        <v>No se reportó avance</v>
      </c>
      <c r="CM374" s="89" t="str">
        <f t="shared" si="98"/>
        <v>No se reportó avance</v>
      </c>
      <c r="CN374" s="89" t="str">
        <f t="shared" si="99"/>
        <v>No se reportó avance</v>
      </c>
      <c r="CO374" s="714" t="s">
        <v>177</v>
      </c>
      <c r="CP374" s="715" t="s">
        <v>3290</v>
      </c>
      <c r="CQ374" s="714" t="s">
        <v>3291</v>
      </c>
      <c r="CR374" s="715" t="s">
        <v>3292</v>
      </c>
      <c r="CS374" s="715" t="s">
        <v>3293</v>
      </c>
      <c r="CT374" s="714" t="s">
        <v>200</v>
      </c>
      <c r="CU374" s="714" t="s">
        <v>162</v>
      </c>
      <c r="CV374" s="291">
        <v>0</v>
      </c>
      <c r="CW374" s="714" t="s">
        <v>163</v>
      </c>
      <c r="CX374" s="695">
        <v>46023</v>
      </c>
      <c r="CY374" s="695">
        <v>46387</v>
      </c>
      <c r="CZ374" s="146">
        <v>1</v>
      </c>
      <c r="DA374" s="146">
        <v>1</v>
      </c>
      <c r="DB374" s="146">
        <v>1</v>
      </c>
      <c r="DC374" s="146">
        <v>1</v>
      </c>
      <c r="DD374" s="146">
        <v>1</v>
      </c>
      <c r="DE374" s="665" t="s">
        <v>2951</v>
      </c>
      <c r="DF374" s="665" t="s">
        <v>3294</v>
      </c>
      <c r="DG374" s="665" t="s">
        <v>3295</v>
      </c>
      <c r="DH374" s="696">
        <v>0</v>
      </c>
      <c r="DI374" s="665"/>
      <c r="DJ374" s="665"/>
      <c r="DK374" s="665"/>
      <c r="DL374" s="665" t="s">
        <v>279</v>
      </c>
      <c r="DM374" s="665" t="s">
        <v>3296</v>
      </c>
      <c r="DN374" s="218"/>
      <c r="DO374" s="716"/>
      <c r="DP374" s="665"/>
      <c r="DQ374" s="716"/>
      <c r="DR374" s="716"/>
      <c r="DS374" s="218"/>
      <c r="DT374" s="716"/>
      <c r="DU374" s="665"/>
      <c r="DV374" s="716"/>
      <c r="DW374" s="716"/>
      <c r="DX374" s="218"/>
      <c r="DY374" s="716"/>
      <c r="DZ374" s="665"/>
      <c r="EA374" s="716"/>
      <c r="EB374" s="716"/>
      <c r="EC374" s="665"/>
      <c r="ED374" s="665"/>
      <c r="EE374" s="665"/>
      <c r="EF374" s="665"/>
      <c r="EG374" s="665"/>
      <c r="EH374" s="146"/>
      <c r="EI374" s="170"/>
      <c r="EJ374" s="170"/>
      <c r="EK374" s="262"/>
      <c r="EL374" s="91" t="str">
        <f t="shared" si="100"/>
        <v>No se reportó avance</v>
      </c>
      <c r="EM374" s="83" t="str">
        <f t="shared" si="101"/>
        <v>No se reportó avance</v>
      </c>
      <c r="EN374" s="697"/>
    </row>
    <row r="375" spans="1:146" ht="50.1" customHeight="1">
      <c r="A375" s="170" t="s">
        <v>4671</v>
      </c>
      <c r="B375" s="517" t="s">
        <v>3272</v>
      </c>
      <c r="C375" s="173" t="s">
        <v>3273</v>
      </c>
      <c r="D375" s="173" t="s">
        <v>3274</v>
      </c>
      <c r="E375" s="173" t="s">
        <v>3275</v>
      </c>
      <c r="F375" s="170" t="s">
        <v>280</v>
      </c>
      <c r="G375" s="170"/>
      <c r="H375" s="170" t="s">
        <v>3276</v>
      </c>
      <c r="I375" s="170" t="s">
        <v>3277</v>
      </c>
      <c r="J375" s="170" t="s">
        <v>3277</v>
      </c>
      <c r="K375" s="170" t="s">
        <v>3278</v>
      </c>
      <c r="L375" s="170">
        <v>1</v>
      </c>
      <c r="M375" s="170" t="s">
        <v>3279</v>
      </c>
      <c r="N375" s="170" t="s">
        <v>3280</v>
      </c>
      <c r="O375" s="170" t="s">
        <v>3281</v>
      </c>
      <c r="P375" s="170" t="s">
        <v>1161</v>
      </c>
      <c r="Q375" s="170" t="s">
        <v>162</v>
      </c>
      <c r="R375" s="170">
        <v>0</v>
      </c>
      <c r="S375" s="170" t="s">
        <v>163</v>
      </c>
      <c r="T375" s="90">
        <v>45108</v>
      </c>
      <c r="U375" s="90">
        <v>46357</v>
      </c>
      <c r="V375" s="518"/>
      <c r="W375" s="170"/>
      <c r="X375" s="170"/>
      <c r="Y375" s="519"/>
      <c r="Z375" s="85"/>
      <c r="AA375" s="85"/>
      <c r="AB375" s="85"/>
      <c r="AC375" s="85"/>
      <c r="AD375" s="85"/>
      <c r="AE375" s="85"/>
      <c r="AF375" s="85"/>
      <c r="AG375" s="85"/>
      <c r="AH375" s="85"/>
      <c r="AI375" s="85"/>
      <c r="AJ375" s="85"/>
      <c r="AK375" s="157"/>
      <c r="AL375" s="157"/>
      <c r="AM375" s="157"/>
      <c r="AN375" s="157"/>
      <c r="AO375" s="157"/>
      <c r="AP375" s="170"/>
      <c r="AQ375" s="170"/>
      <c r="AR375" s="170"/>
      <c r="AS375" s="170"/>
      <c r="AT375" s="170"/>
      <c r="AU375" s="170"/>
      <c r="AV375" s="170"/>
      <c r="AW375" s="170"/>
      <c r="AX375" s="170"/>
      <c r="AY375" s="170"/>
      <c r="AZ375" s="692"/>
      <c r="BA375" s="170"/>
      <c r="BB375" s="170"/>
      <c r="BC375" s="170"/>
      <c r="BD375" s="170"/>
      <c r="BE375" s="170"/>
      <c r="BF375" s="170"/>
      <c r="BG375" s="170"/>
      <c r="BH375" s="170"/>
      <c r="BI375" s="170"/>
      <c r="BJ375" s="692"/>
      <c r="BK375" s="170"/>
      <c r="BL375" s="692"/>
      <c r="BM375" s="170"/>
      <c r="BN375" s="692"/>
      <c r="BO375" s="170"/>
      <c r="BP375" s="692"/>
      <c r="BQ375" s="170"/>
      <c r="BR375" s="170"/>
      <c r="BS375" s="170"/>
      <c r="BT375" s="170"/>
      <c r="BU375" s="170"/>
      <c r="BV375" s="170"/>
      <c r="BW375" s="170"/>
      <c r="BX375" s="170"/>
      <c r="BY375" s="170"/>
      <c r="BZ375" s="170"/>
      <c r="CA375" s="170"/>
      <c r="CB375" s="170"/>
      <c r="CC375" s="170"/>
      <c r="CD375" s="170"/>
      <c r="CE375" s="170"/>
      <c r="CF375" s="170"/>
      <c r="CG375" s="713"/>
      <c r="CH375" s="256"/>
      <c r="CI375" s="170"/>
      <c r="CJ375" s="83" t="str">
        <f t="shared" si="106"/>
        <v>No aplica</v>
      </c>
      <c r="CK375" s="83" t="str">
        <f t="shared" si="103"/>
        <v>No aplica</v>
      </c>
      <c r="CL375" s="83" t="str">
        <f t="shared" si="97"/>
        <v>No requiere reporte</v>
      </c>
      <c r="CM375" s="89" t="str">
        <f t="shared" si="98"/>
        <v>No requiere reporte</v>
      </c>
      <c r="CN375" s="89" t="str">
        <f t="shared" si="99"/>
        <v>No requiere reporte</v>
      </c>
      <c r="CO375" s="145" t="s">
        <v>185</v>
      </c>
      <c r="CP375" s="693" t="s">
        <v>3297</v>
      </c>
      <c r="CQ375" s="145" t="s">
        <v>3298</v>
      </c>
      <c r="CR375" s="693" t="s">
        <v>3299</v>
      </c>
      <c r="CS375" s="693" t="s">
        <v>3300</v>
      </c>
      <c r="CT375" s="145" t="s">
        <v>161</v>
      </c>
      <c r="CU375" s="145" t="s">
        <v>233</v>
      </c>
      <c r="CV375" s="291">
        <v>0</v>
      </c>
      <c r="CW375" s="145" t="s">
        <v>163</v>
      </c>
      <c r="CX375" s="695">
        <v>46023</v>
      </c>
      <c r="CY375" s="695">
        <v>46387</v>
      </c>
      <c r="CZ375" s="157">
        <v>0</v>
      </c>
      <c r="DA375" s="157">
        <v>0.1</v>
      </c>
      <c r="DB375" s="157">
        <v>0.2</v>
      </c>
      <c r="DC375" s="157">
        <v>0.5</v>
      </c>
      <c r="DD375" s="157">
        <v>0.8</v>
      </c>
      <c r="DE375" s="665" t="s">
        <v>2951</v>
      </c>
      <c r="DF375" s="665" t="s">
        <v>3294</v>
      </c>
      <c r="DG375" s="665" t="s">
        <v>3295</v>
      </c>
      <c r="DH375" s="696">
        <f>3500000000-700000000</f>
        <v>2800000000</v>
      </c>
      <c r="DI375" s="665"/>
      <c r="DJ375" s="665"/>
      <c r="DK375" s="665"/>
      <c r="DL375" s="665" t="s">
        <v>279</v>
      </c>
      <c r="DM375" s="665" t="s">
        <v>3296</v>
      </c>
      <c r="DN375" s="665"/>
      <c r="DO375" s="716"/>
      <c r="DP375" s="665"/>
      <c r="DQ375" s="716"/>
      <c r="DR375" s="716"/>
      <c r="DS375" s="665"/>
      <c r="DT375" s="716"/>
      <c r="DU375" s="665"/>
      <c r="DV375" s="716"/>
      <c r="DW375" s="716"/>
      <c r="DX375" s="665"/>
      <c r="DY375" s="716"/>
      <c r="DZ375" s="665"/>
      <c r="EA375" s="716"/>
      <c r="EB375" s="716"/>
      <c r="EC375" s="665"/>
      <c r="ED375" s="665"/>
      <c r="EE375" s="665"/>
      <c r="EF375" s="665"/>
      <c r="EG375" s="665"/>
      <c r="EH375" s="666"/>
      <c r="EI375" s="170"/>
      <c r="EJ375" s="170"/>
      <c r="EK375" s="262"/>
      <c r="EL375" s="91" t="str">
        <f t="shared" si="100"/>
        <v>No aplica, no hay meta</v>
      </c>
      <c r="EM375" s="83" t="str">
        <f t="shared" si="101"/>
        <v>No se reportó avance</v>
      </c>
      <c r="EN375" s="697"/>
    </row>
    <row r="376" spans="1:146" ht="50.1" customHeight="1">
      <c r="A376" s="170" t="s">
        <v>4671</v>
      </c>
      <c r="B376" s="517" t="s">
        <v>3272</v>
      </c>
      <c r="C376" s="173" t="s">
        <v>3273</v>
      </c>
      <c r="D376" s="173" t="s">
        <v>3274</v>
      </c>
      <c r="E376" s="173" t="s">
        <v>3275</v>
      </c>
      <c r="F376" s="170" t="s">
        <v>280</v>
      </c>
      <c r="G376" s="170"/>
      <c r="H376" s="170" t="s">
        <v>3276</v>
      </c>
      <c r="I376" s="170" t="s">
        <v>3277</v>
      </c>
      <c r="J376" s="170" t="s">
        <v>3277</v>
      </c>
      <c r="K376" s="170" t="s">
        <v>3278</v>
      </c>
      <c r="L376" s="170">
        <v>1</v>
      </c>
      <c r="M376" s="170" t="s">
        <v>3279</v>
      </c>
      <c r="N376" s="170" t="s">
        <v>3280</v>
      </c>
      <c r="O376" s="170" t="s">
        <v>3281</v>
      </c>
      <c r="P376" s="170" t="s">
        <v>1161</v>
      </c>
      <c r="Q376" s="170" t="s">
        <v>162</v>
      </c>
      <c r="R376" s="170">
        <v>0</v>
      </c>
      <c r="S376" s="170" t="s">
        <v>163</v>
      </c>
      <c r="T376" s="90">
        <v>45108</v>
      </c>
      <c r="U376" s="90">
        <v>46357</v>
      </c>
      <c r="V376" s="518"/>
      <c r="W376" s="170"/>
      <c r="X376" s="170"/>
      <c r="Y376" s="519"/>
      <c r="Z376" s="85"/>
      <c r="AA376" s="85"/>
      <c r="AB376" s="85"/>
      <c r="AC376" s="85"/>
      <c r="AD376" s="85"/>
      <c r="AE376" s="85"/>
      <c r="AF376" s="85"/>
      <c r="AG376" s="85"/>
      <c r="AH376" s="85"/>
      <c r="AI376" s="85"/>
      <c r="AJ376" s="85"/>
      <c r="AK376" s="157"/>
      <c r="AL376" s="157"/>
      <c r="AM376" s="157"/>
      <c r="AN376" s="157"/>
      <c r="AO376" s="157"/>
      <c r="AP376" s="170"/>
      <c r="AQ376" s="170"/>
      <c r="AR376" s="170"/>
      <c r="AS376" s="170"/>
      <c r="AT376" s="170"/>
      <c r="AU376" s="170"/>
      <c r="AV376" s="170"/>
      <c r="AW376" s="170"/>
      <c r="AX376" s="170"/>
      <c r="AY376" s="170"/>
      <c r="AZ376" s="692"/>
      <c r="BA376" s="170"/>
      <c r="BB376" s="170"/>
      <c r="BC376" s="170"/>
      <c r="BD376" s="170"/>
      <c r="BE376" s="170"/>
      <c r="BF376" s="170"/>
      <c r="BG376" s="170"/>
      <c r="BH376" s="170"/>
      <c r="BI376" s="170"/>
      <c r="BJ376" s="692"/>
      <c r="BK376" s="170"/>
      <c r="BL376" s="692"/>
      <c r="BM376" s="170"/>
      <c r="BN376" s="692"/>
      <c r="BO376" s="170"/>
      <c r="BP376" s="692"/>
      <c r="BQ376" s="170"/>
      <c r="BR376" s="170"/>
      <c r="BS376" s="170"/>
      <c r="BT376" s="170"/>
      <c r="BU376" s="170"/>
      <c r="BV376" s="170"/>
      <c r="BW376" s="170"/>
      <c r="BX376" s="170"/>
      <c r="BY376" s="170"/>
      <c r="BZ376" s="170"/>
      <c r="CA376" s="170"/>
      <c r="CB376" s="170"/>
      <c r="CC376" s="170"/>
      <c r="CD376" s="170"/>
      <c r="CE376" s="170"/>
      <c r="CF376" s="170"/>
      <c r="CG376" s="713"/>
      <c r="CH376" s="256"/>
      <c r="CI376" s="170"/>
      <c r="CJ376" s="83" t="str">
        <f t="shared" si="106"/>
        <v>No aplica</v>
      </c>
      <c r="CK376" s="83" t="str">
        <f t="shared" si="103"/>
        <v>No aplica</v>
      </c>
      <c r="CL376" s="83" t="str">
        <f t="shared" si="97"/>
        <v>No requiere reporte</v>
      </c>
      <c r="CM376" s="89" t="str">
        <f t="shared" si="98"/>
        <v>No requiere reporte</v>
      </c>
      <c r="CN376" s="89" t="str">
        <f t="shared" si="99"/>
        <v>No requiere reporte</v>
      </c>
      <c r="CO376" s="145" t="s">
        <v>3301</v>
      </c>
      <c r="CP376" s="693" t="s">
        <v>3297</v>
      </c>
      <c r="CQ376" s="145" t="s">
        <v>3298</v>
      </c>
      <c r="CR376" s="693" t="s">
        <v>3299</v>
      </c>
      <c r="CS376" s="693" t="s">
        <v>3300</v>
      </c>
      <c r="CT376" s="145" t="s">
        <v>161</v>
      </c>
      <c r="CU376" s="145" t="s">
        <v>233</v>
      </c>
      <c r="CV376" s="291">
        <v>0</v>
      </c>
      <c r="CW376" s="145" t="s">
        <v>163</v>
      </c>
      <c r="CX376" s="695">
        <v>46023</v>
      </c>
      <c r="CY376" s="695">
        <v>46387</v>
      </c>
      <c r="CZ376" s="157">
        <v>0</v>
      </c>
      <c r="DA376" s="157">
        <v>0.1</v>
      </c>
      <c r="DB376" s="157">
        <v>0.2</v>
      </c>
      <c r="DC376" s="157">
        <v>0.5</v>
      </c>
      <c r="DD376" s="157">
        <v>0.8</v>
      </c>
      <c r="DE376" s="686" t="s">
        <v>396</v>
      </c>
      <c r="DF376" s="686" t="s">
        <v>3072</v>
      </c>
      <c r="DG376" s="686" t="s">
        <v>3302</v>
      </c>
      <c r="DH376" s="696">
        <v>200000000</v>
      </c>
      <c r="DI376" s="665"/>
      <c r="DJ376" s="665"/>
      <c r="DK376" s="665"/>
      <c r="DL376" s="665" t="s">
        <v>279</v>
      </c>
      <c r="DM376" s="665" t="s">
        <v>3296</v>
      </c>
      <c r="DN376" s="665"/>
      <c r="DO376" s="716"/>
      <c r="DP376" s="665"/>
      <c r="DQ376" s="716"/>
      <c r="DR376" s="716"/>
      <c r="DS376" s="665"/>
      <c r="DT376" s="716"/>
      <c r="DU376" s="665"/>
      <c r="DV376" s="716"/>
      <c r="DW376" s="716"/>
      <c r="DX376" s="665"/>
      <c r="DY376" s="716"/>
      <c r="DZ376" s="665"/>
      <c r="EA376" s="716"/>
      <c r="EB376" s="716"/>
      <c r="EC376" s="665"/>
      <c r="ED376" s="665"/>
      <c r="EE376" s="665"/>
      <c r="EF376" s="665"/>
      <c r="EG376" s="665"/>
      <c r="EH376" s="666"/>
      <c r="EI376" s="170"/>
      <c r="EJ376" s="170"/>
      <c r="EK376" s="262"/>
      <c r="EL376" s="91" t="str">
        <f t="shared" si="100"/>
        <v>No requiere reporte</v>
      </c>
      <c r="EM376" s="83" t="str">
        <f t="shared" si="101"/>
        <v>No requiere reporte</v>
      </c>
      <c r="EN376" s="697"/>
    </row>
    <row r="377" spans="1:146" ht="50.1" customHeight="1">
      <c r="A377" s="170" t="s">
        <v>4671</v>
      </c>
      <c r="B377" s="517" t="s">
        <v>3272</v>
      </c>
      <c r="C377" s="173" t="s">
        <v>3273</v>
      </c>
      <c r="D377" s="173" t="s">
        <v>3274</v>
      </c>
      <c r="E377" s="173" t="s">
        <v>3275</v>
      </c>
      <c r="F377" s="170" t="s">
        <v>280</v>
      </c>
      <c r="G377" s="170"/>
      <c r="H377" s="170" t="s">
        <v>3276</v>
      </c>
      <c r="I377" s="170" t="s">
        <v>3277</v>
      </c>
      <c r="J377" s="170" t="s">
        <v>3277</v>
      </c>
      <c r="K377" s="170" t="s">
        <v>3278</v>
      </c>
      <c r="L377" s="170">
        <v>1</v>
      </c>
      <c r="M377" s="170" t="s">
        <v>3279</v>
      </c>
      <c r="N377" s="170" t="s">
        <v>3280</v>
      </c>
      <c r="O377" s="170" t="s">
        <v>3281</v>
      </c>
      <c r="P377" s="170" t="s">
        <v>1161</v>
      </c>
      <c r="Q377" s="170" t="s">
        <v>162</v>
      </c>
      <c r="R377" s="170">
        <v>0</v>
      </c>
      <c r="S377" s="170" t="s">
        <v>163</v>
      </c>
      <c r="T377" s="90">
        <v>45108</v>
      </c>
      <c r="U377" s="90">
        <v>46357</v>
      </c>
      <c r="V377" s="518"/>
      <c r="W377" s="170"/>
      <c r="X377" s="170"/>
      <c r="Y377" s="519"/>
      <c r="Z377" s="85"/>
      <c r="AA377" s="85"/>
      <c r="AB377" s="85"/>
      <c r="AC377" s="85"/>
      <c r="AD377" s="85"/>
      <c r="AE377" s="85"/>
      <c r="AF377" s="85"/>
      <c r="AG377" s="85"/>
      <c r="AH377" s="85"/>
      <c r="AI377" s="85"/>
      <c r="AJ377" s="85"/>
      <c r="AK377" s="157"/>
      <c r="AL377" s="157"/>
      <c r="AM377" s="157"/>
      <c r="AN377" s="157"/>
      <c r="AO377" s="157"/>
      <c r="AP377" s="170"/>
      <c r="AQ377" s="170"/>
      <c r="AR377" s="170"/>
      <c r="AS377" s="170"/>
      <c r="AT377" s="170"/>
      <c r="AU377" s="170"/>
      <c r="AV377" s="170"/>
      <c r="AW377" s="170"/>
      <c r="AX377" s="170"/>
      <c r="AY377" s="170"/>
      <c r="AZ377" s="692"/>
      <c r="BA377" s="170"/>
      <c r="BB377" s="170"/>
      <c r="BC377" s="170"/>
      <c r="BD377" s="170"/>
      <c r="BE377" s="170"/>
      <c r="BF377" s="170"/>
      <c r="BG377" s="170"/>
      <c r="BH377" s="170"/>
      <c r="BI377" s="170"/>
      <c r="BJ377" s="692"/>
      <c r="BK377" s="170"/>
      <c r="BL377" s="692"/>
      <c r="BM377" s="170"/>
      <c r="BN377" s="692"/>
      <c r="BO377" s="170"/>
      <c r="BP377" s="692"/>
      <c r="BQ377" s="170"/>
      <c r="BR377" s="170"/>
      <c r="BS377" s="170"/>
      <c r="BT377" s="170"/>
      <c r="BU377" s="170"/>
      <c r="BV377" s="170"/>
      <c r="BW377" s="170"/>
      <c r="BX377" s="170"/>
      <c r="BY377" s="170"/>
      <c r="BZ377" s="170"/>
      <c r="CA377" s="170"/>
      <c r="CB377" s="170"/>
      <c r="CC377" s="170"/>
      <c r="CD377" s="170"/>
      <c r="CE377" s="170"/>
      <c r="CF377" s="170"/>
      <c r="CG377" s="665"/>
      <c r="CH377" s="256"/>
      <c r="CI377" s="170"/>
      <c r="CJ377" s="83" t="str">
        <f t="shared" si="106"/>
        <v>No aplica</v>
      </c>
      <c r="CK377" s="83" t="str">
        <f t="shared" si="103"/>
        <v>No aplica</v>
      </c>
      <c r="CL377" s="83" t="str">
        <f t="shared" si="97"/>
        <v>No requiere reporte</v>
      </c>
      <c r="CM377" s="89" t="str">
        <f t="shared" si="98"/>
        <v>No requiere reporte</v>
      </c>
      <c r="CN377" s="89" t="str">
        <f t="shared" si="99"/>
        <v>No requiere reporte</v>
      </c>
      <c r="CO377" s="145" t="s">
        <v>190</v>
      </c>
      <c r="CP377" s="693" t="s">
        <v>3303</v>
      </c>
      <c r="CQ377" s="145" t="s">
        <v>3304</v>
      </c>
      <c r="CR377" s="693" t="s">
        <v>3305</v>
      </c>
      <c r="CS377" s="693" t="s">
        <v>3306</v>
      </c>
      <c r="CT377" s="145" t="s">
        <v>161</v>
      </c>
      <c r="CU377" s="714" t="s">
        <v>162</v>
      </c>
      <c r="CV377" s="291">
        <v>0</v>
      </c>
      <c r="CW377" s="145" t="s">
        <v>163</v>
      </c>
      <c r="CX377" s="695">
        <v>46023</v>
      </c>
      <c r="CY377" s="695">
        <v>46387</v>
      </c>
      <c r="CZ377" s="157">
        <v>0</v>
      </c>
      <c r="DA377" s="146">
        <v>1</v>
      </c>
      <c r="DB377" s="146">
        <v>1</v>
      </c>
      <c r="DC377" s="146">
        <v>1</v>
      </c>
      <c r="DD377" s="146">
        <v>1</v>
      </c>
      <c r="DE377" s="665" t="s">
        <v>2951</v>
      </c>
      <c r="DF377" s="665" t="s">
        <v>3294</v>
      </c>
      <c r="DG377" s="665" t="s">
        <v>3295</v>
      </c>
      <c r="DH377" s="696">
        <v>5284000000</v>
      </c>
      <c r="DI377" s="665"/>
      <c r="DJ377" s="665"/>
      <c r="DK377" s="665"/>
      <c r="DL377" s="665" t="s">
        <v>279</v>
      </c>
      <c r="DM377" s="665" t="s">
        <v>3296</v>
      </c>
      <c r="DN377" s="218"/>
      <c r="DO377" s="716"/>
      <c r="DP377" s="665"/>
      <c r="DQ377" s="716"/>
      <c r="DR377" s="716"/>
      <c r="DS377" s="218"/>
      <c r="DT377" s="716"/>
      <c r="DU377" s="665"/>
      <c r="DV377" s="716"/>
      <c r="DW377" s="716"/>
      <c r="DX377" s="218"/>
      <c r="DY377" s="708"/>
      <c r="DZ377" s="665"/>
      <c r="EA377" s="716"/>
      <c r="EB377" s="716"/>
      <c r="EC377" s="665"/>
      <c r="ED377" s="665"/>
      <c r="EE377" s="665"/>
      <c r="EF377" s="665"/>
      <c r="EG377" s="665"/>
      <c r="EH377" s="666"/>
      <c r="EI377" s="170"/>
      <c r="EJ377" s="170"/>
      <c r="EK377" s="262"/>
      <c r="EL377" s="91" t="str">
        <f t="shared" si="100"/>
        <v>No aplica, no hay meta</v>
      </c>
      <c r="EM377" s="83" t="str">
        <f t="shared" si="101"/>
        <v>No se reportó avance</v>
      </c>
      <c r="EN377" s="697"/>
    </row>
    <row r="378" spans="1:146" ht="50.1" customHeight="1">
      <c r="A378" s="170" t="s">
        <v>4671</v>
      </c>
      <c r="B378" s="517" t="s">
        <v>3272</v>
      </c>
      <c r="C378" s="173" t="s">
        <v>3273</v>
      </c>
      <c r="D378" s="173" t="s">
        <v>3274</v>
      </c>
      <c r="E378" s="173" t="s">
        <v>3275</v>
      </c>
      <c r="F378" s="170" t="s">
        <v>280</v>
      </c>
      <c r="G378" s="170"/>
      <c r="H378" s="170" t="s">
        <v>3276</v>
      </c>
      <c r="I378" s="170" t="s">
        <v>3277</v>
      </c>
      <c r="J378" s="170" t="s">
        <v>3277</v>
      </c>
      <c r="K378" s="170" t="s">
        <v>3278</v>
      </c>
      <c r="L378" s="170">
        <v>1</v>
      </c>
      <c r="M378" s="170" t="s">
        <v>3279</v>
      </c>
      <c r="N378" s="170" t="s">
        <v>3280</v>
      </c>
      <c r="O378" s="170" t="s">
        <v>3281</v>
      </c>
      <c r="P378" s="170" t="s">
        <v>1161</v>
      </c>
      <c r="Q378" s="170" t="s">
        <v>162</v>
      </c>
      <c r="R378" s="170">
        <v>0</v>
      </c>
      <c r="S378" s="170" t="s">
        <v>163</v>
      </c>
      <c r="T378" s="90">
        <v>45108</v>
      </c>
      <c r="U378" s="90">
        <v>46357</v>
      </c>
      <c r="V378" s="518"/>
      <c r="W378" s="170"/>
      <c r="X378" s="170"/>
      <c r="Y378" s="519"/>
      <c r="Z378" s="85"/>
      <c r="AA378" s="85"/>
      <c r="AB378" s="85"/>
      <c r="AC378" s="85"/>
      <c r="AD378" s="85"/>
      <c r="AE378" s="85"/>
      <c r="AF378" s="85"/>
      <c r="AG378" s="85"/>
      <c r="AH378" s="85"/>
      <c r="AI378" s="85"/>
      <c r="AJ378" s="85"/>
      <c r="AK378" s="157"/>
      <c r="AL378" s="157"/>
      <c r="AM378" s="157"/>
      <c r="AN378" s="157"/>
      <c r="AO378" s="157"/>
      <c r="AP378" s="170"/>
      <c r="AQ378" s="170"/>
      <c r="AR378" s="170"/>
      <c r="AS378" s="170"/>
      <c r="AT378" s="170"/>
      <c r="AU378" s="170"/>
      <c r="AV378" s="170"/>
      <c r="AW378" s="170"/>
      <c r="AX378" s="170"/>
      <c r="AY378" s="170"/>
      <c r="AZ378" s="692"/>
      <c r="BA378" s="170"/>
      <c r="BB378" s="170"/>
      <c r="BC378" s="170"/>
      <c r="BD378" s="170"/>
      <c r="BE378" s="170"/>
      <c r="BF378" s="170"/>
      <c r="BG378" s="170"/>
      <c r="BH378" s="170"/>
      <c r="BI378" s="170"/>
      <c r="BJ378" s="692"/>
      <c r="BK378" s="170"/>
      <c r="BL378" s="692"/>
      <c r="BM378" s="170"/>
      <c r="BN378" s="692"/>
      <c r="BO378" s="170"/>
      <c r="BP378" s="692"/>
      <c r="BQ378" s="170"/>
      <c r="BR378" s="170"/>
      <c r="BS378" s="170"/>
      <c r="BT378" s="170"/>
      <c r="BU378" s="170"/>
      <c r="BV378" s="170"/>
      <c r="BW378" s="170"/>
      <c r="BX378" s="170"/>
      <c r="BY378" s="170"/>
      <c r="BZ378" s="170"/>
      <c r="CA378" s="170"/>
      <c r="CB378" s="170"/>
      <c r="CC378" s="170"/>
      <c r="CD378" s="170"/>
      <c r="CE378" s="170"/>
      <c r="CF378" s="170"/>
      <c r="CG378" s="713"/>
      <c r="CH378" s="256"/>
      <c r="CI378" s="170"/>
      <c r="CJ378" s="83" t="str">
        <f t="shared" si="106"/>
        <v>No aplica</v>
      </c>
      <c r="CK378" s="83" t="str">
        <f t="shared" si="103"/>
        <v>No aplica</v>
      </c>
      <c r="CL378" s="83" t="str">
        <f t="shared" si="97"/>
        <v>No requiere reporte</v>
      </c>
      <c r="CM378" s="89" t="str">
        <f t="shared" si="98"/>
        <v>No requiere reporte</v>
      </c>
      <c r="CN378" s="89" t="str">
        <f t="shared" si="99"/>
        <v>No requiere reporte</v>
      </c>
      <c r="CO378" s="145" t="s">
        <v>3307</v>
      </c>
      <c r="CP378" s="693" t="s">
        <v>3303</v>
      </c>
      <c r="CQ378" s="145" t="s">
        <v>3304</v>
      </c>
      <c r="CR378" s="693" t="s">
        <v>3308</v>
      </c>
      <c r="CS378" s="693" t="s">
        <v>3309</v>
      </c>
      <c r="CT378" s="145" t="s">
        <v>161</v>
      </c>
      <c r="CU378" s="714" t="s">
        <v>162</v>
      </c>
      <c r="CV378" s="291">
        <v>0</v>
      </c>
      <c r="CW378" s="145" t="s">
        <v>163</v>
      </c>
      <c r="CX378" s="695">
        <v>46023</v>
      </c>
      <c r="CY378" s="695">
        <v>46387</v>
      </c>
      <c r="CZ378" s="157">
        <v>0</v>
      </c>
      <c r="DA378" s="146">
        <v>1</v>
      </c>
      <c r="DB378" s="146">
        <v>1</v>
      </c>
      <c r="DC378" s="146">
        <v>1</v>
      </c>
      <c r="DD378" s="146">
        <v>1</v>
      </c>
      <c r="DE378" s="665" t="s">
        <v>2951</v>
      </c>
      <c r="DF378" s="665" t="s">
        <v>3310</v>
      </c>
      <c r="DG378" s="665" t="s">
        <v>3311</v>
      </c>
      <c r="DH378" s="696">
        <v>9716000000</v>
      </c>
      <c r="DI378" s="665"/>
      <c r="DJ378" s="665"/>
      <c r="DK378" s="665"/>
      <c r="DL378" s="665" t="s">
        <v>279</v>
      </c>
      <c r="DM378" s="665" t="s">
        <v>3296</v>
      </c>
      <c r="DN378" s="218"/>
      <c r="DO378" s="716"/>
      <c r="DP378" s="665"/>
      <c r="DQ378" s="716"/>
      <c r="DR378" s="716"/>
      <c r="DS378" s="218"/>
      <c r="DT378" s="716"/>
      <c r="DU378" s="665"/>
      <c r="DV378" s="716"/>
      <c r="DW378" s="716"/>
      <c r="DX378" s="218"/>
      <c r="DY378" s="716"/>
      <c r="DZ378" s="665"/>
      <c r="EA378" s="716"/>
      <c r="EB378" s="716"/>
      <c r="EC378" s="665"/>
      <c r="ED378" s="665"/>
      <c r="EE378" s="665"/>
      <c r="EF378" s="665"/>
      <c r="EG378" s="665"/>
      <c r="EH378" s="666"/>
      <c r="EI378" s="170"/>
      <c r="EJ378" s="170"/>
      <c r="EK378" s="262"/>
      <c r="EL378" s="91" t="str">
        <f t="shared" si="100"/>
        <v>No requiere reporte</v>
      </c>
      <c r="EM378" s="83" t="str">
        <f t="shared" si="101"/>
        <v>No requiere reporte</v>
      </c>
      <c r="EN378" s="697"/>
    </row>
    <row r="379" spans="1:146" ht="50.1" customHeight="1">
      <c r="A379" s="170" t="s">
        <v>4671</v>
      </c>
      <c r="B379" s="517" t="s">
        <v>3272</v>
      </c>
      <c r="C379" s="173" t="s">
        <v>3273</v>
      </c>
      <c r="D379" s="173" t="s">
        <v>3274</v>
      </c>
      <c r="E379" s="173" t="s">
        <v>3275</v>
      </c>
      <c r="F379" s="170" t="s">
        <v>280</v>
      </c>
      <c r="G379" s="170"/>
      <c r="H379" s="170" t="s">
        <v>3276</v>
      </c>
      <c r="I379" s="170" t="s">
        <v>3277</v>
      </c>
      <c r="J379" s="170" t="s">
        <v>3277</v>
      </c>
      <c r="K379" s="170" t="s">
        <v>3278</v>
      </c>
      <c r="L379" s="170">
        <v>1</v>
      </c>
      <c r="M379" s="170" t="s">
        <v>3279</v>
      </c>
      <c r="N379" s="170" t="s">
        <v>3280</v>
      </c>
      <c r="O379" s="170" t="s">
        <v>3281</v>
      </c>
      <c r="P379" s="170" t="s">
        <v>1161</v>
      </c>
      <c r="Q379" s="170" t="s">
        <v>162</v>
      </c>
      <c r="R379" s="170">
        <v>0</v>
      </c>
      <c r="S379" s="170" t="s">
        <v>163</v>
      </c>
      <c r="T379" s="90">
        <v>45108</v>
      </c>
      <c r="U379" s="90">
        <v>46357</v>
      </c>
      <c r="V379" s="518"/>
      <c r="W379" s="170"/>
      <c r="X379" s="170"/>
      <c r="Y379" s="519"/>
      <c r="Z379" s="85"/>
      <c r="AA379" s="85"/>
      <c r="AB379" s="85"/>
      <c r="AC379" s="85"/>
      <c r="AD379" s="85"/>
      <c r="AE379" s="85"/>
      <c r="AF379" s="85"/>
      <c r="AG379" s="85"/>
      <c r="AH379" s="85"/>
      <c r="AI379" s="85"/>
      <c r="AJ379" s="85"/>
      <c r="AK379" s="157"/>
      <c r="AL379" s="157"/>
      <c r="AM379" s="157"/>
      <c r="AN379" s="157"/>
      <c r="AO379" s="157"/>
      <c r="AP379" s="170"/>
      <c r="AQ379" s="170"/>
      <c r="AR379" s="170"/>
      <c r="AS379" s="170"/>
      <c r="AT379" s="170"/>
      <c r="AU379" s="170"/>
      <c r="AV379" s="170"/>
      <c r="AW379" s="170"/>
      <c r="AX379" s="170"/>
      <c r="AY379" s="170"/>
      <c r="AZ379" s="692"/>
      <c r="BA379" s="170"/>
      <c r="BB379" s="170"/>
      <c r="BC379" s="170"/>
      <c r="BD379" s="170"/>
      <c r="BE379" s="170"/>
      <c r="BF379" s="170"/>
      <c r="BG379" s="170"/>
      <c r="BH379" s="170"/>
      <c r="BI379" s="170"/>
      <c r="BJ379" s="692"/>
      <c r="BK379" s="170"/>
      <c r="BL379" s="692"/>
      <c r="BM379" s="170"/>
      <c r="BN379" s="692"/>
      <c r="BO379" s="170"/>
      <c r="BP379" s="692"/>
      <c r="BQ379" s="170"/>
      <c r="BR379" s="170"/>
      <c r="BS379" s="170"/>
      <c r="BT379" s="170"/>
      <c r="BU379" s="170"/>
      <c r="BV379" s="170"/>
      <c r="BW379" s="170"/>
      <c r="BX379" s="170"/>
      <c r="BY379" s="170"/>
      <c r="BZ379" s="170"/>
      <c r="CA379" s="170"/>
      <c r="CB379" s="170"/>
      <c r="CC379" s="170"/>
      <c r="CD379" s="170"/>
      <c r="CE379" s="170"/>
      <c r="CF379" s="170"/>
      <c r="CG379" s="665"/>
      <c r="CH379" s="256"/>
      <c r="CI379" s="170"/>
      <c r="CJ379" s="83" t="str">
        <f t="shared" si="106"/>
        <v>No aplica</v>
      </c>
      <c r="CK379" s="83" t="str">
        <f t="shared" si="103"/>
        <v>No aplica</v>
      </c>
      <c r="CL379" s="83" t="str">
        <f t="shared" si="97"/>
        <v>No requiere reporte</v>
      </c>
      <c r="CM379" s="89" t="str">
        <f t="shared" si="98"/>
        <v>No requiere reporte</v>
      </c>
      <c r="CN379" s="89" t="str">
        <f t="shared" si="99"/>
        <v>No requiere reporte</v>
      </c>
      <c r="CO379" s="145" t="s">
        <v>195</v>
      </c>
      <c r="CP379" s="693" t="s">
        <v>3312</v>
      </c>
      <c r="CQ379" s="145" t="s">
        <v>3313</v>
      </c>
      <c r="CR379" s="693" t="s">
        <v>3314</v>
      </c>
      <c r="CS379" s="693" t="s">
        <v>3315</v>
      </c>
      <c r="CT379" s="145" t="s">
        <v>161</v>
      </c>
      <c r="CU379" s="714" t="s">
        <v>162</v>
      </c>
      <c r="CV379" s="291">
        <v>0</v>
      </c>
      <c r="CW379" s="145" t="s">
        <v>163</v>
      </c>
      <c r="CX379" s="695">
        <v>46023</v>
      </c>
      <c r="CY379" s="695">
        <v>46387</v>
      </c>
      <c r="CZ379" s="157">
        <v>0</v>
      </c>
      <c r="DA379" s="146">
        <v>1</v>
      </c>
      <c r="DB379" s="146">
        <v>1</v>
      </c>
      <c r="DC379" s="146">
        <v>1</v>
      </c>
      <c r="DD379" s="146">
        <v>1</v>
      </c>
      <c r="DE379" s="686" t="s">
        <v>2951</v>
      </c>
      <c r="DF379" s="686" t="s">
        <v>3294</v>
      </c>
      <c r="DG379" s="686" t="s">
        <v>3295</v>
      </c>
      <c r="DH379" s="696">
        <v>2400000000</v>
      </c>
      <c r="DI379" s="665"/>
      <c r="DJ379" s="665"/>
      <c r="DK379" s="665"/>
      <c r="DL379" s="665" t="s">
        <v>279</v>
      </c>
      <c r="DM379" s="665" t="s">
        <v>3296</v>
      </c>
      <c r="DN379" s="218"/>
      <c r="DO379" s="716"/>
      <c r="DP379" s="665"/>
      <c r="DQ379" s="716"/>
      <c r="DR379" s="716"/>
      <c r="DS379" s="218"/>
      <c r="DT379" s="716"/>
      <c r="DU379" s="665"/>
      <c r="DV379" s="716"/>
      <c r="DW379" s="716"/>
      <c r="DX379" s="520"/>
      <c r="DY379" s="716"/>
      <c r="DZ379" s="665"/>
      <c r="EA379" s="716"/>
      <c r="EB379" s="716"/>
      <c r="EC379" s="665"/>
      <c r="ED379" s="665"/>
      <c r="EE379" s="665"/>
      <c r="EF379" s="665"/>
      <c r="EG379" s="665"/>
      <c r="EH379" s="666"/>
      <c r="EI379" s="170"/>
      <c r="EJ379" s="170"/>
      <c r="EK379" s="262"/>
      <c r="EL379" s="91" t="str">
        <f t="shared" si="100"/>
        <v>No aplica, no hay meta</v>
      </c>
      <c r="EM379" s="83" t="str">
        <f t="shared" si="101"/>
        <v>No se reportó avance</v>
      </c>
      <c r="EN379" s="697"/>
    </row>
    <row r="380" spans="1:146" s="521" customFormat="1" ht="50.1" customHeight="1">
      <c r="A380" s="170" t="s">
        <v>4671</v>
      </c>
      <c r="B380" s="517" t="s">
        <v>3272</v>
      </c>
      <c r="C380" s="173" t="s">
        <v>3273</v>
      </c>
      <c r="D380" s="173" t="s">
        <v>3274</v>
      </c>
      <c r="E380" s="173" t="s">
        <v>3275</v>
      </c>
      <c r="F380" s="170" t="s">
        <v>280</v>
      </c>
      <c r="G380" s="170"/>
      <c r="H380" s="170" t="s">
        <v>3276</v>
      </c>
      <c r="I380" s="170" t="s">
        <v>3277</v>
      </c>
      <c r="J380" s="170" t="s">
        <v>3277</v>
      </c>
      <c r="K380" s="170" t="s">
        <v>3278</v>
      </c>
      <c r="L380" s="170">
        <v>1</v>
      </c>
      <c r="M380" s="170" t="s">
        <v>3279</v>
      </c>
      <c r="N380" s="170" t="s">
        <v>3280</v>
      </c>
      <c r="O380" s="170" t="s">
        <v>3281</v>
      </c>
      <c r="P380" s="170" t="s">
        <v>1161</v>
      </c>
      <c r="Q380" s="170" t="s">
        <v>162</v>
      </c>
      <c r="R380" s="170">
        <v>0</v>
      </c>
      <c r="S380" s="170" t="s">
        <v>163</v>
      </c>
      <c r="T380" s="90">
        <v>45108</v>
      </c>
      <c r="U380" s="90">
        <v>46357</v>
      </c>
      <c r="V380" s="518"/>
      <c r="W380" s="170"/>
      <c r="X380" s="170"/>
      <c r="Y380" s="519"/>
      <c r="Z380" s="85"/>
      <c r="AA380" s="85"/>
      <c r="AB380" s="85"/>
      <c r="AC380" s="85"/>
      <c r="AD380" s="85"/>
      <c r="AE380" s="85"/>
      <c r="AF380" s="85"/>
      <c r="AG380" s="85"/>
      <c r="AH380" s="85"/>
      <c r="AI380" s="85"/>
      <c r="AJ380" s="85"/>
      <c r="AK380" s="157"/>
      <c r="AL380" s="157"/>
      <c r="AM380" s="157"/>
      <c r="AN380" s="157"/>
      <c r="AO380" s="157"/>
      <c r="AP380" s="170"/>
      <c r="AQ380" s="170"/>
      <c r="AR380" s="170"/>
      <c r="AS380" s="170"/>
      <c r="AT380" s="170"/>
      <c r="AU380" s="170"/>
      <c r="AV380" s="170"/>
      <c r="AW380" s="170"/>
      <c r="AX380" s="170"/>
      <c r="AY380" s="170"/>
      <c r="AZ380" s="692"/>
      <c r="BA380" s="170"/>
      <c r="BB380" s="170"/>
      <c r="BC380" s="170"/>
      <c r="BD380" s="170"/>
      <c r="BE380" s="170"/>
      <c r="BF380" s="170"/>
      <c r="BG380" s="170"/>
      <c r="BH380" s="170"/>
      <c r="BI380" s="170"/>
      <c r="BJ380" s="692"/>
      <c r="BK380" s="170"/>
      <c r="BL380" s="692"/>
      <c r="BM380" s="170"/>
      <c r="BN380" s="692"/>
      <c r="BO380" s="170"/>
      <c r="BP380" s="692"/>
      <c r="BQ380" s="170"/>
      <c r="BR380" s="170"/>
      <c r="BS380" s="170"/>
      <c r="BT380" s="170"/>
      <c r="BU380" s="170"/>
      <c r="BV380" s="170"/>
      <c r="BW380" s="170"/>
      <c r="BX380" s="170"/>
      <c r="BY380" s="170"/>
      <c r="BZ380" s="170"/>
      <c r="CA380" s="170"/>
      <c r="CB380" s="170"/>
      <c r="CC380" s="170"/>
      <c r="CD380" s="170"/>
      <c r="CE380" s="170"/>
      <c r="CF380" s="170"/>
      <c r="CG380" s="665"/>
      <c r="CH380" s="256"/>
      <c r="CI380" s="170"/>
      <c r="CJ380" s="83" t="str">
        <f t="shared" si="106"/>
        <v>No aplica</v>
      </c>
      <c r="CK380" s="83" t="str">
        <f t="shared" si="103"/>
        <v>No aplica</v>
      </c>
      <c r="CL380" s="83" t="str">
        <f t="shared" si="97"/>
        <v>No requiere reporte</v>
      </c>
      <c r="CM380" s="89" t="str">
        <f t="shared" si="98"/>
        <v>No requiere reporte</v>
      </c>
      <c r="CN380" s="89" t="str">
        <f t="shared" si="99"/>
        <v>No requiere reporte</v>
      </c>
      <c r="CO380" s="145" t="s">
        <v>202</v>
      </c>
      <c r="CP380" s="693" t="s">
        <v>3316</v>
      </c>
      <c r="CQ380" s="145" t="s">
        <v>3317</v>
      </c>
      <c r="CR380" s="693" t="s">
        <v>3318</v>
      </c>
      <c r="CS380" s="694" t="s">
        <v>3319</v>
      </c>
      <c r="CT380" s="145" t="s">
        <v>161</v>
      </c>
      <c r="CU380" s="145" t="s">
        <v>233</v>
      </c>
      <c r="CV380" s="291">
        <v>0</v>
      </c>
      <c r="CW380" s="145" t="s">
        <v>163</v>
      </c>
      <c r="CX380" s="695">
        <v>46023</v>
      </c>
      <c r="CY380" s="695">
        <v>46387</v>
      </c>
      <c r="CZ380" s="157">
        <v>0</v>
      </c>
      <c r="DA380" s="157">
        <v>0</v>
      </c>
      <c r="DB380" s="157">
        <v>0.2</v>
      </c>
      <c r="DC380" s="157">
        <v>0.25</v>
      </c>
      <c r="DD380" s="157">
        <f>+DA380+DB380+DC380</f>
        <v>0.45</v>
      </c>
      <c r="DE380" s="686" t="s">
        <v>2951</v>
      </c>
      <c r="DF380" s="686" t="s">
        <v>3294</v>
      </c>
      <c r="DG380" s="686" t="s">
        <v>3295</v>
      </c>
      <c r="DH380" s="696">
        <v>5000000000</v>
      </c>
      <c r="DI380" s="665"/>
      <c r="DJ380" s="665"/>
      <c r="DK380" s="665"/>
      <c r="DL380" s="665" t="s">
        <v>279</v>
      </c>
      <c r="DM380" s="665" t="s">
        <v>3296</v>
      </c>
      <c r="DN380" s="665"/>
      <c r="DO380" s="716"/>
      <c r="DP380" s="665"/>
      <c r="DQ380" s="716"/>
      <c r="DR380" s="716"/>
      <c r="DS380" s="717"/>
      <c r="DT380" s="716"/>
      <c r="DU380" s="665"/>
      <c r="DV380" s="716"/>
      <c r="DW380" s="716"/>
      <c r="DX380" s="717"/>
      <c r="DY380" s="716"/>
      <c r="DZ380" s="665"/>
      <c r="EA380" s="718"/>
      <c r="EB380" s="718"/>
      <c r="EC380" s="665"/>
      <c r="ED380" s="665"/>
      <c r="EE380" s="665"/>
      <c r="EF380" s="665"/>
      <c r="EG380" s="665"/>
      <c r="EH380" s="666"/>
      <c r="EI380" s="170"/>
      <c r="EJ380" s="170"/>
      <c r="EK380" s="262"/>
      <c r="EL380" s="91" t="str">
        <f t="shared" si="100"/>
        <v>No aplica, no hay meta</v>
      </c>
      <c r="EM380" s="83" t="str">
        <f t="shared" si="101"/>
        <v>No se reportó avance</v>
      </c>
      <c r="EN380" s="697"/>
    </row>
    <row r="381" spans="1:146" ht="50.1" customHeight="1">
      <c r="A381" s="170" t="s">
        <v>4671</v>
      </c>
      <c r="B381" s="517" t="s">
        <v>3272</v>
      </c>
      <c r="C381" s="173" t="s">
        <v>3273</v>
      </c>
      <c r="D381" s="173" t="s">
        <v>3274</v>
      </c>
      <c r="E381" s="173" t="s">
        <v>3275</v>
      </c>
      <c r="F381" s="170" t="s">
        <v>280</v>
      </c>
      <c r="G381" s="170"/>
      <c r="H381" s="170" t="s">
        <v>3276</v>
      </c>
      <c r="I381" s="170" t="s">
        <v>3277</v>
      </c>
      <c r="J381" s="170" t="s">
        <v>3277</v>
      </c>
      <c r="K381" s="170" t="s">
        <v>3278</v>
      </c>
      <c r="L381" s="170">
        <v>1</v>
      </c>
      <c r="M381" s="170" t="s">
        <v>3279</v>
      </c>
      <c r="N381" s="170" t="s">
        <v>3280</v>
      </c>
      <c r="O381" s="170" t="s">
        <v>3281</v>
      </c>
      <c r="P381" s="170" t="s">
        <v>1161</v>
      </c>
      <c r="Q381" s="170" t="s">
        <v>162</v>
      </c>
      <c r="R381" s="170">
        <v>0</v>
      </c>
      <c r="S381" s="170" t="s">
        <v>163</v>
      </c>
      <c r="T381" s="90">
        <v>45108</v>
      </c>
      <c r="U381" s="90">
        <v>46357</v>
      </c>
      <c r="V381" s="518"/>
      <c r="W381" s="170"/>
      <c r="X381" s="170"/>
      <c r="Y381" s="519"/>
      <c r="Z381" s="85"/>
      <c r="AA381" s="85"/>
      <c r="AB381" s="85"/>
      <c r="AC381" s="85"/>
      <c r="AD381" s="85"/>
      <c r="AE381" s="85"/>
      <c r="AF381" s="85"/>
      <c r="AG381" s="85"/>
      <c r="AH381" s="85"/>
      <c r="AI381" s="85"/>
      <c r="AJ381" s="85"/>
      <c r="AK381" s="157"/>
      <c r="AL381" s="157"/>
      <c r="AM381" s="157"/>
      <c r="AN381" s="157"/>
      <c r="AO381" s="157"/>
      <c r="AP381" s="170"/>
      <c r="AQ381" s="170"/>
      <c r="AR381" s="170"/>
      <c r="AS381" s="170"/>
      <c r="AT381" s="170"/>
      <c r="AU381" s="170"/>
      <c r="AV381" s="170"/>
      <c r="AW381" s="170"/>
      <c r="AX381" s="170"/>
      <c r="AY381" s="170"/>
      <c r="AZ381" s="692"/>
      <c r="BA381" s="170"/>
      <c r="BB381" s="170"/>
      <c r="BC381" s="170"/>
      <c r="BD381" s="170"/>
      <c r="BE381" s="170"/>
      <c r="BF381" s="170"/>
      <c r="BG381" s="170"/>
      <c r="BH381" s="170"/>
      <c r="BI381" s="170"/>
      <c r="BJ381" s="692"/>
      <c r="BK381" s="170"/>
      <c r="BL381" s="692"/>
      <c r="BM381" s="170"/>
      <c r="BN381" s="692"/>
      <c r="BO381" s="170"/>
      <c r="BP381" s="692"/>
      <c r="BQ381" s="170"/>
      <c r="BR381" s="170"/>
      <c r="BS381" s="170"/>
      <c r="BT381" s="170"/>
      <c r="BU381" s="170"/>
      <c r="BV381" s="170"/>
      <c r="BW381" s="170"/>
      <c r="BX381" s="170"/>
      <c r="BY381" s="170"/>
      <c r="BZ381" s="170"/>
      <c r="CA381" s="170"/>
      <c r="CB381" s="170"/>
      <c r="CC381" s="170"/>
      <c r="CD381" s="170"/>
      <c r="CE381" s="170"/>
      <c r="CF381" s="170"/>
      <c r="CG381" s="665"/>
      <c r="CH381" s="256"/>
      <c r="CI381" s="170"/>
      <c r="CJ381" s="83" t="str">
        <f t="shared" si="106"/>
        <v>No aplica</v>
      </c>
      <c r="CK381" s="83" t="str">
        <f t="shared" si="103"/>
        <v>No aplica</v>
      </c>
      <c r="CL381" s="83" t="str">
        <f t="shared" si="97"/>
        <v>No requiere reporte</v>
      </c>
      <c r="CM381" s="89" t="str">
        <f t="shared" si="98"/>
        <v>No requiere reporte</v>
      </c>
      <c r="CN381" s="89" t="str">
        <f t="shared" si="99"/>
        <v>No requiere reporte</v>
      </c>
      <c r="CO381" s="145" t="s">
        <v>775</v>
      </c>
      <c r="CP381" s="693" t="s">
        <v>3320</v>
      </c>
      <c r="CQ381" s="145" t="s">
        <v>3321</v>
      </c>
      <c r="CR381" s="693" t="s">
        <v>3322</v>
      </c>
      <c r="CS381" s="693" t="s">
        <v>3323</v>
      </c>
      <c r="CT381" s="145" t="s">
        <v>161</v>
      </c>
      <c r="CU381" s="714" t="s">
        <v>162</v>
      </c>
      <c r="CV381" s="291">
        <v>0</v>
      </c>
      <c r="CW381" s="145" t="s">
        <v>163</v>
      </c>
      <c r="CX381" s="695">
        <v>46023</v>
      </c>
      <c r="CY381" s="695">
        <v>46387</v>
      </c>
      <c r="CZ381" s="157">
        <v>0</v>
      </c>
      <c r="DA381" s="146">
        <v>1</v>
      </c>
      <c r="DB381" s="146">
        <v>1</v>
      </c>
      <c r="DC381" s="146">
        <v>1</v>
      </c>
      <c r="DD381" s="146">
        <v>1</v>
      </c>
      <c r="DE381" s="686" t="s">
        <v>2951</v>
      </c>
      <c r="DF381" s="686" t="s">
        <v>3294</v>
      </c>
      <c r="DG381" s="686" t="s">
        <v>3295</v>
      </c>
      <c r="DH381" s="696">
        <v>7000000000</v>
      </c>
      <c r="DI381" s="665"/>
      <c r="DJ381" s="665"/>
      <c r="DK381" s="665"/>
      <c r="DL381" s="665" t="s">
        <v>279</v>
      </c>
      <c r="DM381" s="665" t="s">
        <v>3296</v>
      </c>
      <c r="DN381" s="218"/>
      <c r="DO381" s="716"/>
      <c r="DP381" s="665"/>
      <c r="DQ381" s="716"/>
      <c r="DR381" s="716"/>
      <c r="DS381" s="218"/>
      <c r="DT381" s="716"/>
      <c r="DU381" s="665"/>
      <c r="DV381" s="716"/>
      <c r="DW381" s="716"/>
      <c r="DX381" s="218"/>
      <c r="DY381" s="716"/>
      <c r="DZ381" s="665"/>
      <c r="EA381" s="716"/>
      <c r="EB381" s="716"/>
      <c r="EC381" s="665"/>
      <c r="ED381" s="665"/>
      <c r="EE381" s="665"/>
      <c r="EF381" s="665"/>
      <c r="EG381" s="665"/>
      <c r="EH381" s="666"/>
      <c r="EI381" s="170"/>
      <c r="EJ381" s="170"/>
      <c r="EK381" s="262"/>
      <c r="EL381" s="91" t="str">
        <f t="shared" si="100"/>
        <v>No aplica, no hay meta</v>
      </c>
      <c r="EM381" s="83" t="str">
        <f t="shared" si="101"/>
        <v>No se reportó avance</v>
      </c>
      <c r="EN381" s="697"/>
    </row>
    <row r="382" spans="1:146" ht="50.1" customHeight="1">
      <c r="A382" s="170" t="s">
        <v>4671</v>
      </c>
      <c r="B382" s="517" t="s">
        <v>3272</v>
      </c>
      <c r="C382" s="173" t="s">
        <v>3273</v>
      </c>
      <c r="D382" s="173" t="s">
        <v>3274</v>
      </c>
      <c r="E382" s="173" t="s">
        <v>3275</v>
      </c>
      <c r="F382" s="170" t="s">
        <v>280</v>
      </c>
      <c r="G382" s="170"/>
      <c r="H382" s="170" t="s">
        <v>3276</v>
      </c>
      <c r="I382" s="170" t="s">
        <v>3277</v>
      </c>
      <c r="J382" s="170" t="s">
        <v>3277</v>
      </c>
      <c r="K382" s="170" t="s">
        <v>3278</v>
      </c>
      <c r="L382" s="170">
        <v>1</v>
      </c>
      <c r="M382" s="170" t="s">
        <v>3279</v>
      </c>
      <c r="N382" s="170" t="s">
        <v>3280</v>
      </c>
      <c r="O382" s="170" t="s">
        <v>3281</v>
      </c>
      <c r="P382" s="170" t="s">
        <v>1161</v>
      </c>
      <c r="Q382" s="170" t="s">
        <v>162</v>
      </c>
      <c r="R382" s="170">
        <v>0</v>
      </c>
      <c r="S382" s="170" t="s">
        <v>163</v>
      </c>
      <c r="T382" s="90">
        <v>45108</v>
      </c>
      <c r="U382" s="90">
        <v>46357</v>
      </c>
      <c r="V382" s="518"/>
      <c r="W382" s="170"/>
      <c r="X382" s="170"/>
      <c r="Y382" s="519"/>
      <c r="Z382" s="85"/>
      <c r="AA382" s="85"/>
      <c r="AB382" s="85"/>
      <c r="AC382" s="85"/>
      <c r="AD382" s="85"/>
      <c r="AE382" s="85"/>
      <c r="AF382" s="85"/>
      <c r="AG382" s="85"/>
      <c r="AH382" s="85"/>
      <c r="AI382" s="85"/>
      <c r="AJ382" s="85"/>
      <c r="AK382" s="157"/>
      <c r="AL382" s="157"/>
      <c r="AM382" s="157"/>
      <c r="AN382" s="157"/>
      <c r="AO382" s="157"/>
      <c r="AP382" s="170"/>
      <c r="AQ382" s="170"/>
      <c r="AR382" s="170"/>
      <c r="AS382" s="170"/>
      <c r="AT382" s="170"/>
      <c r="AU382" s="170"/>
      <c r="AV382" s="170"/>
      <c r="AW382" s="170"/>
      <c r="AX382" s="170"/>
      <c r="AY382" s="170"/>
      <c r="AZ382" s="692"/>
      <c r="BA382" s="170"/>
      <c r="BB382" s="170"/>
      <c r="BC382" s="170"/>
      <c r="BD382" s="170"/>
      <c r="BE382" s="170"/>
      <c r="BF382" s="170"/>
      <c r="BG382" s="170"/>
      <c r="BH382" s="170"/>
      <c r="BI382" s="170"/>
      <c r="BJ382" s="692"/>
      <c r="BK382" s="170"/>
      <c r="BL382" s="692"/>
      <c r="BM382" s="170"/>
      <c r="BN382" s="692"/>
      <c r="BO382" s="170"/>
      <c r="BP382" s="692"/>
      <c r="BQ382" s="170"/>
      <c r="BR382" s="170"/>
      <c r="BS382" s="170"/>
      <c r="BT382" s="170"/>
      <c r="BU382" s="170"/>
      <c r="BV382" s="170"/>
      <c r="BW382" s="170"/>
      <c r="BX382" s="170"/>
      <c r="BY382" s="170"/>
      <c r="BZ382" s="170"/>
      <c r="CA382" s="170"/>
      <c r="CB382" s="170"/>
      <c r="CC382" s="170"/>
      <c r="CD382" s="170"/>
      <c r="CE382" s="170"/>
      <c r="CF382" s="170"/>
      <c r="CG382" s="665"/>
      <c r="CH382" s="256"/>
      <c r="CI382" s="170"/>
      <c r="CJ382" s="83" t="str">
        <f t="shared" si="106"/>
        <v>No aplica</v>
      </c>
      <c r="CK382" s="83" t="str">
        <f t="shared" si="103"/>
        <v>No aplica</v>
      </c>
      <c r="CL382" s="83" t="str">
        <f t="shared" si="97"/>
        <v>No requiere reporte</v>
      </c>
      <c r="CM382" s="89" t="str">
        <f t="shared" si="98"/>
        <v>No requiere reporte</v>
      </c>
      <c r="CN382" s="89" t="str">
        <f t="shared" si="99"/>
        <v>No requiere reporte</v>
      </c>
      <c r="CO382" s="145" t="s">
        <v>1440</v>
      </c>
      <c r="CP382" s="693" t="s">
        <v>3324</v>
      </c>
      <c r="CQ382" s="145" t="s">
        <v>3325</v>
      </c>
      <c r="CR382" s="693" t="s">
        <v>3326</v>
      </c>
      <c r="CS382" s="693" t="s">
        <v>3327</v>
      </c>
      <c r="CT382" s="145" t="s">
        <v>200</v>
      </c>
      <c r="CU382" s="145" t="s">
        <v>233</v>
      </c>
      <c r="CV382" s="291">
        <v>0</v>
      </c>
      <c r="CW382" s="145" t="s">
        <v>163</v>
      </c>
      <c r="CX382" s="695">
        <v>46023</v>
      </c>
      <c r="CY382" s="695">
        <v>46387</v>
      </c>
      <c r="CZ382" s="157">
        <v>0</v>
      </c>
      <c r="DA382" s="157">
        <v>0.1</v>
      </c>
      <c r="DB382" s="157">
        <f>10%+20%</f>
        <v>0.30000000000000004</v>
      </c>
      <c r="DC382" s="157">
        <v>0.4</v>
      </c>
      <c r="DD382" s="157">
        <v>0.8</v>
      </c>
      <c r="DE382" s="686" t="s">
        <v>2951</v>
      </c>
      <c r="DF382" s="686" t="s">
        <v>3294</v>
      </c>
      <c r="DG382" s="686" t="s">
        <v>3295</v>
      </c>
      <c r="DH382" s="696">
        <v>540000000</v>
      </c>
      <c r="DI382" s="665"/>
      <c r="DJ382" s="665"/>
      <c r="DK382" s="665"/>
      <c r="DL382" s="665" t="s">
        <v>279</v>
      </c>
      <c r="DM382" s="665" t="s">
        <v>3296</v>
      </c>
      <c r="DN382" s="665"/>
      <c r="DO382" s="716"/>
      <c r="DP382" s="665"/>
      <c r="DQ382" s="716"/>
      <c r="DR382" s="716"/>
      <c r="DS382" s="665"/>
      <c r="DT382" s="716"/>
      <c r="DU382" s="665"/>
      <c r="DV382" s="716"/>
      <c r="DW382" s="716"/>
      <c r="DX382" s="665"/>
      <c r="DY382" s="716"/>
      <c r="DZ382" s="665"/>
      <c r="EA382" s="716"/>
      <c r="EB382" s="716"/>
      <c r="EC382" s="665"/>
      <c r="ED382" s="665"/>
      <c r="EE382" s="665"/>
      <c r="EF382" s="665"/>
      <c r="EG382" s="665"/>
      <c r="EH382" s="666"/>
      <c r="EI382" s="170"/>
      <c r="EJ382" s="170"/>
      <c r="EK382" s="262"/>
      <c r="EL382" s="91" t="str">
        <f t="shared" si="100"/>
        <v>No aplica, no hay meta</v>
      </c>
      <c r="EM382" s="83" t="str">
        <f t="shared" si="101"/>
        <v>No se reportó avance</v>
      </c>
      <c r="EN382" s="697"/>
    </row>
    <row r="383" spans="1:146" ht="50.1" customHeight="1">
      <c r="A383" s="170" t="s">
        <v>4671</v>
      </c>
      <c r="B383" s="517" t="s">
        <v>3272</v>
      </c>
      <c r="C383" s="173" t="s">
        <v>3273</v>
      </c>
      <c r="D383" s="173" t="s">
        <v>3274</v>
      </c>
      <c r="E383" s="173" t="s">
        <v>3275</v>
      </c>
      <c r="F383" s="170" t="s">
        <v>280</v>
      </c>
      <c r="G383" s="170"/>
      <c r="H383" s="170" t="s">
        <v>3276</v>
      </c>
      <c r="I383" s="170" t="s">
        <v>3277</v>
      </c>
      <c r="J383" s="170" t="s">
        <v>3277</v>
      </c>
      <c r="K383" s="170" t="s">
        <v>3278</v>
      </c>
      <c r="L383" s="170">
        <v>1</v>
      </c>
      <c r="M383" s="170" t="s">
        <v>3279</v>
      </c>
      <c r="N383" s="170" t="s">
        <v>3280</v>
      </c>
      <c r="O383" s="170" t="s">
        <v>3281</v>
      </c>
      <c r="P383" s="170" t="s">
        <v>1161</v>
      </c>
      <c r="Q383" s="170" t="s">
        <v>162</v>
      </c>
      <c r="R383" s="170">
        <v>0</v>
      </c>
      <c r="S383" s="170" t="s">
        <v>163</v>
      </c>
      <c r="T383" s="90">
        <v>45108</v>
      </c>
      <c r="U383" s="90">
        <v>46357</v>
      </c>
      <c r="V383" s="518"/>
      <c r="W383" s="170"/>
      <c r="X383" s="170"/>
      <c r="Y383" s="519"/>
      <c r="Z383" s="85"/>
      <c r="AA383" s="85"/>
      <c r="AB383" s="85"/>
      <c r="AC383" s="85"/>
      <c r="AD383" s="85"/>
      <c r="AE383" s="85"/>
      <c r="AF383" s="85"/>
      <c r="AG383" s="85"/>
      <c r="AH383" s="85"/>
      <c r="AI383" s="85"/>
      <c r="AJ383" s="85"/>
      <c r="AK383" s="157"/>
      <c r="AL383" s="157"/>
      <c r="AM383" s="157"/>
      <c r="AN383" s="157"/>
      <c r="AO383" s="157"/>
      <c r="AP383" s="170"/>
      <c r="AQ383" s="170"/>
      <c r="AR383" s="170"/>
      <c r="AS383" s="170"/>
      <c r="AT383" s="170"/>
      <c r="AU383" s="170"/>
      <c r="AV383" s="170"/>
      <c r="AW383" s="170"/>
      <c r="AX383" s="170"/>
      <c r="AY383" s="170"/>
      <c r="AZ383" s="692"/>
      <c r="BA383" s="170"/>
      <c r="BB383" s="170"/>
      <c r="BC383" s="170"/>
      <c r="BD383" s="170"/>
      <c r="BE383" s="170"/>
      <c r="BF383" s="170"/>
      <c r="BG383" s="170"/>
      <c r="BH383" s="170"/>
      <c r="BI383" s="170"/>
      <c r="BJ383" s="692"/>
      <c r="BK383" s="170"/>
      <c r="BL383" s="692"/>
      <c r="BM383" s="170"/>
      <c r="BN383" s="692"/>
      <c r="BO383" s="170"/>
      <c r="BP383" s="692"/>
      <c r="BQ383" s="170"/>
      <c r="BR383" s="170"/>
      <c r="BS383" s="170"/>
      <c r="BT383" s="170"/>
      <c r="BU383" s="170"/>
      <c r="BV383" s="170"/>
      <c r="BW383" s="170"/>
      <c r="BX383" s="170"/>
      <c r="BY383" s="170"/>
      <c r="BZ383" s="170"/>
      <c r="CA383" s="170"/>
      <c r="CB383" s="170"/>
      <c r="CC383" s="170"/>
      <c r="CD383" s="170"/>
      <c r="CE383" s="170"/>
      <c r="CF383" s="170"/>
      <c r="CG383" s="665"/>
      <c r="CH383" s="256"/>
      <c r="CI383" s="170"/>
      <c r="CJ383" s="83" t="str">
        <f t="shared" si="106"/>
        <v>No aplica</v>
      </c>
      <c r="CK383" s="83" t="str">
        <f t="shared" si="103"/>
        <v>No aplica</v>
      </c>
      <c r="CL383" s="83" t="str">
        <f t="shared" si="97"/>
        <v>No requiere reporte</v>
      </c>
      <c r="CM383" s="89" t="str">
        <f t="shared" si="98"/>
        <v>No requiere reporte</v>
      </c>
      <c r="CN383" s="89" t="str">
        <f t="shared" si="99"/>
        <v>No requiere reporte</v>
      </c>
      <c r="CO383" s="145" t="s">
        <v>1447</v>
      </c>
      <c r="CP383" s="693" t="s">
        <v>3328</v>
      </c>
      <c r="CQ383" s="145" t="s">
        <v>3329</v>
      </c>
      <c r="CR383" s="693" t="s">
        <v>3330</v>
      </c>
      <c r="CS383" s="693" t="s">
        <v>3331</v>
      </c>
      <c r="CT383" s="145" t="s">
        <v>200</v>
      </c>
      <c r="CU383" s="714" t="s">
        <v>162</v>
      </c>
      <c r="CV383" s="291">
        <v>0</v>
      </c>
      <c r="CW383" s="145" t="s">
        <v>163</v>
      </c>
      <c r="CX383" s="695">
        <v>46023</v>
      </c>
      <c r="CY383" s="695">
        <v>46387</v>
      </c>
      <c r="CZ383" s="146">
        <v>1</v>
      </c>
      <c r="DA383" s="146">
        <v>1</v>
      </c>
      <c r="DB383" s="146">
        <v>1</v>
      </c>
      <c r="DC383" s="146">
        <v>1</v>
      </c>
      <c r="DD383" s="146">
        <v>1</v>
      </c>
      <c r="DE383" s="686" t="s">
        <v>2951</v>
      </c>
      <c r="DF383" s="686" t="s">
        <v>3294</v>
      </c>
      <c r="DG383" s="686" t="s">
        <v>3295</v>
      </c>
      <c r="DH383" s="696">
        <v>500000000</v>
      </c>
      <c r="DI383" s="665"/>
      <c r="DJ383" s="665"/>
      <c r="DK383" s="665"/>
      <c r="DL383" s="665" t="s">
        <v>279</v>
      </c>
      <c r="DM383" s="665" t="s">
        <v>3296</v>
      </c>
      <c r="DN383" s="218"/>
      <c r="DO383" s="716"/>
      <c r="DP383" s="665"/>
      <c r="DQ383" s="716"/>
      <c r="DR383" s="716"/>
      <c r="DS383" s="218"/>
      <c r="DT383" s="716"/>
      <c r="DU383" s="665"/>
      <c r="DV383" s="716"/>
      <c r="DW383" s="716"/>
      <c r="DX383" s="218"/>
      <c r="DY383" s="716"/>
      <c r="DZ383" s="665"/>
      <c r="EA383" s="716"/>
      <c r="EB383" s="716"/>
      <c r="EC383" s="665"/>
      <c r="ED383" s="665"/>
      <c r="EE383" s="665"/>
      <c r="EF383" s="665"/>
      <c r="EG383" s="665"/>
      <c r="EH383" s="146"/>
      <c r="EI383" s="170"/>
      <c r="EJ383" s="170"/>
      <c r="EK383" s="262"/>
      <c r="EL383" s="91" t="str">
        <f t="shared" si="100"/>
        <v>No se reportó avance</v>
      </c>
      <c r="EM383" s="83" t="str">
        <f t="shared" si="101"/>
        <v>No se reportó avance</v>
      </c>
      <c r="EN383" s="697"/>
    </row>
    <row r="384" spans="1:146" ht="50.1" customHeight="1">
      <c r="A384" s="170" t="s">
        <v>4671</v>
      </c>
      <c r="B384" s="517" t="s">
        <v>3272</v>
      </c>
      <c r="C384" s="173" t="s">
        <v>3273</v>
      </c>
      <c r="D384" s="173" t="s">
        <v>3274</v>
      </c>
      <c r="E384" s="173" t="s">
        <v>3275</v>
      </c>
      <c r="F384" s="170" t="s">
        <v>280</v>
      </c>
      <c r="G384" s="170"/>
      <c r="H384" s="170" t="s">
        <v>3276</v>
      </c>
      <c r="I384" s="170" t="s">
        <v>3277</v>
      </c>
      <c r="J384" s="170" t="s">
        <v>3277</v>
      </c>
      <c r="K384" s="170" t="s">
        <v>3278</v>
      </c>
      <c r="L384" s="170">
        <v>1</v>
      </c>
      <c r="M384" s="170" t="s">
        <v>3279</v>
      </c>
      <c r="N384" s="170" t="s">
        <v>3280</v>
      </c>
      <c r="O384" s="170" t="s">
        <v>3281</v>
      </c>
      <c r="P384" s="170" t="s">
        <v>1161</v>
      </c>
      <c r="Q384" s="170" t="s">
        <v>162</v>
      </c>
      <c r="R384" s="170">
        <v>0</v>
      </c>
      <c r="S384" s="170" t="s">
        <v>163</v>
      </c>
      <c r="T384" s="90">
        <v>45108</v>
      </c>
      <c r="U384" s="90">
        <v>46357</v>
      </c>
      <c r="V384" s="518"/>
      <c r="W384" s="170"/>
      <c r="X384" s="170"/>
      <c r="Y384" s="519"/>
      <c r="Z384" s="85"/>
      <c r="AA384" s="85"/>
      <c r="AB384" s="85"/>
      <c r="AC384" s="85"/>
      <c r="AD384" s="85"/>
      <c r="AE384" s="85"/>
      <c r="AF384" s="85"/>
      <c r="AG384" s="85"/>
      <c r="AH384" s="85"/>
      <c r="AI384" s="85"/>
      <c r="AJ384" s="85"/>
      <c r="AK384" s="157"/>
      <c r="AL384" s="157"/>
      <c r="AM384" s="157"/>
      <c r="AN384" s="157"/>
      <c r="AO384" s="157"/>
      <c r="AP384" s="170"/>
      <c r="AQ384" s="170"/>
      <c r="AR384" s="170"/>
      <c r="AS384" s="170"/>
      <c r="AT384" s="170"/>
      <c r="AU384" s="170"/>
      <c r="AV384" s="170"/>
      <c r="AW384" s="170"/>
      <c r="AX384" s="170"/>
      <c r="AY384" s="170"/>
      <c r="AZ384" s="692"/>
      <c r="BA384" s="170"/>
      <c r="BB384" s="170"/>
      <c r="BC384" s="170"/>
      <c r="BD384" s="170"/>
      <c r="BE384" s="170"/>
      <c r="BF384" s="170"/>
      <c r="BG384" s="170"/>
      <c r="BH384" s="170"/>
      <c r="BI384" s="170"/>
      <c r="BJ384" s="692"/>
      <c r="BK384" s="170"/>
      <c r="BL384" s="692"/>
      <c r="BM384" s="170"/>
      <c r="BN384" s="692"/>
      <c r="BO384" s="170"/>
      <c r="BP384" s="692"/>
      <c r="BQ384" s="170"/>
      <c r="BR384" s="170"/>
      <c r="BS384" s="170"/>
      <c r="BT384" s="170"/>
      <c r="BU384" s="170"/>
      <c r="BV384" s="170"/>
      <c r="BW384" s="170"/>
      <c r="BX384" s="170"/>
      <c r="BY384" s="170"/>
      <c r="BZ384" s="170"/>
      <c r="CA384" s="170"/>
      <c r="CB384" s="170"/>
      <c r="CC384" s="170"/>
      <c r="CD384" s="170"/>
      <c r="CE384" s="170"/>
      <c r="CF384" s="170"/>
      <c r="CG384" s="665"/>
      <c r="CH384" s="256"/>
      <c r="CI384" s="170"/>
      <c r="CJ384" s="83" t="str">
        <f t="shared" si="106"/>
        <v>No aplica</v>
      </c>
      <c r="CK384" s="83" t="str">
        <f t="shared" si="103"/>
        <v>No aplica</v>
      </c>
      <c r="CL384" s="83" t="str">
        <f t="shared" si="97"/>
        <v>No requiere reporte</v>
      </c>
      <c r="CM384" s="89" t="str">
        <f t="shared" si="98"/>
        <v>No requiere reporte</v>
      </c>
      <c r="CN384" s="89" t="str">
        <f t="shared" si="99"/>
        <v>No requiere reporte</v>
      </c>
      <c r="CO384" s="145" t="s">
        <v>3332</v>
      </c>
      <c r="CP384" s="693" t="s">
        <v>3333</v>
      </c>
      <c r="CQ384" s="145" t="s">
        <v>3334</v>
      </c>
      <c r="CR384" s="693" t="s">
        <v>3335</v>
      </c>
      <c r="CS384" s="693" t="s">
        <v>3336</v>
      </c>
      <c r="CT384" s="145" t="s">
        <v>161</v>
      </c>
      <c r="CU384" s="714" t="s">
        <v>162</v>
      </c>
      <c r="CV384" s="291">
        <v>0</v>
      </c>
      <c r="CW384" s="145" t="s">
        <v>163</v>
      </c>
      <c r="CX384" s="695">
        <v>46023</v>
      </c>
      <c r="CY384" s="695">
        <v>46387</v>
      </c>
      <c r="CZ384" s="146">
        <v>1</v>
      </c>
      <c r="DA384" s="146">
        <v>1</v>
      </c>
      <c r="DB384" s="146">
        <v>1</v>
      </c>
      <c r="DC384" s="146">
        <v>1</v>
      </c>
      <c r="DD384" s="146">
        <v>1</v>
      </c>
      <c r="DE384" s="686" t="s">
        <v>396</v>
      </c>
      <c r="DF384" s="686" t="s">
        <v>3337</v>
      </c>
      <c r="DG384" s="686" t="s">
        <v>3338</v>
      </c>
      <c r="DH384" s="696">
        <v>3000000000</v>
      </c>
      <c r="DI384" s="665"/>
      <c r="DJ384" s="665"/>
      <c r="DK384" s="665"/>
      <c r="DL384" s="665" t="s">
        <v>279</v>
      </c>
      <c r="DM384" s="665" t="s">
        <v>3296</v>
      </c>
      <c r="DN384" s="218"/>
      <c r="DO384" s="716"/>
      <c r="DP384" s="665"/>
      <c r="DQ384" s="716"/>
      <c r="DR384" s="716"/>
      <c r="DS384" s="218"/>
      <c r="DT384" s="716"/>
      <c r="DU384" s="665"/>
      <c r="DV384" s="716"/>
      <c r="DW384" s="716"/>
      <c r="DX384" s="218"/>
      <c r="DY384" s="716"/>
      <c r="DZ384" s="665"/>
      <c r="EA384" s="716"/>
      <c r="EB384" s="716"/>
      <c r="EC384" s="665"/>
      <c r="ED384" s="665"/>
      <c r="EE384" s="665"/>
      <c r="EF384" s="665"/>
      <c r="EG384" s="665"/>
      <c r="EH384" s="146"/>
      <c r="EI384" s="170"/>
      <c r="EJ384" s="170"/>
      <c r="EK384" s="262"/>
      <c r="EL384" s="91" t="str">
        <f t="shared" si="100"/>
        <v>No se reportó avance</v>
      </c>
      <c r="EM384" s="83" t="str">
        <f t="shared" si="101"/>
        <v>No se reportó avance</v>
      </c>
      <c r="EN384" s="697"/>
    </row>
    <row r="385" spans="1:144" ht="50.1" customHeight="1">
      <c r="A385" s="170" t="s">
        <v>4671</v>
      </c>
      <c r="B385" s="517" t="s">
        <v>3272</v>
      </c>
      <c r="C385" s="173" t="s">
        <v>3273</v>
      </c>
      <c r="D385" s="173" t="s">
        <v>3274</v>
      </c>
      <c r="E385" s="173" t="s">
        <v>3275</v>
      </c>
      <c r="F385" s="170" t="s">
        <v>280</v>
      </c>
      <c r="G385" s="170"/>
      <c r="H385" s="170" t="s">
        <v>3276</v>
      </c>
      <c r="I385" s="170" t="s">
        <v>3277</v>
      </c>
      <c r="J385" s="170" t="s">
        <v>3277</v>
      </c>
      <c r="K385" s="170" t="s">
        <v>3278</v>
      </c>
      <c r="L385" s="170">
        <v>1</v>
      </c>
      <c r="M385" s="170" t="s">
        <v>3279</v>
      </c>
      <c r="N385" s="170" t="s">
        <v>3280</v>
      </c>
      <c r="O385" s="170" t="s">
        <v>3281</v>
      </c>
      <c r="P385" s="170" t="s">
        <v>1161</v>
      </c>
      <c r="Q385" s="170" t="s">
        <v>162</v>
      </c>
      <c r="R385" s="170">
        <v>0</v>
      </c>
      <c r="S385" s="170" t="s">
        <v>163</v>
      </c>
      <c r="T385" s="90">
        <v>45108</v>
      </c>
      <c r="U385" s="90">
        <v>46357</v>
      </c>
      <c r="V385" s="518"/>
      <c r="W385" s="170"/>
      <c r="X385" s="170"/>
      <c r="Y385" s="519"/>
      <c r="Z385" s="85"/>
      <c r="AA385" s="85"/>
      <c r="AB385" s="85"/>
      <c r="AC385" s="85"/>
      <c r="AD385" s="85"/>
      <c r="AE385" s="85"/>
      <c r="AF385" s="85"/>
      <c r="AG385" s="85"/>
      <c r="AH385" s="85"/>
      <c r="AI385" s="85"/>
      <c r="AJ385" s="85"/>
      <c r="AK385" s="157"/>
      <c r="AL385" s="157"/>
      <c r="AM385" s="157"/>
      <c r="AN385" s="157"/>
      <c r="AO385" s="157"/>
      <c r="AP385" s="170"/>
      <c r="AQ385" s="170"/>
      <c r="AR385" s="170"/>
      <c r="AS385" s="170"/>
      <c r="AT385" s="170"/>
      <c r="AU385" s="170"/>
      <c r="AV385" s="170"/>
      <c r="AW385" s="170"/>
      <c r="AX385" s="170"/>
      <c r="AY385" s="170"/>
      <c r="AZ385" s="692"/>
      <c r="BA385" s="170"/>
      <c r="BB385" s="170"/>
      <c r="BC385" s="170"/>
      <c r="BD385" s="170"/>
      <c r="BE385" s="170"/>
      <c r="BF385" s="170"/>
      <c r="BG385" s="170"/>
      <c r="BH385" s="170"/>
      <c r="BI385" s="170"/>
      <c r="BJ385" s="692"/>
      <c r="BK385" s="170"/>
      <c r="BL385" s="692"/>
      <c r="BM385" s="170"/>
      <c r="BN385" s="692"/>
      <c r="BO385" s="170"/>
      <c r="BP385" s="692"/>
      <c r="BQ385" s="170"/>
      <c r="BR385" s="170"/>
      <c r="BS385" s="170"/>
      <c r="BT385" s="170"/>
      <c r="BU385" s="170"/>
      <c r="BV385" s="170"/>
      <c r="BW385" s="170"/>
      <c r="BX385" s="170"/>
      <c r="BY385" s="170"/>
      <c r="BZ385" s="170"/>
      <c r="CA385" s="170"/>
      <c r="CB385" s="170"/>
      <c r="CC385" s="170"/>
      <c r="CD385" s="170"/>
      <c r="CE385" s="170"/>
      <c r="CF385" s="170"/>
      <c r="CG385" s="665"/>
      <c r="CH385" s="256"/>
      <c r="CI385" s="170"/>
      <c r="CJ385" s="83" t="str">
        <f t="shared" si="106"/>
        <v>No aplica</v>
      </c>
      <c r="CK385" s="83" t="str">
        <f t="shared" si="103"/>
        <v>No aplica</v>
      </c>
      <c r="CL385" s="83" t="str">
        <f t="shared" si="97"/>
        <v>No requiere reporte</v>
      </c>
      <c r="CM385" s="89" t="str">
        <f t="shared" si="98"/>
        <v>No requiere reporte</v>
      </c>
      <c r="CN385" s="89" t="str">
        <f t="shared" si="99"/>
        <v>No requiere reporte</v>
      </c>
      <c r="CO385" s="145" t="s">
        <v>3339</v>
      </c>
      <c r="CP385" s="693" t="s">
        <v>3340</v>
      </c>
      <c r="CQ385" s="145" t="s">
        <v>3341</v>
      </c>
      <c r="CR385" s="693" t="s">
        <v>3342</v>
      </c>
      <c r="CS385" s="693" t="s">
        <v>3343</v>
      </c>
      <c r="CT385" s="145" t="s">
        <v>200</v>
      </c>
      <c r="CU385" s="145" t="s">
        <v>233</v>
      </c>
      <c r="CV385" s="291">
        <v>0</v>
      </c>
      <c r="CW385" s="145" t="s">
        <v>163</v>
      </c>
      <c r="CX385" s="695">
        <v>46023</v>
      </c>
      <c r="CY385" s="695">
        <v>46387</v>
      </c>
      <c r="CZ385" s="157">
        <v>0</v>
      </c>
      <c r="DA385" s="157">
        <v>0.2</v>
      </c>
      <c r="DB385" s="157">
        <v>0.2</v>
      </c>
      <c r="DC385" s="157">
        <v>0.27</v>
      </c>
      <c r="DD385" s="157">
        <f>+CZ385+DA385+DB385+DC385</f>
        <v>0.67</v>
      </c>
      <c r="DE385" s="686" t="s">
        <v>2951</v>
      </c>
      <c r="DF385" s="686" t="s">
        <v>3294</v>
      </c>
      <c r="DG385" s="686" t="s">
        <v>3295</v>
      </c>
      <c r="DH385" s="696">
        <f>500000000-91000000</f>
        <v>409000000</v>
      </c>
      <c r="DI385" s="665"/>
      <c r="DJ385" s="665"/>
      <c r="DK385" s="665"/>
      <c r="DL385" s="665" t="s">
        <v>279</v>
      </c>
      <c r="DM385" s="665" t="s">
        <v>3296</v>
      </c>
      <c r="DN385" s="665"/>
      <c r="DO385" s="716"/>
      <c r="DP385" s="665"/>
      <c r="DQ385" s="716"/>
      <c r="DR385" s="716"/>
      <c r="DS385" s="665"/>
      <c r="DT385" s="716"/>
      <c r="DU385" s="665"/>
      <c r="DV385" s="716"/>
      <c r="DW385" s="716"/>
      <c r="DX385" s="665"/>
      <c r="DY385" s="716"/>
      <c r="DZ385" s="665"/>
      <c r="EA385" s="716"/>
      <c r="EB385" s="716"/>
      <c r="EC385" s="665"/>
      <c r="ED385" s="665"/>
      <c r="EE385" s="665"/>
      <c r="EF385" s="665"/>
      <c r="EG385" s="665"/>
      <c r="EH385" s="666"/>
      <c r="EI385" s="170"/>
      <c r="EJ385" s="170"/>
      <c r="EK385" s="262"/>
      <c r="EL385" s="91" t="str">
        <f t="shared" si="100"/>
        <v>No aplica, no hay meta</v>
      </c>
      <c r="EM385" s="83" t="str">
        <f t="shared" si="101"/>
        <v>No se reportó avance</v>
      </c>
      <c r="EN385" s="697"/>
    </row>
    <row r="386" spans="1:144" ht="50.1" customHeight="1">
      <c r="A386" s="170" t="s">
        <v>4671</v>
      </c>
      <c r="B386" s="517" t="s">
        <v>3272</v>
      </c>
      <c r="C386" s="173" t="s">
        <v>3273</v>
      </c>
      <c r="D386" s="173" t="s">
        <v>3274</v>
      </c>
      <c r="E386" s="173" t="s">
        <v>3275</v>
      </c>
      <c r="F386" s="170" t="s">
        <v>280</v>
      </c>
      <c r="G386" s="170"/>
      <c r="H386" s="170" t="s">
        <v>3276</v>
      </c>
      <c r="I386" s="170" t="s">
        <v>3277</v>
      </c>
      <c r="J386" s="170" t="s">
        <v>3277</v>
      </c>
      <c r="K386" s="170" t="s">
        <v>3278</v>
      </c>
      <c r="L386" s="170">
        <v>1</v>
      </c>
      <c r="M386" s="170" t="s">
        <v>3279</v>
      </c>
      <c r="N386" s="170" t="s">
        <v>3280</v>
      </c>
      <c r="O386" s="170" t="s">
        <v>3281</v>
      </c>
      <c r="P386" s="170" t="s">
        <v>1161</v>
      </c>
      <c r="Q386" s="170" t="s">
        <v>162</v>
      </c>
      <c r="R386" s="170">
        <v>0</v>
      </c>
      <c r="S386" s="170" t="s">
        <v>163</v>
      </c>
      <c r="T386" s="90">
        <v>45108</v>
      </c>
      <c r="U386" s="90">
        <v>46357</v>
      </c>
      <c r="V386" s="518"/>
      <c r="W386" s="170"/>
      <c r="X386" s="170"/>
      <c r="Y386" s="519"/>
      <c r="Z386" s="85"/>
      <c r="AA386" s="85"/>
      <c r="AB386" s="85"/>
      <c r="AC386" s="85"/>
      <c r="AD386" s="85"/>
      <c r="AE386" s="85"/>
      <c r="AF386" s="85"/>
      <c r="AG386" s="85"/>
      <c r="AH386" s="85"/>
      <c r="AI386" s="85"/>
      <c r="AJ386" s="85"/>
      <c r="AK386" s="157"/>
      <c r="AL386" s="157"/>
      <c r="AM386" s="157"/>
      <c r="AN386" s="157"/>
      <c r="AO386" s="157"/>
      <c r="AP386" s="170"/>
      <c r="AQ386" s="170"/>
      <c r="AR386" s="170"/>
      <c r="AS386" s="170"/>
      <c r="AT386" s="170"/>
      <c r="AU386" s="170"/>
      <c r="AV386" s="170"/>
      <c r="AW386" s="170"/>
      <c r="AX386" s="170"/>
      <c r="AY386" s="170"/>
      <c r="AZ386" s="692"/>
      <c r="BA386" s="170"/>
      <c r="BB386" s="170"/>
      <c r="BC386" s="170"/>
      <c r="BD386" s="170"/>
      <c r="BE386" s="170"/>
      <c r="BF386" s="170"/>
      <c r="BG386" s="170"/>
      <c r="BH386" s="170"/>
      <c r="BI386" s="170"/>
      <c r="BJ386" s="692"/>
      <c r="BK386" s="170"/>
      <c r="BL386" s="692"/>
      <c r="BM386" s="170"/>
      <c r="BN386" s="692"/>
      <c r="BO386" s="170"/>
      <c r="BP386" s="692"/>
      <c r="BQ386" s="170"/>
      <c r="BR386" s="170"/>
      <c r="BS386" s="170"/>
      <c r="BT386" s="170"/>
      <c r="BU386" s="170"/>
      <c r="BV386" s="170"/>
      <c r="BW386" s="170"/>
      <c r="BX386" s="170"/>
      <c r="BY386" s="170"/>
      <c r="BZ386" s="170"/>
      <c r="CA386" s="170"/>
      <c r="CB386" s="170"/>
      <c r="CC386" s="170"/>
      <c r="CD386" s="170"/>
      <c r="CE386" s="170"/>
      <c r="CF386" s="170"/>
      <c r="CG386" s="665"/>
      <c r="CH386" s="256"/>
      <c r="CI386" s="170"/>
      <c r="CJ386" s="83" t="str">
        <f t="shared" si="106"/>
        <v>No aplica</v>
      </c>
      <c r="CK386" s="83" t="str">
        <f t="shared" si="103"/>
        <v>No aplica</v>
      </c>
      <c r="CL386" s="83" t="str">
        <f t="shared" si="97"/>
        <v>No requiere reporte</v>
      </c>
      <c r="CM386" s="89" t="str">
        <f t="shared" si="98"/>
        <v>No requiere reporte</v>
      </c>
      <c r="CN386" s="89" t="str">
        <f t="shared" si="99"/>
        <v>No requiere reporte</v>
      </c>
      <c r="CO386" s="145" t="s">
        <v>3344</v>
      </c>
      <c r="CP386" s="693" t="s">
        <v>3345</v>
      </c>
      <c r="CQ386" s="145" t="s">
        <v>3346</v>
      </c>
      <c r="CR386" s="693" t="s">
        <v>3347</v>
      </c>
      <c r="CS386" s="693" t="s">
        <v>3348</v>
      </c>
      <c r="CT386" s="145" t="s">
        <v>161</v>
      </c>
      <c r="CU386" s="714" t="s">
        <v>162</v>
      </c>
      <c r="CV386" s="291">
        <v>0</v>
      </c>
      <c r="CW386" s="145" t="s">
        <v>163</v>
      </c>
      <c r="CX386" s="695">
        <v>46023</v>
      </c>
      <c r="CY386" s="695">
        <v>46387</v>
      </c>
      <c r="CZ386" s="146">
        <v>1</v>
      </c>
      <c r="DA386" s="146">
        <v>1</v>
      </c>
      <c r="DB386" s="146">
        <v>1</v>
      </c>
      <c r="DC386" s="146">
        <v>1</v>
      </c>
      <c r="DD386" s="146">
        <v>1</v>
      </c>
      <c r="DE386" s="686" t="s">
        <v>2951</v>
      </c>
      <c r="DF386" s="686" t="s">
        <v>3294</v>
      </c>
      <c r="DG386" s="686" t="s">
        <v>3295</v>
      </c>
      <c r="DH386" s="696">
        <v>700000000</v>
      </c>
      <c r="DI386" s="665"/>
      <c r="DJ386" s="665"/>
      <c r="DK386" s="665"/>
      <c r="DL386" s="665" t="s">
        <v>279</v>
      </c>
      <c r="DM386" s="665" t="s">
        <v>3296</v>
      </c>
      <c r="DN386" s="218"/>
      <c r="DO386" s="716"/>
      <c r="DP386" s="665"/>
      <c r="DQ386" s="716"/>
      <c r="DR386" s="716"/>
      <c r="DS386" s="218"/>
      <c r="DT386" s="716"/>
      <c r="DU386" s="665"/>
      <c r="DV386" s="716"/>
      <c r="DW386" s="716"/>
      <c r="DX386" s="218"/>
      <c r="DY386" s="716"/>
      <c r="DZ386" s="665"/>
      <c r="EA386" s="716"/>
      <c r="EB386" s="716"/>
      <c r="EC386" s="665"/>
      <c r="ED386" s="665"/>
      <c r="EE386" s="665"/>
      <c r="EF386" s="665"/>
      <c r="EG386" s="665"/>
      <c r="EH386" s="146"/>
      <c r="EI386" s="170"/>
      <c r="EJ386" s="170"/>
      <c r="EK386" s="262"/>
      <c r="EL386" s="91" t="str">
        <f t="shared" si="100"/>
        <v>No se reportó avance</v>
      </c>
      <c r="EM386" s="83" t="str">
        <f t="shared" si="101"/>
        <v>No se reportó avance</v>
      </c>
      <c r="EN386" s="697"/>
    </row>
    <row r="387" spans="1:144" ht="50.1" customHeight="1">
      <c r="A387" s="170" t="s">
        <v>4671</v>
      </c>
      <c r="B387" s="517" t="s">
        <v>3272</v>
      </c>
      <c r="C387" s="173" t="s">
        <v>3273</v>
      </c>
      <c r="D387" s="173" t="s">
        <v>3274</v>
      </c>
      <c r="E387" s="173" t="s">
        <v>3275</v>
      </c>
      <c r="F387" s="170" t="s">
        <v>280</v>
      </c>
      <c r="G387" s="170"/>
      <c r="H387" s="170" t="s">
        <v>3276</v>
      </c>
      <c r="I387" s="170" t="s">
        <v>3277</v>
      </c>
      <c r="J387" s="170" t="s">
        <v>3277</v>
      </c>
      <c r="K387" s="170" t="s">
        <v>3278</v>
      </c>
      <c r="L387" s="170">
        <v>1</v>
      </c>
      <c r="M387" s="170" t="s">
        <v>3279</v>
      </c>
      <c r="N387" s="170" t="s">
        <v>3280</v>
      </c>
      <c r="O387" s="170" t="s">
        <v>3281</v>
      </c>
      <c r="P387" s="170" t="s">
        <v>1161</v>
      </c>
      <c r="Q387" s="170" t="s">
        <v>162</v>
      </c>
      <c r="R387" s="170">
        <v>0</v>
      </c>
      <c r="S387" s="170" t="s">
        <v>163</v>
      </c>
      <c r="T387" s="90">
        <v>45108</v>
      </c>
      <c r="U387" s="90">
        <v>46357</v>
      </c>
      <c r="V387" s="518"/>
      <c r="W387" s="170"/>
      <c r="X387" s="170"/>
      <c r="Y387" s="519"/>
      <c r="Z387" s="85"/>
      <c r="AA387" s="85"/>
      <c r="AB387" s="85"/>
      <c r="AC387" s="85"/>
      <c r="AD387" s="85"/>
      <c r="AE387" s="85"/>
      <c r="AF387" s="85"/>
      <c r="AG387" s="85"/>
      <c r="AH387" s="85"/>
      <c r="AI387" s="85"/>
      <c r="AJ387" s="85"/>
      <c r="AK387" s="157"/>
      <c r="AL387" s="157"/>
      <c r="AM387" s="157"/>
      <c r="AN387" s="157"/>
      <c r="AO387" s="157"/>
      <c r="AP387" s="170"/>
      <c r="AQ387" s="170"/>
      <c r="AR387" s="170"/>
      <c r="AS387" s="170"/>
      <c r="AT387" s="170"/>
      <c r="AU387" s="170"/>
      <c r="AV387" s="170"/>
      <c r="AW387" s="170"/>
      <c r="AX387" s="170"/>
      <c r="AY387" s="170"/>
      <c r="AZ387" s="692"/>
      <c r="BA387" s="170"/>
      <c r="BB387" s="170"/>
      <c r="BC387" s="170"/>
      <c r="BD387" s="170"/>
      <c r="BE387" s="170"/>
      <c r="BF387" s="170"/>
      <c r="BG387" s="170"/>
      <c r="BH387" s="170"/>
      <c r="BI387" s="170"/>
      <c r="BJ387" s="692"/>
      <c r="BK387" s="170"/>
      <c r="BL387" s="692"/>
      <c r="BM387" s="170"/>
      <c r="BN387" s="692"/>
      <c r="BO387" s="170"/>
      <c r="BP387" s="692"/>
      <c r="BQ387" s="170"/>
      <c r="BR387" s="170"/>
      <c r="BS387" s="170"/>
      <c r="BT387" s="170"/>
      <c r="BU387" s="170"/>
      <c r="BV387" s="170"/>
      <c r="BW387" s="170"/>
      <c r="BX387" s="170"/>
      <c r="BY387" s="170"/>
      <c r="BZ387" s="170"/>
      <c r="CA387" s="170"/>
      <c r="CB387" s="170"/>
      <c r="CC387" s="170"/>
      <c r="CD387" s="170"/>
      <c r="CE387" s="170"/>
      <c r="CF387" s="170"/>
      <c r="CG387" s="665"/>
      <c r="CH387" s="256"/>
      <c r="CI387" s="170"/>
      <c r="CJ387" s="83" t="str">
        <f t="shared" si="106"/>
        <v>No aplica</v>
      </c>
      <c r="CK387" s="83" t="str">
        <f t="shared" si="103"/>
        <v>No aplica</v>
      </c>
      <c r="CL387" s="83" t="str">
        <f t="shared" si="97"/>
        <v>No requiere reporte</v>
      </c>
      <c r="CM387" s="89" t="str">
        <f t="shared" si="98"/>
        <v>No requiere reporte</v>
      </c>
      <c r="CN387" s="89" t="str">
        <f t="shared" si="99"/>
        <v>No requiere reporte</v>
      </c>
      <c r="CO387" s="145" t="s">
        <v>3349</v>
      </c>
      <c r="CP387" s="693" t="s">
        <v>3350</v>
      </c>
      <c r="CQ387" s="145" t="s">
        <v>3351</v>
      </c>
      <c r="CR387" s="693" t="s">
        <v>3352</v>
      </c>
      <c r="CS387" s="693" t="s">
        <v>3353</v>
      </c>
      <c r="CT387" s="145" t="s">
        <v>200</v>
      </c>
      <c r="CU387" s="145" t="s">
        <v>275</v>
      </c>
      <c r="CV387" s="291">
        <v>0</v>
      </c>
      <c r="CW387" s="145" t="s">
        <v>163</v>
      </c>
      <c r="CX387" s="695">
        <v>46023</v>
      </c>
      <c r="CY387" s="695">
        <v>46387</v>
      </c>
      <c r="CZ387" s="146">
        <v>1</v>
      </c>
      <c r="DA387" s="146">
        <v>1</v>
      </c>
      <c r="DB387" s="146">
        <v>1</v>
      </c>
      <c r="DC387" s="146">
        <v>1</v>
      </c>
      <c r="DD387" s="146">
        <v>1</v>
      </c>
      <c r="DE387" s="665" t="s">
        <v>396</v>
      </c>
      <c r="DF387" s="665" t="s">
        <v>3337</v>
      </c>
      <c r="DG387" s="665" t="s">
        <v>3338</v>
      </c>
      <c r="DH387" s="696">
        <v>1400000000</v>
      </c>
      <c r="DI387" s="665"/>
      <c r="DJ387" s="665"/>
      <c r="DK387" s="665"/>
      <c r="DL387" s="665" t="s">
        <v>279</v>
      </c>
      <c r="DM387" s="665" t="s">
        <v>3296</v>
      </c>
      <c r="DN387" s="666"/>
      <c r="DO387" s="716"/>
      <c r="DP387" s="665"/>
      <c r="DQ387" s="716"/>
      <c r="DR387" s="716"/>
      <c r="DS387" s="218"/>
      <c r="DT387" s="716"/>
      <c r="DU387" s="665"/>
      <c r="DV387" s="716"/>
      <c r="DW387" s="716"/>
      <c r="DX387" s="218"/>
      <c r="DY387" s="716"/>
      <c r="DZ387" s="665"/>
      <c r="EA387" s="716"/>
      <c r="EB387" s="716"/>
      <c r="EC387" s="665"/>
      <c r="ED387" s="665"/>
      <c r="EE387" s="665"/>
      <c r="EF387" s="665"/>
      <c r="EG387" s="665"/>
      <c r="EH387" s="146"/>
      <c r="EI387" s="170"/>
      <c r="EJ387" s="170"/>
      <c r="EK387" s="262"/>
      <c r="EL387" s="91" t="str">
        <f t="shared" si="100"/>
        <v>No se reportó avance</v>
      </c>
      <c r="EM387" s="83" t="str">
        <f t="shared" si="101"/>
        <v>No se reportó avance</v>
      </c>
      <c r="EN387" s="697"/>
    </row>
    <row r="388" spans="1:144" ht="50.1" customHeight="1">
      <c r="A388" s="170" t="s">
        <v>4671</v>
      </c>
      <c r="B388" s="517" t="s">
        <v>3272</v>
      </c>
      <c r="C388" s="173" t="s">
        <v>3273</v>
      </c>
      <c r="D388" s="173" t="s">
        <v>3274</v>
      </c>
      <c r="E388" s="173" t="s">
        <v>3275</v>
      </c>
      <c r="F388" s="170" t="s">
        <v>280</v>
      </c>
      <c r="G388" s="170"/>
      <c r="H388" s="170" t="s">
        <v>3276</v>
      </c>
      <c r="I388" s="170" t="s">
        <v>3277</v>
      </c>
      <c r="J388" s="170" t="s">
        <v>3277</v>
      </c>
      <c r="K388" s="170" t="s">
        <v>3278</v>
      </c>
      <c r="L388" s="170">
        <v>1</v>
      </c>
      <c r="M388" s="170" t="s">
        <v>3279</v>
      </c>
      <c r="N388" s="170" t="s">
        <v>3280</v>
      </c>
      <c r="O388" s="170" t="s">
        <v>3281</v>
      </c>
      <c r="P388" s="170" t="s">
        <v>1161</v>
      </c>
      <c r="Q388" s="170" t="s">
        <v>162</v>
      </c>
      <c r="R388" s="170">
        <v>0</v>
      </c>
      <c r="S388" s="170" t="s">
        <v>163</v>
      </c>
      <c r="T388" s="90">
        <v>45108</v>
      </c>
      <c r="U388" s="90">
        <v>46357</v>
      </c>
      <c r="V388" s="518"/>
      <c r="W388" s="170"/>
      <c r="X388" s="170"/>
      <c r="Y388" s="519"/>
      <c r="Z388" s="85"/>
      <c r="AA388" s="85"/>
      <c r="AB388" s="85"/>
      <c r="AC388" s="85"/>
      <c r="AD388" s="85"/>
      <c r="AE388" s="85"/>
      <c r="AF388" s="85"/>
      <c r="AG388" s="85"/>
      <c r="AH388" s="85"/>
      <c r="AI388" s="85"/>
      <c r="AJ388" s="85"/>
      <c r="AK388" s="157"/>
      <c r="AL388" s="157"/>
      <c r="AM388" s="157"/>
      <c r="AN388" s="157"/>
      <c r="AO388" s="157"/>
      <c r="AP388" s="170"/>
      <c r="AQ388" s="170"/>
      <c r="AR388" s="170"/>
      <c r="AS388" s="170"/>
      <c r="AT388" s="170"/>
      <c r="AU388" s="170"/>
      <c r="AV388" s="170"/>
      <c r="AW388" s="170"/>
      <c r="AX388" s="170"/>
      <c r="AY388" s="170"/>
      <c r="AZ388" s="692"/>
      <c r="BA388" s="170"/>
      <c r="BB388" s="170"/>
      <c r="BC388" s="170"/>
      <c r="BD388" s="170"/>
      <c r="BE388" s="170"/>
      <c r="BF388" s="170"/>
      <c r="BG388" s="170"/>
      <c r="BH388" s="170"/>
      <c r="BI388" s="170"/>
      <c r="BJ388" s="692"/>
      <c r="BK388" s="170"/>
      <c r="BL388" s="692"/>
      <c r="BM388" s="170"/>
      <c r="BN388" s="692"/>
      <c r="BO388" s="170"/>
      <c r="BP388" s="692"/>
      <c r="BQ388" s="170"/>
      <c r="BR388" s="170"/>
      <c r="BS388" s="170"/>
      <c r="BT388" s="170"/>
      <c r="BU388" s="170"/>
      <c r="BV388" s="170"/>
      <c r="BW388" s="170"/>
      <c r="BX388" s="170"/>
      <c r="BY388" s="170"/>
      <c r="BZ388" s="170"/>
      <c r="CA388" s="170"/>
      <c r="CB388" s="170"/>
      <c r="CC388" s="170"/>
      <c r="CD388" s="170"/>
      <c r="CE388" s="170"/>
      <c r="CF388" s="170"/>
      <c r="CG388" s="665"/>
      <c r="CH388" s="256"/>
      <c r="CI388" s="170"/>
      <c r="CJ388" s="83" t="str">
        <f t="shared" si="106"/>
        <v>No aplica</v>
      </c>
      <c r="CK388" s="83" t="str">
        <f t="shared" si="103"/>
        <v>No aplica</v>
      </c>
      <c r="CL388" s="83" t="str">
        <f t="shared" si="97"/>
        <v>No requiere reporte</v>
      </c>
      <c r="CM388" s="89" t="str">
        <f t="shared" si="98"/>
        <v>No requiere reporte</v>
      </c>
      <c r="CN388" s="89" t="str">
        <f t="shared" si="99"/>
        <v>No requiere reporte</v>
      </c>
      <c r="CO388" s="145" t="s">
        <v>3354</v>
      </c>
      <c r="CP388" s="693" t="s">
        <v>3355</v>
      </c>
      <c r="CQ388" s="145" t="s">
        <v>3356</v>
      </c>
      <c r="CR388" s="693" t="s">
        <v>3357</v>
      </c>
      <c r="CS388" s="693" t="s">
        <v>3358</v>
      </c>
      <c r="CT388" s="145" t="s">
        <v>953</v>
      </c>
      <c r="CU388" s="145" t="s">
        <v>233</v>
      </c>
      <c r="CV388" s="157">
        <v>0.6</v>
      </c>
      <c r="CW388" s="145" t="s">
        <v>163</v>
      </c>
      <c r="CX388" s="695">
        <v>46023</v>
      </c>
      <c r="CY388" s="695">
        <v>46387</v>
      </c>
      <c r="CZ388" s="157">
        <v>0</v>
      </c>
      <c r="DA388" s="157">
        <v>0</v>
      </c>
      <c r="DB388" s="157">
        <v>0.2</v>
      </c>
      <c r="DC388" s="157">
        <v>0.2</v>
      </c>
      <c r="DD388" s="157">
        <v>0.4</v>
      </c>
      <c r="DE388" s="665" t="s">
        <v>2951</v>
      </c>
      <c r="DF388" s="665" t="s">
        <v>762</v>
      </c>
      <c r="DG388" s="665" t="s">
        <v>3359</v>
      </c>
      <c r="DH388" s="696">
        <v>0</v>
      </c>
      <c r="DI388" s="665"/>
      <c r="DJ388" s="665"/>
      <c r="DK388" s="665"/>
      <c r="DL388" s="665" t="s">
        <v>279</v>
      </c>
      <c r="DM388" s="665" t="s">
        <v>3296</v>
      </c>
      <c r="DN388" s="665"/>
      <c r="DO388" s="716"/>
      <c r="DP388" s="665"/>
      <c r="DQ388" s="716"/>
      <c r="DR388" s="716"/>
      <c r="DS388" s="665"/>
      <c r="DT388" s="716"/>
      <c r="DU388" s="665"/>
      <c r="DV388" s="716"/>
      <c r="DW388" s="716"/>
      <c r="DX388" s="665"/>
      <c r="DY388" s="716"/>
      <c r="DZ388" s="665"/>
      <c r="EA388" s="718"/>
      <c r="EB388" s="718"/>
      <c r="EC388" s="665"/>
      <c r="ED388" s="665"/>
      <c r="EE388" s="665"/>
      <c r="EF388" s="665"/>
      <c r="EG388" s="665"/>
      <c r="EH388" s="666"/>
      <c r="EI388" s="170"/>
      <c r="EJ388" s="170"/>
      <c r="EK388" s="262"/>
      <c r="EL388" s="91" t="str">
        <f t="shared" si="100"/>
        <v>No aplica, no hay meta</v>
      </c>
      <c r="EM388" s="83" t="str">
        <f t="shared" si="101"/>
        <v>No se reportó avance</v>
      </c>
      <c r="EN388" s="697"/>
    </row>
    <row r="389" spans="1:144" ht="50.1" customHeight="1">
      <c r="A389" s="170" t="s">
        <v>4671</v>
      </c>
      <c r="B389" s="517" t="s">
        <v>3272</v>
      </c>
      <c r="C389" s="173" t="s">
        <v>3273</v>
      </c>
      <c r="D389" s="173" t="s">
        <v>3274</v>
      </c>
      <c r="E389" s="173" t="s">
        <v>3275</v>
      </c>
      <c r="F389" s="170" t="s">
        <v>280</v>
      </c>
      <c r="G389" s="170"/>
      <c r="H389" s="170" t="s">
        <v>3276</v>
      </c>
      <c r="I389" s="170" t="s">
        <v>3277</v>
      </c>
      <c r="J389" s="170" t="s">
        <v>3277</v>
      </c>
      <c r="K389" s="170" t="s">
        <v>3278</v>
      </c>
      <c r="L389" s="170">
        <v>1</v>
      </c>
      <c r="M389" s="170" t="s">
        <v>3279</v>
      </c>
      <c r="N389" s="170" t="s">
        <v>3280</v>
      </c>
      <c r="O389" s="170" t="s">
        <v>3281</v>
      </c>
      <c r="P389" s="170" t="s">
        <v>1161</v>
      </c>
      <c r="Q389" s="170" t="s">
        <v>162</v>
      </c>
      <c r="R389" s="170">
        <v>0</v>
      </c>
      <c r="S389" s="170" t="s">
        <v>163</v>
      </c>
      <c r="T389" s="90">
        <v>45108</v>
      </c>
      <c r="U389" s="90">
        <v>46357</v>
      </c>
      <c r="V389" s="518"/>
      <c r="W389" s="170"/>
      <c r="X389" s="170"/>
      <c r="Y389" s="519"/>
      <c r="Z389" s="85"/>
      <c r="AA389" s="85"/>
      <c r="AB389" s="85"/>
      <c r="AC389" s="85"/>
      <c r="AD389" s="85"/>
      <c r="AE389" s="85"/>
      <c r="AF389" s="85"/>
      <c r="AG389" s="85"/>
      <c r="AH389" s="85"/>
      <c r="AI389" s="85"/>
      <c r="AJ389" s="85"/>
      <c r="AK389" s="157"/>
      <c r="AL389" s="157"/>
      <c r="AM389" s="157"/>
      <c r="AN389" s="157"/>
      <c r="AO389" s="157"/>
      <c r="AP389" s="170"/>
      <c r="AQ389" s="170"/>
      <c r="AR389" s="170"/>
      <c r="AS389" s="170"/>
      <c r="AT389" s="170"/>
      <c r="AU389" s="170"/>
      <c r="AV389" s="170"/>
      <c r="AW389" s="170"/>
      <c r="AX389" s="170"/>
      <c r="AY389" s="170"/>
      <c r="AZ389" s="692"/>
      <c r="BA389" s="170"/>
      <c r="BB389" s="170"/>
      <c r="BC389" s="170"/>
      <c r="BD389" s="170"/>
      <c r="BE389" s="170"/>
      <c r="BF389" s="170"/>
      <c r="BG389" s="170"/>
      <c r="BH389" s="170"/>
      <c r="BI389" s="170"/>
      <c r="BJ389" s="692"/>
      <c r="BK389" s="170"/>
      <c r="BL389" s="692"/>
      <c r="BM389" s="170"/>
      <c r="BN389" s="692"/>
      <c r="BO389" s="170"/>
      <c r="BP389" s="692"/>
      <c r="BQ389" s="170"/>
      <c r="BR389" s="170"/>
      <c r="BS389" s="170"/>
      <c r="BT389" s="170"/>
      <c r="BU389" s="170"/>
      <c r="BV389" s="170"/>
      <c r="BW389" s="170"/>
      <c r="BX389" s="170"/>
      <c r="BY389" s="170"/>
      <c r="BZ389" s="170"/>
      <c r="CA389" s="170"/>
      <c r="CB389" s="170"/>
      <c r="CC389" s="170"/>
      <c r="CD389" s="170"/>
      <c r="CE389" s="170"/>
      <c r="CF389" s="170"/>
      <c r="CG389" s="665"/>
      <c r="CH389" s="256"/>
      <c r="CI389" s="170"/>
      <c r="CJ389" s="83" t="str">
        <f t="shared" si="106"/>
        <v>No aplica</v>
      </c>
      <c r="CK389" s="83" t="str">
        <f t="shared" si="103"/>
        <v>No aplica</v>
      </c>
      <c r="CL389" s="83" t="str">
        <f t="shared" si="97"/>
        <v>No requiere reporte</v>
      </c>
      <c r="CM389" s="89" t="str">
        <f t="shared" si="98"/>
        <v>No requiere reporte</v>
      </c>
      <c r="CN389" s="89" t="str">
        <f t="shared" si="99"/>
        <v>No requiere reporte</v>
      </c>
      <c r="CO389" s="145" t="s">
        <v>3360</v>
      </c>
      <c r="CP389" s="693" t="s">
        <v>3355</v>
      </c>
      <c r="CQ389" s="145" t="s">
        <v>3356</v>
      </c>
      <c r="CR389" s="693" t="s">
        <v>3361</v>
      </c>
      <c r="CS389" s="693" t="s">
        <v>3362</v>
      </c>
      <c r="CT389" s="145" t="s">
        <v>953</v>
      </c>
      <c r="CU389" s="145" t="s">
        <v>275</v>
      </c>
      <c r="CV389" s="157">
        <v>0.2</v>
      </c>
      <c r="CW389" s="145" t="s">
        <v>163</v>
      </c>
      <c r="CX389" s="695">
        <v>46023</v>
      </c>
      <c r="CY389" s="695">
        <v>46387</v>
      </c>
      <c r="CZ389" s="157"/>
      <c r="DA389" s="157"/>
      <c r="DB389" s="157"/>
      <c r="DC389" s="157">
        <v>0.2</v>
      </c>
      <c r="DD389" s="157">
        <f>+CZ389+DA389+DB389+DC389</f>
        <v>0.2</v>
      </c>
      <c r="DE389" s="665" t="s">
        <v>2951</v>
      </c>
      <c r="DF389" s="665" t="s">
        <v>762</v>
      </c>
      <c r="DG389" s="665" t="s">
        <v>3359</v>
      </c>
      <c r="DH389" s="696">
        <v>0</v>
      </c>
      <c r="DI389" s="665"/>
      <c r="DJ389" s="665"/>
      <c r="DK389" s="665"/>
      <c r="DL389" s="665" t="s">
        <v>279</v>
      </c>
      <c r="DM389" s="665" t="s">
        <v>3296</v>
      </c>
      <c r="DN389" s="665"/>
      <c r="DO389" s="716"/>
      <c r="DP389" s="665"/>
      <c r="DQ389" s="716"/>
      <c r="DR389" s="716"/>
      <c r="DS389" s="665"/>
      <c r="DT389" s="716"/>
      <c r="DU389" s="665"/>
      <c r="DV389" s="716"/>
      <c r="DW389" s="716"/>
      <c r="DX389" s="665"/>
      <c r="DY389" s="716"/>
      <c r="DZ389" s="665"/>
      <c r="EA389" s="716"/>
      <c r="EB389" s="716"/>
      <c r="EC389" s="665"/>
      <c r="ED389" s="665"/>
      <c r="EE389" s="665"/>
      <c r="EF389" s="665"/>
      <c r="EG389" s="665"/>
      <c r="EH389" s="146"/>
      <c r="EI389" s="170"/>
      <c r="EJ389" s="170"/>
      <c r="EK389" s="262"/>
      <c r="EL389" s="91" t="str">
        <f t="shared" si="100"/>
        <v>No requiere reporte</v>
      </c>
      <c r="EM389" s="83" t="str">
        <f t="shared" si="101"/>
        <v>No requiere reporte</v>
      </c>
      <c r="EN389" s="697"/>
    </row>
    <row r="390" spans="1:144" ht="50.1" customHeight="1">
      <c r="A390" s="170" t="s">
        <v>4671</v>
      </c>
      <c r="B390" s="517" t="s">
        <v>3272</v>
      </c>
      <c r="C390" s="173" t="s">
        <v>3273</v>
      </c>
      <c r="D390" s="173" t="s">
        <v>3274</v>
      </c>
      <c r="E390" s="173" t="s">
        <v>3275</v>
      </c>
      <c r="F390" s="170" t="s">
        <v>280</v>
      </c>
      <c r="G390" s="170"/>
      <c r="H390" s="170" t="s">
        <v>3276</v>
      </c>
      <c r="I390" s="170" t="s">
        <v>3277</v>
      </c>
      <c r="J390" s="170" t="s">
        <v>3277</v>
      </c>
      <c r="K390" s="170" t="s">
        <v>3278</v>
      </c>
      <c r="L390" s="170">
        <v>1</v>
      </c>
      <c r="M390" s="170" t="s">
        <v>3279</v>
      </c>
      <c r="N390" s="170" t="s">
        <v>3280</v>
      </c>
      <c r="O390" s="170" t="s">
        <v>3281</v>
      </c>
      <c r="P390" s="170" t="s">
        <v>1161</v>
      </c>
      <c r="Q390" s="170" t="s">
        <v>162</v>
      </c>
      <c r="R390" s="170">
        <v>0</v>
      </c>
      <c r="S390" s="170" t="s">
        <v>163</v>
      </c>
      <c r="T390" s="90">
        <v>45108</v>
      </c>
      <c r="U390" s="90">
        <v>46357</v>
      </c>
      <c r="V390" s="518"/>
      <c r="W390" s="170"/>
      <c r="X390" s="170"/>
      <c r="Y390" s="519"/>
      <c r="Z390" s="85"/>
      <c r="AA390" s="85"/>
      <c r="AB390" s="85"/>
      <c r="AC390" s="85"/>
      <c r="AD390" s="85"/>
      <c r="AE390" s="85"/>
      <c r="AF390" s="85"/>
      <c r="AG390" s="85"/>
      <c r="AH390" s="85"/>
      <c r="AI390" s="85"/>
      <c r="AJ390" s="85"/>
      <c r="AK390" s="157"/>
      <c r="AL390" s="157"/>
      <c r="AM390" s="157"/>
      <c r="AN390" s="157"/>
      <c r="AO390" s="157"/>
      <c r="AP390" s="170"/>
      <c r="AQ390" s="170"/>
      <c r="AR390" s="170"/>
      <c r="AS390" s="170"/>
      <c r="AT390" s="170"/>
      <c r="AU390" s="170"/>
      <c r="AV390" s="170"/>
      <c r="AW390" s="170"/>
      <c r="AX390" s="170"/>
      <c r="AY390" s="170"/>
      <c r="AZ390" s="692"/>
      <c r="BA390" s="170"/>
      <c r="BB390" s="170"/>
      <c r="BC390" s="170"/>
      <c r="BD390" s="170"/>
      <c r="BE390" s="170"/>
      <c r="BF390" s="170"/>
      <c r="BG390" s="170"/>
      <c r="BH390" s="170"/>
      <c r="BI390" s="170"/>
      <c r="BJ390" s="692"/>
      <c r="BK390" s="170"/>
      <c r="BL390" s="692"/>
      <c r="BM390" s="170"/>
      <c r="BN390" s="692"/>
      <c r="BO390" s="170"/>
      <c r="BP390" s="692"/>
      <c r="BQ390" s="170"/>
      <c r="BR390" s="170"/>
      <c r="BS390" s="170"/>
      <c r="BT390" s="170"/>
      <c r="BU390" s="170"/>
      <c r="BV390" s="170"/>
      <c r="BW390" s="170"/>
      <c r="BX390" s="170"/>
      <c r="BY390" s="170"/>
      <c r="BZ390" s="170"/>
      <c r="CA390" s="170"/>
      <c r="CB390" s="170"/>
      <c r="CC390" s="170"/>
      <c r="CD390" s="170"/>
      <c r="CE390" s="170"/>
      <c r="CF390" s="170"/>
      <c r="CG390" s="665"/>
      <c r="CH390" s="256"/>
      <c r="CI390" s="170"/>
      <c r="CJ390" s="83" t="str">
        <f t="shared" si="106"/>
        <v>No aplica</v>
      </c>
      <c r="CK390" s="83" t="str">
        <f t="shared" si="103"/>
        <v>No aplica</v>
      </c>
      <c r="CL390" s="83" t="str">
        <f t="shared" si="97"/>
        <v>No requiere reporte</v>
      </c>
      <c r="CM390" s="89" t="str">
        <f t="shared" si="98"/>
        <v>No requiere reporte</v>
      </c>
      <c r="CN390" s="89" t="str">
        <f t="shared" si="99"/>
        <v>No requiere reporte</v>
      </c>
      <c r="CO390" s="145" t="s">
        <v>3363</v>
      </c>
      <c r="CP390" s="693" t="s">
        <v>3355</v>
      </c>
      <c r="CQ390" s="145" t="s">
        <v>3356</v>
      </c>
      <c r="CR390" s="693" t="s">
        <v>3364</v>
      </c>
      <c r="CS390" s="693" t="s">
        <v>3365</v>
      </c>
      <c r="CT390" s="145" t="s">
        <v>953</v>
      </c>
      <c r="CU390" s="145" t="s">
        <v>275</v>
      </c>
      <c r="CV390" s="291">
        <v>0</v>
      </c>
      <c r="CW390" s="145" t="s">
        <v>163</v>
      </c>
      <c r="CX390" s="695">
        <v>46023</v>
      </c>
      <c r="CY390" s="695">
        <v>46387</v>
      </c>
      <c r="CZ390" s="157">
        <v>0</v>
      </c>
      <c r="DA390" s="157">
        <v>0</v>
      </c>
      <c r="DB390" s="157">
        <v>0.05</v>
      </c>
      <c r="DC390" s="157">
        <v>0.1</v>
      </c>
      <c r="DD390" s="157">
        <v>0.1</v>
      </c>
      <c r="DE390" s="665" t="s">
        <v>2951</v>
      </c>
      <c r="DF390" s="665" t="s">
        <v>762</v>
      </c>
      <c r="DG390" s="665" t="s">
        <v>3359</v>
      </c>
      <c r="DH390" s="696">
        <v>0</v>
      </c>
      <c r="DI390" s="665"/>
      <c r="DJ390" s="665"/>
      <c r="DK390" s="665"/>
      <c r="DL390" s="665" t="s">
        <v>279</v>
      </c>
      <c r="DM390" s="665" t="s">
        <v>3296</v>
      </c>
      <c r="DN390" s="665"/>
      <c r="DO390" s="716"/>
      <c r="DP390" s="665"/>
      <c r="DQ390" s="716"/>
      <c r="DR390" s="716"/>
      <c r="DS390" s="717"/>
      <c r="DT390" s="716"/>
      <c r="DU390" s="665"/>
      <c r="DV390" s="716"/>
      <c r="DW390" s="716"/>
      <c r="DX390" s="719"/>
      <c r="DY390" s="718"/>
      <c r="DZ390" s="720"/>
      <c r="EA390" s="721"/>
      <c r="EB390" s="718"/>
      <c r="EC390" s="665"/>
      <c r="ED390" s="665"/>
      <c r="EE390" s="665"/>
      <c r="EF390" s="665"/>
      <c r="EG390" s="665"/>
      <c r="EH390" s="146"/>
      <c r="EI390" s="170"/>
      <c r="EJ390" s="170"/>
      <c r="EK390" s="262"/>
      <c r="EL390" s="91" t="str">
        <f t="shared" si="100"/>
        <v>No requiere reporte</v>
      </c>
      <c r="EM390" s="83" t="str">
        <f t="shared" si="101"/>
        <v>No requiere reporte</v>
      </c>
      <c r="EN390" s="697"/>
    </row>
    <row r="391" spans="1:144" ht="50.1" customHeight="1">
      <c r="A391" s="170" t="s">
        <v>4671</v>
      </c>
      <c r="B391" s="517" t="s">
        <v>3272</v>
      </c>
      <c r="C391" s="173" t="s">
        <v>3273</v>
      </c>
      <c r="D391" s="173" t="s">
        <v>3274</v>
      </c>
      <c r="E391" s="173" t="s">
        <v>3275</v>
      </c>
      <c r="F391" s="170" t="s">
        <v>280</v>
      </c>
      <c r="G391" s="170"/>
      <c r="H391" s="170" t="s">
        <v>3276</v>
      </c>
      <c r="I391" s="170" t="s">
        <v>3277</v>
      </c>
      <c r="J391" s="170" t="s">
        <v>3277</v>
      </c>
      <c r="K391" s="170" t="s">
        <v>3278</v>
      </c>
      <c r="L391" s="170">
        <v>1</v>
      </c>
      <c r="M391" s="170" t="s">
        <v>3279</v>
      </c>
      <c r="N391" s="170" t="s">
        <v>3280</v>
      </c>
      <c r="O391" s="170" t="s">
        <v>3281</v>
      </c>
      <c r="P391" s="170" t="s">
        <v>1161</v>
      </c>
      <c r="Q391" s="170" t="s">
        <v>162</v>
      </c>
      <c r="R391" s="170">
        <v>0</v>
      </c>
      <c r="S391" s="170" t="s">
        <v>163</v>
      </c>
      <c r="T391" s="90">
        <v>45108</v>
      </c>
      <c r="U391" s="90">
        <v>46357</v>
      </c>
      <c r="V391" s="518"/>
      <c r="W391" s="170"/>
      <c r="X391" s="170"/>
      <c r="Y391" s="519"/>
      <c r="Z391" s="85"/>
      <c r="AA391" s="85"/>
      <c r="AB391" s="85"/>
      <c r="AC391" s="85"/>
      <c r="AD391" s="85"/>
      <c r="AE391" s="85"/>
      <c r="AF391" s="85"/>
      <c r="AG391" s="85"/>
      <c r="AH391" s="85"/>
      <c r="AI391" s="85"/>
      <c r="AJ391" s="85"/>
      <c r="AK391" s="157"/>
      <c r="AL391" s="157"/>
      <c r="AM391" s="157"/>
      <c r="AN391" s="157"/>
      <c r="AO391" s="157"/>
      <c r="AP391" s="170"/>
      <c r="AQ391" s="170"/>
      <c r="AR391" s="170"/>
      <c r="AS391" s="170"/>
      <c r="AT391" s="170"/>
      <c r="AU391" s="170"/>
      <c r="AV391" s="170"/>
      <c r="AW391" s="170"/>
      <c r="AX391" s="170"/>
      <c r="AY391" s="170"/>
      <c r="AZ391" s="692"/>
      <c r="BA391" s="170"/>
      <c r="BB391" s="170"/>
      <c r="BC391" s="170"/>
      <c r="BD391" s="170"/>
      <c r="BE391" s="170"/>
      <c r="BF391" s="170"/>
      <c r="BG391" s="170"/>
      <c r="BH391" s="170"/>
      <c r="BI391" s="170"/>
      <c r="BJ391" s="692"/>
      <c r="BK391" s="170"/>
      <c r="BL391" s="692"/>
      <c r="BM391" s="170"/>
      <c r="BN391" s="692"/>
      <c r="BO391" s="170"/>
      <c r="BP391" s="692"/>
      <c r="BQ391" s="170"/>
      <c r="BR391" s="170"/>
      <c r="BS391" s="170"/>
      <c r="BT391" s="170"/>
      <c r="BU391" s="170"/>
      <c r="BV391" s="170"/>
      <c r="BW391" s="170"/>
      <c r="BX391" s="170"/>
      <c r="BY391" s="170"/>
      <c r="BZ391" s="170"/>
      <c r="CA391" s="170"/>
      <c r="CB391" s="170"/>
      <c r="CC391" s="170"/>
      <c r="CD391" s="170"/>
      <c r="CE391" s="170"/>
      <c r="CF391" s="170"/>
      <c r="CG391" s="665"/>
      <c r="CH391" s="256"/>
      <c r="CI391" s="170"/>
      <c r="CJ391" s="83" t="str">
        <f t="shared" si="106"/>
        <v>No aplica</v>
      </c>
      <c r="CK391" s="83" t="str">
        <f t="shared" si="103"/>
        <v>No aplica</v>
      </c>
      <c r="CL391" s="83" t="str">
        <f t="shared" si="97"/>
        <v>No requiere reporte</v>
      </c>
      <c r="CM391" s="89" t="str">
        <f t="shared" si="98"/>
        <v>No requiere reporte</v>
      </c>
      <c r="CN391" s="89" t="str">
        <f t="shared" si="99"/>
        <v>No requiere reporte</v>
      </c>
      <c r="CO391" s="145" t="s">
        <v>3366</v>
      </c>
      <c r="CP391" s="693" t="s">
        <v>3367</v>
      </c>
      <c r="CQ391" s="145" t="s">
        <v>3368</v>
      </c>
      <c r="CR391" s="693" t="s">
        <v>3369</v>
      </c>
      <c r="CS391" s="693" t="s">
        <v>3370</v>
      </c>
      <c r="CT391" s="145" t="s">
        <v>953</v>
      </c>
      <c r="CU391" s="145" t="s">
        <v>233</v>
      </c>
      <c r="CV391" s="291">
        <v>0</v>
      </c>
      <c r="CW391" s="145" t="s">
        <v>163</v>
      </c>
      <c r="CX391" s="695">
        <v>46023</v>
      </c>
      <c r="CY391" s="695">
        <v>46387</v>
      </c>
      <c r="CZ391" s="157">
        <v>0</v>
      </c>
      <c r="DA391" s="157">
        <v>0.2</v>
      </c>
      <c r="DB391" s="157">
        <v>0.4</v>
      </c>
      <c r="DC391" s="157">
        <v>0.2</v>
      </c>
      <c r="DD391" s="157">
        <f>+DA391+DB391+DC391</f>
        <v>0.8</v>
      </c>
      <c r="DE391" s="665" t="s">
        <v>2951</v>
      </c>
      <c r="DF391" s="665" t="s">
        <v>3294</v>
      </c>
      <c r="DG391" s="665" t="s">
        <v>3295</v>
      </c>
      <c r="DH391" s="696">
        <v>800000000</v>
      </c>
      <c r="DI391" s="665"/>
      <c r="DJ391" s="665"/>
      <c r="DK391" s="665"/>
      <c r="DL391" s="665" t="s">
        <v>279</v>
      </c>
      <c r="DM391" s="665" t="s">
        <v>3296</v>
      </c>
      <c r="DN391" s="665"/>
      <c r="DO391" s="716"/>
      <c r="DP391" s="665"/>
      <c r="DQ391" s="716"/>
      <c r="DR391" s="716"/>
      <c r="DS391" s="665"/>
      <c r="DT391" s="716"/>
      <c r="DU391" s="665"/>
      <c r="DV391" s="716"/>
      <c r="DW391" s="716"/>
      <c r="DX391" s="665"/>
      <c r="DY391" s="716"/>
      <c r="DZ391" s="665"/>
      <c r="EA391" s="716"/>
      <c r="EB391" s="716"/>
      <c r="EC391" s="665"/>
      <c r="ED391" s="665"/>
      <c r="EE391" s="665"/>
      <c r="EF391" s="665"/>
      <c r="EG391" s="665"/>
      <c r="EH391" s="666"/>
      <c r="EI391" s="170"/>
      <c r="EJ391" s="170"/>
      <c r="EK391" s="262"/>
      <c r="EL391" s="91" t="str">
        <f t="shared" si="100"/>
        <v>No aplica, no hay meta</v>
      </c>
      <c r="EM391" s="83" t="str">
        <f t="shared" si="101"/>
        <v>No se reportó avance</v>
      </c>
      <c r="EN391" s="697"/>
    </row>
    <row r="392" spans="1:144" ht="50.1" customHeight="1">
      <c r="A392" s="170" t="s">
        <v>4671</v>
      </c>
      <c r="B392" s="517" t="s">
        <v>3272</v>
      </c>
      <c r="C392" s="173" t="s">
        <v>3273</v>
      </c>
      <c r="D392" s="173" t="s">
        <v>3274</v>
      </c>
      <c r="E392" s="173" t="s">
        <v>3275</v>
      </c>
      <c r="F392" s="170" t="s">
        <v>280</v>
      </c>
      <c r="G392" s="170"/>
      <c r="H392" s="170" t="s">
        <v>3276</v>
      </c>
      <c r="I392" s="170" t="s">
        <v>3277</v>
      </c>
      <c r="J392" s="170" t="s">
        <v>3277</v>
      </c>
      <c r="K392" s="170" t="s">
        <v>3278</v>
      </c>
      <c r="L392" s="170">
        <v>1</v>
      </c>
      <c r="M392" s="170" t="s">
        <v>3279</v>
      </c>
      <c r="N392" s="170" t="s">
        <v>3280</v>
      </c>
      <c r="O392" s="170" t="s">
        <v>3281</v>
      </c>
      <c r="P392" s="170" t="s">
        <v>1161</v>
      </c>
      <c r="Q392" s="170" t="s">
        <v>162</v>
      </c>
      <c r="R392" s="170">
        <v>0</v>
      </c>
      <c r="S392" s="170" t="s">
        <v>163</v>
      </c>
      <c r="T392" s="90">
        <v>45108</v>
      </c>
      <c r="U392" s="90">
        <v>46357</v>
      </c>
      <c r="V392" s="518"/>
      <c r="W392" s="170"/>
      <c r="X392" s="170"/>
      <c r="Y392" s="519"/>
      <c r="Z392" s="85"/>
      <c r="AA392" s="85"/>
      <c r="AB392" s="85"/>
      <c r="AC392" s="85"/>
      <c r="AD392" s="85"/>
      <c r="AE392" s="85"/>
      <c r="AF392" s="85"/>
      <c r="AG392" s="85"/>
      <c r="AH392" s="85"/>
      <c r="AI392" s="85"/>
      <c r="AJ392" s="85"/>
      <c r="AK392" s="157"/>
      <c r="AL392" s="157"/>
      <c r="AM392" s="157"/>
      <c r="AN392" s="157"/>
      <c r="AO392" s="157"/>
      <c r="AP392" s="170"/>
      <c r="AQ392" s="170"/>
      <c r="AR392" s="170"/>
      <c r="AS392" s="170"/>
      <c r="AT392" s="170"/>
      <c r="AU392" s="170"/>
      <c r="AV392" s="170"/>
      <c r="AW392" s="170"/>
      <c r="AX392" s="170"/>
      <c r="AY392" s="170"/>
      <c r="AZ392" s="692"/>
      <c r="BA392" s="170"/>
      <c r="BB392" s="170"/>
      <c r="BC392" s="170"/>
      <c r="BD392" s="170"/>
      <c r="BE392" s="170"/>
      <c r="BF392" s="170"/>
      <c r="BG392" s="170"/>
      <c r="BH392" s="170"/>
      <c r="BI392" s="170"/>
      <c r="BJ392" s="692"/>
      <c r="BK392" s="170"/>
      <c r="BL392" s="692"/>
      <c r="BM392" s="170"/>
      <c r="BN392" s="692"/>
      <c r="BO392" s="170"/>
      <c r="BP392" s="692"/>
      <c r="BQ392" s="170"/>
      <c r="BR392" s="170"/>
      <c r="BS392" s="170"/>
      <c r="BT392" s="170"/>
      <c r="BU392" s="170"/>
      <c r="BV392" s="170"/>
      <c r="BW392" s="170"/>
      <c r="BX392" s="170"/>
      <c r="BY392" s="170"/>
      <c r="BZ392" s="170"/>
      <c r="CA392" s="170"/>
      <c r="CB392" s="170"/>
      <c r="CC392" s="170"/>
      <c r="CD392" s="170"/>
      <c r="CE392" s="170"/>
      <c r="CF392" s="170"/>
      <c r="CG392" s="665"/>
      <c r="CH392" s="256"/>
      <c r="CI392" s="170"/>
      <c r="CJ392" s="83" t="str">
        <f t="shared" si="106"/>
        <v>No aplica</v>
      </c>
      <c r="CK392" s="83" t="str">
        <f t="shared" si="103"/>
        <v>No aplica</v>
      </c>
      <c r="CL392" s="83" t="str">
        <f t="shared" si="97"/>
        <v>No requiere reporte</v>
      </c>
      <c r="CM392" s="89" t="str">
        <f t="shared" si="98"/>
        <v>No requiere reporte</v>
      </c>
      <c r="CN392" s="89" t="str">
        <f t="shared" si="99"/>
        <v>No requiere reporte</v>
      </c>
      <c r="CO392" s="145" t="s">
        <v>3371</v>
      </c>
      <c r="CP392" s="693" t="s">
        <v>3372</v>
      </c>
      <c r="CQ392" s="145" t="s">
        <v>3373</v>
      </c>
      <c r="CR392" s="693" t="s">
        <v>3374</v>
      </c>
      <c r="CS392" s="693" t="s">
        <v>3375</v>
      </c>
      <c r="CT392" s="145" t="s">
        <v>953</v>
      </c>
      <c r="CU392" s="714" t="s">
        <v>162</v>
      </c>
      <c r="CV392" s="291">
        <v>0</v>
      </c>
      <c r="CW392" s="145" t="s">
        <v>163</v>
      </c>
      <c r="CX392" s="695">
        <v>46023</v>
      </c>
      <c r="CY392" s="695">
        <v>46387</v>
      </c>
      <c r="CZ392" s="146">
        <v>1</v>
      </c>
      <c r="DA392" s="146">
        <v>1</v>
      </c>
      <c r="DB392" s="146">
        <v>1</v>
      </c>
      <c r="DC392" s="146">
        <v>1</v>
      </c>
      <c r="DD392" s="146">
        <v>1</v>
      </c>
      <c r="DE392" s="665" t="s">
        <v>2951</v>
      </c>
      <c r="DF392" s="665" t="s">
        <v>3294</v>
      </c>
      <c r="DG392" s="665" t="s">
        <v>3295</v>
      </c>
      <c r="DH392" s="696">
        <v>900000000</v>
      </c>
      <c r="DI392" s="665"/>
      <c r="DJ392" s="665"/>
      <c r="DK392" s="665"/>
      <c r="DL392" s="665" t="s">
        <v>279</v>
      </c>
      <c r="DM392" s="665" t="s">
        <v>3296</v>
      </c>
      <c r="DN392" s="218"/>
      <c r="DO392" s="716"/>
      <c r="DP392" s="665"/>
      <c r="DQ392" s="716"/>
      <c r="DR392" s="716"/>
      <c r="DS392" s="218"/>
      <c r="DT392" s="716"/>
      <c r="DU392" s="665"/>
      <c r="DV392" s="716"/>
      <c r="DW392" s="716"/>
      <c r="DX392" s="218"/>
      <c r="DY392" s="716"/>
      <c r="DZ392" s="665"/>
      <c r="EA392" s="716"/>
      <c r="EB392" s="716"/>
      <c r="EC392" s="665"/>
      <c r="ED392" s="665"/>
      <c r="EE392" s="665"/>
      <c r="EF392" s="665"/>
      <c r="EG392" s="665"/>
      <c r="EH392" s="146"/>
      <c r="EI392" s="170"/>
      <c r="EJ392" s="170"/>
      <c r="EK392" s="262"/>
      <c r="EL392" s="91" t="str">
        <f t="shared" si="100"/>
        <v>No se reportó avance</v>
      </c>
      <c r="EM392" s="83" t="str">
        <f t="shared" si="101"/>
        <v>No se reportó avance</v>
      </c>
      <c r="EN392" s="697"/>
    </row>
    <row r="393" spans="1:144" ht="50.1" customHeight="1">
      <c r="A393" s="170" t="s">
        <v>4671</v>
      </c>
      <c r="B393" s="517" t="s">
        <v>3272</v>
      </c>
      <c r="C393" s="173" t="s">
        <v>3273</v>
      </c>
      <c r="D393" s="173" t="s">
        <v>3274</v>
      </c>
      <c r="E393" s="173" t="s">
        <v>3275</v>
      </c>
      <c r="F393" s="170" t="s">
        <v>280</v>
      </c>
      <c r="G393" s="170"/>
      <c r="H393" s="170" t="s">
        <v>3276</v>
      </c>
      <c r="I393" s="170" t="s">
        <v>3277</v>
      </c>
      <c r="J393" s="170" t="s">
        <v>3277</v>
      </c>
      <c r="K393" s="170" t="s">
        <v>3278</v>
      </c>
      <c r="L393" s="170">
        <v>1</v>
      </c>
      <c r="M393" s="170" t="s">
        <v>3279</v>
      </c>
      <c r="N393" s="170" t="s">
        <v>3280</v>
      </c>
      <c r="O393" s="170" t="s">
        <v>3281</v>
      </c>
      <c r="P393" s="170" t="s">
        <v>1161</v>
      </c>
      <c r="Q393" s="170" t="s">
        <v>162</v>
      </c>
      <c r="R393" s="170">
        <v>0</v>
      </c>
      <c r="S393" s="170" t="s">
        <v>163</v>
      </c>
      <c r="T393" s="90">
        <v>45108</v>
      </c>
      <c r="U393" s="90">
        <v>46357</v>
      </c>
      <c r="V393" s="518"/>
      <c r="W393" s="170"/>
      <c r="X393" s="170"/>
      <c r="Y393" s="519"/>
      <c r="Z393" s="85"/>
      <c r="AA393" s="85"/>
      <c r="AB393" s="85"/>
      <c r="AC393" s="85"/>
      <c r="AD393" s="85"/>
      <c r="AE393" s="85"/>
      <c r="AF393" s="85"/>
      <c r="AG393" s="85"/>
      <c r="AH393" s="85"/>
      <c r="AI393" s="85"/>
      <c r="AJ393" s="85"/>
      <c r="AK393" s="157"/>
      <c r="AL393" s="157"/>
      <c r="AM393" s="157"/>
      <c r="AN393" s="157"/>
      <c r="AO393" s="157"/>
      <c r="AP393" s="170"/>
      <c r="AQ393" s="170"/>
      <c r="AR393" s="170"/>
      <c r="AS393" s="170"/>
      <c r="AT393" s="170"/>
      <c r="AU393" s="170"/>
      <c r="AV393" s="170"/>
      <c r="AW393" s="170"/>
      <c r="AX393" s="170"/>
      <c r="AY393" s="170"/>
      <c r="AZ393" s="692"/>
      <c r="BA393" s="170"/>
      <c r="BB393" s="170"/>
      <c r="BC393" s="170"/>
      <c r="BD393" s="170"/>
      <c r="BE393" s="170"/>
      <c r="BF393" s="170"/>
      <c r="BG393" s="170"/>
      <c r="BH393" s="170"/>
      <c r="BI393" s="170"/>
      <c r="BJ393" s="692"/>
      <c r="BK393" s="170"/>
      <c r="BL393" s="692"/>
      <c r="BM393" s="170"/>
      <c r="BN393" s="692"/>
      <c r="BO393" s="170"/>
      <c r="BP393" s="692"/>
      <c r="BQ393" s="170"/>
      <c r="BR393" s="170"/>
      <c r="BS393" s="170"/>
      <c r="BT393" s="170"/>
      <c r="BU393" s="170"/>
      <c r="BV393" s="170"/>
      <c r="BW393" s="170"/>
      <c r="BX393" s="170"/>
      <c r="BY393" s="170"/>
      <c r="BZ393" s="170"/>
      <c r="CA393" s="170"/>
      <c r="CB393" s="170"/>
      <c r="CC393" s="170"/>
      <c r="CD393" s="170"/>
      <c r="CE393" s="170"/>
      <c r="CF393" s="170"/>
      <c r="CG393" s="665"/>
      <c r="CH393" s="256"/>
      <c r="CI393" s="170"/>
      <c r="CJ393" s="83" t="str">
        <f t="shared" si="106"/>
        <v>No aplica</v>
      </c>
      <c r="CK393" s="83" t="str">
        <f t="shared" si="103"/>
        <v>No aplica</v>
      </c>
      <c r="CL393" s="83" t="str">
        <f t="shared" si="97"/>
        <v>No requiere reporte</v>
      </c>
      <c r="CM393" s="89" t="str">
        <f t="shared" si="98"/>
        <v>No requiere reporte</v>
      </c>
      <c r="CN393" s="89" t="str">
        <f t="shared" si="99"/>
        <v>No requiere reporte</v>
      </c>
      <c r="CO393" s="145" t="s">
        <v>3376</v>
      </c>
      <c r="CP393" s="693" t="s">
        <v>3377</v>
      </c>
      <c r="CQ393" s="145" t="s">
        <v>3378</v>
      </c>
      <c r="CR393" s="693" t="s">
        <v>3379</v>
      </c>
      <c r="CS393" s="693" t="s">
        <v>3380</v>
      </c>
      <c r="CT393" s="722" t="s">
        <v>161</v>
      </c>
      <c r="CU393" s="145" t="s">
        <v>233</v>
      </c>
      <c r="CV393" s="291">
        <v>0</v>
      </c>
      <c r="CW393" s="145" t="s">
        <v>163</v>
      </c>
      <c r="CX393" s="695">
        <v>46023</v>
      </c>
      <c r="CY393" s="695">
        <v>46387</v>
      </c>
      <c r="CZ393" s="157">
        <v>0</v>
      </c>
      <c r="DA393" s="157">
        <v>0.2</v>
      </c>
      <c r="DB393" s="157">
        <v>0.3</v>
      </c>
      <c r="DC393" s="157">
        <v>0.5</v>
      </c>
      <c r="DD393" s="146">
        <v>1</v>
      </c>
      <c r="DE393" s="665" t="s">
        <v>2951</v>
      </c>
      <c r="DF393" s="665" t="s">
        <v>3294</v>
      </c>
      <c r="DG393" s="665" t="s">
        <v>3295</v>
      </c>
      <c r="DH393" s="696">
        <v>0</v>
      </c>
      <c r="DI393" s="665"/>
      <c r="DJ393" s="665"/>
      <c r="DK393" s="665"/>
      <c r="DL393" s="665" t="s">
        <v>279</v>
      </c>
      <c r="DM393" s="665" t="s">
        <v>3296</v>
      </c>
      <c r="DN393" s="665"/>
      <c r="DO393" s="716"/>
      <c r="DP393" s="665"/>
      <c r="DQ393" s="716"/>
      <c r="DR393" s="716"/>
      <c r="DS393" s="665"/>
      <c r="DT393" s="716"/>
      <c r="DU393" s="665"/>
      <c r="DV393" s="716"/>
      <c r="DW393" s="716"/>
      <c r="DX393" s="665"/>
      <c r="DY393" s="716"/>
      <c r="DZ393" s="665"/>
      <c r="EA393" s="716"/>
      <c r="EB393" s="716"/>
      <c r="EC393" s="665"/>
      <c r="ED393" s="665"/>
      <c r="EE393" s="665"/>
      <c r="EF393" s="665"/>
      <c r="EG393" s="665"/>
      <c r="EH393" s="666"/>
      <c r="EI393" s="170"/>
      <c r="EJ393" s="170"/>
      <c r="EK393" s="262"/>
      <c r="EL393" s="91" t="str">
        <f t="shared" si="100"/>
        <v>No aplica, no hay meta</v>
      </c>
      <c r="EM393" s="83" t="str">
        <f t="shared" si="101"/>
        <v>No se reportó avance</v>
      </c>
      <c r="EN393" s="697"/>
    </row>
    <row r="394" spans="1:144" ht="50.1" customHeight="1">
      <c r="A394" s="170" t="s">
        <v>4671</v>
      </c>
      <c r="B394" s="517" t="s">
        <v>3272</v>
      </c>
      <c r="C394" s="173" t="s">
        <v>3273</v>
      </c>
      <c r="D394" s="173" t="s">
        <v>3274</v>
      </c>
      <c r="E394" s="173" t="s">
        <v>3275</v>
      </c>
      <c r="F394" s="170" t="s">
        <v>280</v>
      </c>
      <c r="G394" s="170"/>
      <c r="H394" s="170" t="s">
        <v>3276</v>
      </c>
      <c r="I394" s="170" t="s">
        <v>3277</v>
      </c>
      <c r="J394" s="170" t="s">
        <v>3277</v>
      </c>
      <c r="K394" s="170" t="s">
        <v>3278</v>
      </c>
      <c r="L394" s="170">
        <v>1</v>
      </c>
      <c r="M394" s="170" t="s">
        <v>3279</v>
      </c>
      <c r="N394" s="170" t="s">
        <v>3280</v>
      </c>
      <c r="O394" s="170" t="s">
        <v>3281</v>
      </c>
      <c r="P394" s="170" t="s">
        <v>1161</v>
      </c>
      <c r="Q394" s="170" t="s">
        <v>162</v>
      </c>
      <c r="R394" s="170">
        <v>0</v>
      </c>
      <c r="S394" s="170" t="s">
        <v>163</v>
      </c>
      <c r="T394" s="90">
        <v>45108</v>
      </c>
      <c r="U394" s="90">
        <v>46357</v>
      </c>
      <c r="V394" s="518"/>
      <c r="W394" s="170"/>
      <c r="X394" s="170"/>
      <c r="Y394" s="519"/>
      <c r="Z394" s="85"/>
      <c r="AA394" s="85"/>
      <c r="AB394" s="85"/>
      <c r="AC394" s="85"/>
      <c r="AD394" s="85"/>
      <c r="AE394" s="85"/>
      <c r="AF394" s="85"/>
      <c r="AG394" s="85"/>
      <c r="AH394" s="85"/>
      <c r="AI394" s="85"/>
      <c r="AJ394" s="85"/>
      <c r="AK394" s="157"/>
      <c r="AL394" s="157"/>
      <c r="AM394" s="157"/>
      <c r="AN394" s="157"/>
      <c r="AO394" s="157"/>
      <c r="AP394" s="170"/>
      <c r="AQ394" s="170"/>
      <c r="AR394" s="170"/>
      <c r="AS394" s="170"/>
      <c r="AT394" s="170"/>
      <c r="AU394" s="170"/>
      <c r="AV394" s="170"/>
      <c r="AW394" s="170"/>
      <c r="AX394" s="170"/>
      <c r="AY394" s="170"/>
      <c r="AZ394" s="692"/>
      <c r="BA394" s="170"/>
      <c r="BB394" s="170"/>
      <c r="BC394" s="170"/>
      <c r="BD394" s="170"/>
      <c r="BE394" s="170"/>
      <c r="BF394" s="170"/>
      <c r="BG394" s="170"/>
      <c r="BH394" s="170"/>
      <c r="BI394" s="170"/>
      <c r="BJ394" s="692"/>
      <c r="BK394" s="170"/>
      <c r="BL394" s="692"/>
      <c r="BM394" s="170"/>
      <c r="BN394" s="692"/>
      <c r="BO394" s="170"/>
      <c r="BP394" s="692"/>
      <c r="BQ394" s="170"/>
      <c r="BR394" s="170"/>
      <c r="BS394" s="170"/>
      <c r="BT394" s="170"/>
      <c r="BU394" s="170"/>
      <c r="BV394" s="170"/>
      <c r="BW394" s="170"/>
      <c r="BX394" s="170"/>
      <c r="BY394" s="170"/>
      <c r="BZ394" s="170"/>
      <c r="CA394" s="170"/>
      <c r="CB394" s="170"/>
      <c r="CC394" s="170"/>
      <c r="CD394" s="170"/>
      <c r="CE394" s="170"/>
      <c r="CF394" s="170"/>
      <c r="CG394" s="665"/>
      <c r="CH394" s="256"/>
      <c r="CI394" s="170"/>
      <c r="CJ394" s="83" t="str">
        <f t="shared" si="106"/>
        <v>No aplica</v>
      </c>
      <c r="CK394" s="83" t="str">
        <f t="shared" si="103"/>
        <v>No aplica</v>
      </c>
      <c r="CL394" s="83" t="str">
        <f t="shared" si="97"/>
        <v>No requiere reporte</v>
      </c>
      <c r="CM394" s="89" t="str">
        <f t="shared" si="98"/>
        <v>No requiere reporte</v>
      </c>
      <c r="CN394" s="89" t="str">
        <f t="shared" si="99"/>
        <v>No requiere reporte</v>
      </c>
      <c r="CO394" s="145" t="s">
        <v>3381</v>
      </c>
      <c r="CP394" s="693" t="s">
        <v>3377</v>
      </c>
      <c r="CQ394" s="145" t="s">
        <v>3378</v>
      </c>
      <c r="CR394" s="693" t="s">
        <v>3382</v>
      </c>
      <c r="CS394" s="693" t="s">
        <v>3383</v>
      </c>
      <c r="CT394" s="722" t="s">
        <v>161</v>
      </c>
      <c r="CU394" s="714" t="s">
        <v>162</v>
      </c>
      <c r="CV394" s="291">
        <v>0</v>
      </c>
      <c r="CW394" s="145" t="s">
        <v>163</v>
      </c>
      <c r="CX394" s="695">
        <v>46023</v>
      </c>
      <c r="CY394" s="695">
        <v>46387</v>
      </c>
      <c r="CZ394" s="157">
        <v>0</v>
      </c>
      <c r="DA394" s="146">
        <v>1</v>
      </c>
      <c r="DB394" s="146">
        <v>1</v>
      </c>
      <c r="DC394" s="146">
        <v>1</v>
      </c>
      <c r="DD394" s="146">
        <v>1</v>
      </c>
      <c r="DE394" s="665" t="s">
        <v>2951</v>
      </c>
      <c r="DF394" s="665" t="s">
        <v>3294</v>
      </c>
      <c r="DG394" s="665" t="s">
        <v>3295</v>
      </c>
      <c r="DH394" s="696">
        <v>0</v>
      </c>
      <c r="DI394" s="665"/>
      <c r="DJ394" s="665"/>
      <c r="DK394" s="665"/>
      <c r="DL394" s="665" t="s">
        <v>279</v>
      </c>
      <c r="DM394" s="665" t="s">
        <v>3296</v>
      </c>
      <c r="DN394" s="218"/>
      <c r="DO394" s="716"/>
      <c r="DP394" s="665"/>
      <c r="DQ394" s="716"/>
      <c r="DR394" s="716"/>
      <c r="DS394" s="218"/>
      <c r="DT394" s="716"/>
      <c r="DU394" s="665"/>
      <c r="DV394" s="716"/>
      <c r="DW394" s="716"/>
      <c r="DX394" s="218"/>
      <c r="DY394" s="716"/>
      <c r="DZ394" s="665"/>
      <c r="EA394" s="716"/>
      <c r="EB394" s="716"/>
      <c r="EC394" s="665"/>
      <c r="ED394" s="665"/>
      <c r="EE394" s="665"/>
      <c r="EF394" s="665"/>
      <c r="EG394" s="665"/>
      <c r="EH394" s="666"/>
      <c r="EI394" s="170"/>
      <c r="EJ394" s="170"/>
      <c r="EK394" s="262"/>
      <c r="EL394" s="91" t="str">
        <f t="shared" si="100"/>
        <v>No requiere reporte</v>
      </c>
      <c r="EM394" s="83" t="str">
        <f t="shared" si="101"/>
        <v>No requiere reporte</v>
      </c>
      <c r="EN394" s="697"/>
    </row>
    <row r="395" spans="1:144" ht="50.1" customHeight="1">
      <c r="A395" s="170" t="s">
        <v>4671</v>
      </c>
      <c r="B395" s="517" t="s">
        <v>3272</v>
      </c>
      <c r="C395" s="173" t="s">
        <v>3273</v>
      </c>
      <c r="D395" s="173" t="s">
        <v>3274</v>
      </c>
      <c r="E395" s="173" t="s">
        <v>3275</v>
      </c>
      <c r="F395" s="170" t="s">
        <v>280</v>
      </c>
      <c r="G395" s="170"/>
      <c r="H395" s="170" t="s">
        <v>3276</v>
      </c>
      <c r="I395" s="170" t="s">
        <v>3277</v>
      </c>
      <c r="J395" s="170" t="s">
        <v>3277</v>
      </c>
      <c r="K395" s="170" t="s">
        <v>3278</v>
      </c>
      <c r="L395" s="170">
        <v>1</v>
      </c>
      <c r="M395" s="170" t="s">
        <v>3279</v>
      </c>
      <c r="N395" s="170" t="s">
        <v>3280</v>
      </c>
      <c r="O395" s="170" t="s">
        <v>3281</v>
      </c>
      <c r="P395" s="170" t="s">
        <v>1161</v>
      </c>
      <c r="Q395" s="170" t="s">
        <v>162</v>
      </c>
      <c r="R395" s="170">
        <v>0</v>
      </c>
      <c r="S395" s="170" t="s">
        <v>163</v>
      </c>
      <c r="T395" s="90">
        <v>45108</v>
      </c>
      <c r="U395" s="90">
        <v>46357</v>
      </c>
      <c r="V395" s="518"/>
      <c r="W395" s="170"/>
      <c r="X395" s="170"/>
      <c r="Y395" s="519"/>
      <c r="Z395" s="85"/>
      <c r="AA395" s="85"/>
      <c r="AB395" s="85"/>
      <c r="AC395" s="85"/>
      <c r="AD395" s="85"/>
      <c r="AE395" s="85"/>
      <c r="AF395" s="85"/>
      <c r="AG395" s="85"/>
      <c r="AH395" s="85"/>
      <c r="AI395" s="85"/>
      <c r="AJ395" s="85"/>
      <c r="AK395" s="157"/>
      <c r="AL395" s="157"/>
      <c r="AM395" s="157"/>
      <c r="AN395" s="157"/>
      <c r="AO395" s="157"/>
      <c r="AP395" s="170"/>
      <c r="AQ395" s="170"/>
      <c r="AR395" s="170"/>
      <c r="AS395" s="170"/>
      <c r="AT395" s="170"/>
      <c r="AU395" s="170"/>
      <c r="AV395" s="170"/>
      <c r="AW395" s="170"/>
      <c r="AX395" s="170"/>
      <c r="AY395" s="170"/>
      <c r="AZ395" s="692"/>
      <c r="BA395" s="170"/>
      <c r="BB395" s="170"/>
      <c r="BC395" s="170"/>
      <c r="BD395" s="170"/>
      <c r="BE395" s="170"/>
      <c r="BF395" s="170"/>
      <c r="BG395" s="170"/>
      <c r="BH395" s="170"/>
      <c r="BI395" s="170"/>
      <c r="BJ395" s="692"/>
      <c r="BK395" s="170"/>
      <c r="BL395" s="692"/>
      <c r="BM395" s="170"/>
      <c r="BN395" s="692"/>
      <c r="BO395" s="170"/>
      <c r="BP395" s="692"/>
      <c r="BQ395" s="170"/>
      <c r="BR395" s="170"/>
      <c r="BS395" s="170"/>
      <c r="BT395" s="170"/>
      <c r="BU395" s="170"/>
      <c r="BV395" s="170"/>
      <c r="BW395" s="170"/>
      <c r="BX395" s="170"/>
      <c r="BY395" s="170"/>
      <c r="BZ395" s="170"/>
      <c r="CA395" s="170"/>
      <c r="CB395" s="170"/>
      <c r="CC395" s="170"/>
      <c r="CD395" s="170"/>
      <c r="CE395" s="170"/>
      <c r="CF395" s="170"/>
      <c r="CG395" s="665"/>
      <c r="CH395" s="256"/>
      <c r="CI395" s="170"/>
      <c r="CJ395" s="83" t="str">
        <f t="shared" si="106"/>
        <v>No aplica</v>
      </c>
      <c r="CK395" s="83" t="str">
        <f t="shared" si="103"/>
        <v>No aplica</v>
      </c>
      <c r="CL395" s="83" t="str">
        <f t="shared" si="97"/>
        <v>No requiere reporte</v>
      </c>
      <c r="CM395" s="89" t="str">
        <f t="shared" si="98"/>
        <v>No requiere reporte</v>
      </c>
      <c r="CN395" s="89" t="str">
        <f t="shared" si="99"/>
        <v>No requiere reporte</v>
      </c>
      <c r="CO395" s="145" t="s">
        <v>3384</v>
      </c>
      <c r="CP395" s="693" t="s">
        <v>3385</v>
      </c>
      <c r="CQ395" s="145" t="s">
        <v>3386</v>
      </c>
      <c r="CR395" s="693" t="s">
        <v>3387</v>
      </c>
      <c r="CS395" s="693" t="s">
        <v>3388</v>
      </c>
      <c r="CT395" s="145" t="s">
        <v>953</v>
      </c>
      <c r="CU395" s="145" t="s">
        <v>233</v>
      </c>
      <c r="CV395" s="291">
        <v>0</v>
      </c>
      <c r="CW395" s="145" t="s">
        <v>163</v>
      </c>
      <c r="CX395" s="695">
        <v>46023</v>
      </c>
      <c r="CY395" s="695">
        <v>46387</v>
      </c>
      <c r="CZ395" s="723">
        <v>0</v>
      </c>
      <c r="DA395" s="723">
        <f>10%+10%</f>
        <v>0.2</v>
      </c>
      <c r="DB395" s="723">
        <v>0.1</v>
      </c>
      <c r="DC395" s="723">
        <v>0.5</v>
      </c>
      <c r="DD395" s="157">
        <f>+DA395+DB395+DC395</f>
        <v>0.8</v>
      </c>
      <c r="DE395" s="665" t="s">
        <v>2951</v>
      </c>
      <c r="DF395" s="665" t="s">
        <v>3294</v>
      </c>
      <c r="DG395" s="665" t="s">
        <v>3295</v>
      </c>
      <c r="DH395" s="696">
        <v>1000000000</v>
      </c>
      <c r="DI395" s="665"/>
      <c r="DJ395" s="665"/>
      <c r="DK395" s="665"/>
      <c r="DL395" s="665" t="s">
        <v>279</v>
      </c>
      <c r="DM395" s="665" t="s">
        <v>3296</v>
      </c>
      <c r="DN395" s="665"/>
      <c r="DO395" s="716"/>
      <c r="DP395" s="665"/>
      <c r="DQ395" s="716"/>
      <c r="DR395" s="716"/>
      <c r="DS395" s="665"/>
      <c r="DT395" s="716"/>
      <c r="DU395" s="665"/>
      <c r="DV395" s="716"/>
      <c r="DW395" s="716"/>
      <c r="DX395" s="665"/>
      <c r="DY395" s="716"/>
      <c r="DZ395" s="665"/>
      <c r="EA395" s="716"/>
      <c r="EB395" s="716"/>
      <c r="EC395" s="665"/>
      <c r="ED395" s="665"/>
      <c r="EE395" s="665"/>
      <c r="EF395" s="665"/>
      <c r="EG395" s="665"/>
      <c r="EH395" s="666"/>
      <c r="EI395" s="170"/>
      <c r="EJ395" s="170"/>
      <c r="EK395" s="262"/>
      <c r="EL395" s="91" t="str">
        <f t="shared" si="100"/>
        <v>No aplica, no hay meta</v>
      </c>
      <c r="EM395" s="83" t="str">
        <f t="shared" si="101"/>
        <v>No se reportó avance</v>
      </c>
      <c r="EN395" s="697"/>
    </row>
    <row r="396" spans="1:144" ht="50.1" customHeight="1">
      <c r="A396" s="170" t="s">
        <v>4671</v>
      </c>
      <c r="B396" s="517" t="s">
        <v>3272</v>
      </c>
      <c r="C396" s="173" t="s">
        <v>3273</v>
      </c>
      <c r="D396" s="173" t="s">
        <v>3274</v>
      </c>
      <c r="E396" s="173" t="s">
        <v>3275</v>
      </c>
      <c r="F396" s="170" t="s">
        <v>280</v>
      </c>
      <c r="G396" s="170"/>
      <c r="H396" s="170" t="s">
        <v>3276</v>
      </c>
      <c r="I396" s="170" t="s">
        <v>3277</v>
      </c>
      <c r="J396" s="170" t="s">
        <v>3277</v>
      </c>
      <c r="K396" s="170" t="s">
        <v>3278</v>
      </c>
      <c r="L396" s="170">
        <v>1</v>
      </c>
      <c r="M396" s="170" t="s">
        <v>3279</v>
      </c>
      <c r="N396" s="170" t="s">
        <v>3280</v>
      </c>
      <c r="O396" s="170" t="s">
        <v>3281</v>
      </c>
      <c r="P396" s="170" t="s">
        <v>1161</v>
      </c>
      <c r="Q396" s="170" t="s">
        <v>162</v>
      </c>
      <c r="R396" s="170">
        <v>0</v>
      </c>
      <c r="S396" s="170" t="s">
        <v>163</v>
      </c>
      <c r="T396" s="90">
        <v>45108</v>
      </c>
      <c r="U396" s="90">
        <v>46357</v>
      </c>
      <c r="V396" s="518"/>
      <c r="W396" s="170"/>
      <c r="X396" s="170"/>
      <c r="Y396" s="519"/>
      <c r="Z396" s="85"/>
      <c r="AA396" s="85"/>
      <c r="AB396" s="85"/>
      <c r="AC396" s="85"/>
      <c r="AD396" s="85"/>
      <c r="AE396" s="85"/>
      <c r="AF396" s="85"/>
      <c r="AG396" s="85"/>
      <c r="AH396" s="85"/>
      <c r="AI396" s="85"/>
      <c r="AJ396" s="85"/>
      <c r="AK396" s="157"/>
      <c r="AL396" s="157"/>
      <c r="AM396" s="157"/>
      <c r="AN396" s="157"/>
      <c r="AO396" s="157"/>
      <c r="AP396" s="170"/>
      <c r="AQ396" s="170"/>
      <c r="AR396" s="170"/>
      <c r="AS396" s="170"/>
      <c r="AT396" s="170"/>
      <c r="AU396" s="170"/>
      <c r="AV396" s="170"/>
      <c r="AW396" s="170"/>
      <c r="AX396" s="170"/>
      <c r="AY396" s="170"/>
      <c r="AZ396" s="692"/>
      <c r="BA396" s="170"/>
      <c r="BB396" s="170"/>
      <c r="BC396" s="170"/>
      <c r="BD396" s="170"/>
      <c r="BE396" s="170"/>
      <c r="BF396" s="170"/>
      <c r="BG396" s="170"/>
      <c r="BH396" s="170"/>
      <c r="BI396" s="170"/>
      <c r="BJ396" s="692"/>
      <c r="BK396" s="170"/>
      <c r="BL396" s="692"/>
      <c r="BM396" s="170"/>
      <c r="BN396" s="692"/>
      <c r="BO396" s="170"/>
      <c r="BP396" s="692"/>
      <c r="BQ396" s="170"/>
      <c r="BR396" s="170"/>
      <c r="BS396" s="170"/>
      <c r="BT396" s="170"/>
      <c r="BU396" s="170"/>
      <c r="BV396" s="170"/>
      <c r="BW396" s="170"/>
      <c r="BX396" s="170"/>
      <c r="BY396" s="170"/>
      <c r="BZ396" s="170"/>
      <c r="CA396" s="170"/>
      <c r="CB396" s="170"/>
      <c r="CC396" s="170"/>
      <c r="CD396" s="170"/>
      <c r="CE396" s="170"/>
      <c r="CF396" s="170"/>
      <c r="CG396" s="665"/>
      <c r="CH396" s="256"/>
      <c r="CI396" s="170"/>
      <c r="CJ396" s="83" t="str">
        <f t="shared" si="106"/>
        <v>No aplica</v>
      </c>
      <c r="CK396" s="83" t="str">
        <f t="shared" si="103"/>
        <v>No aplica</v>
      </c>
      <c r="CL396" s="83" t="str">
        <f t="shared" si="97"/>
        <v>No requiere reporte</v>
      </c>
      <c r="CM396" s="89" t="str">
        <f t="shared" si="98"/>
        <v>No requiere reporte</v>
      </c>
      <c r="CN396" s="89" t="str">
        <f t="shared" si="99"/>
        <v>No requiere reporte</v>
      </c>
      <c r="CO396" s="145" t="s">
        <v>3389</v>
      </c>
      <c r="CP396" s="693" t="s">
        <v>3390</v>
      </c>
      <c r="CQ396" s="145" t="s">
        <v>3391</v>
      </c>
      <c r="CR396" s="693" t="s">
        <v>3392</v>
      </c>
      <c r="CS396" s="693" t="s">
        <v>3393</v>
      </c>
      <c r="CT396" s="145" t="s">
        <v>953</v>
      </c>
      <c r="CU396" s="714" t="s">
        <v>162</v>
      </c>
      <c r="CV396" s="291">
        <v>0</v>
      </c>
      <c r="CW396" s="145" t="s">
        <v>163</v>
      </c>
      <c r="CX396" s="695">
        <v>46023</v>
      </c>
      <c r="CY396" s="695">
        <v>46387</v>
      </c>
      <c r="CZ396" s="146">
        <v>1</v>
      </c>
      <c r="DA396" s="146">
        <v>1</v>
      </c>
      <c r="DB396" s="146">
        <v>1</v>
      </c>
      <c r="DC396" s="146">
        <v>1</v>
      </c>
      <c r="DD396" s="146">
        <v>1</v>
      </c>
      <c r="DE396" s="665" t="s">
        <v>2951</v>
      </c>
      <c r="DF396" s="665" t="s">
        <v>3294</v>
      </c>
      <c r="DG396" s="665" t="s">
        <v>3295</v>
      </c>
      <c r="DH396" s="696">
        <v>800000000</v>
      </c>
      <c r="DI396" s="665"/>
      <c r="DJ396" s="665"/>
      <c r="DK396" s="665"/>
      <c r="DL396" s="665" t="s">
        <v>279</v>
      </c>
      <c r="DM396" s="665" t="s">
        <v>3296</v>
      </c>
      <c r="DN396" s="218"/>
      <c r="DO396" s="716"/>
      <c r="DP396" s="665"/>
      <c r="DQ396" s="716"/>
      <c r="DR396" s="716"/>
      <c r="DS396" s="218"/>
      <c r="DT396" s="716"/>
      <c r="DU396" s="665"/>
      <c r="DV396" s="716"/>
      <c r="DW396" s="716"/>
      <c r="DX396" s="218"/>
      <c r="DY396" s="716"/>
      <c r="DZ396" s="665"/>
      <c r="EA396" s="716"/>
      <c r="EB396" s="716"/>
      <c r="EC396" s="665"/>
      <c r="ED396" s="665"/>
      <c r="EE396" s="665"/>
      <c r="EF396" s="665"/>
      <c r="EG396" s="665"/>
      <c r="EH396" s="146"/>
      <c r="EI396" s="170"/>
      <c r="EJ396" s="170"/>
      <c r="EK396" s="262"/>
      <c r="EL396" s="91" t="str">
        <f t="shared" si="100"/>
        <v>No se reportó avance</v>
      </c>
      <c r="EM396" s="83" t="str">
        <f t="shared" si="101"/>
        <v>No se reportó avance</v>
      </c>
      <c r="EN396" s="697"/>
    </row>
    <row r="397" spans="1:144" ht="50.1" customHeight="1">
      <c r="A397" s="170" t="s">
        <v>4671</v>
      </c>
      <c r="B397" s="517" t="s">
        <v>3272</v>
      </c>
      <c r="C397" s="173" t="s">
        <v>3273</v>
      </c>
      <c r="D397" s="173" t="s">
        <v>3274</v>
      </c>
      <c r="E397" s="173" t="s">
        <v>3275</v>
      </c>
      <c r="F397" s="170" t="s">
        <v>280</v>
      </c>
      <c r="G397" s="170"/>
      <c r="H397" s="170" t="s">
        <v>3276</v>
      </c>
      <c r="I397" s="170" t="s">
        <v>3277</v>
      </c>
      <c r="J397" s="170" t="s">
        <v>3277</v>
      </c>
      <c r="K397" s="170" t="s">
        <v>3278</v>
      </c>
      <c r="L397" s="170">
        <v>1</v>
      </c>
      <c r="M397" s="170" t="s">
        <v>3279</v>
      </c>
      <c r="N397" s="170" t="s">
        <v>3280</v>
      </c>
      <c r="O397" s="170" t="s">
        <v>3281</v>
      </c>
      <c r="P397" s="170" t="s">
        <v>1161</v>
      </c>
      <c r="Q397" s="170" t="s">
        <v>162</v>
      </c>
      <c r="R397" s="170">
        <v>0</v>
      </c>
      <c r="S397" s="170" t="s">
        <v>163</v>
      </c>
      <c r="T397" s="90">
        <v>45108</v>
      </c>
      <c r="U397" s="90">
        <v>46357</v>
      </c>
      <c r="V397" s="518"/>
      <c r="W397" s="170"/>
      <c r="X397" s="170"/>
      <c r="Y397" s="519"/>
      <c r="Z397" s="85"/>
      <c r="AA397" s="85"/>
      <c r="AB397" s="85"/>
      <c r="AC397" s="85"/>
      <c r="AD397" s="85"/>
      <c r="AE397" s="85"/>
      <c r="AF397" s="85"/>
      <c r="AG397" s="85"/>
      <c r="AH397" s="85"/>
      <c r="AI397" s="85"/>
      <c r="AJ397" s="85"/>
      <c r="AK397" s="157"/>
      <c r="AL397" s="157"/>
      <c r="AM397" s="157"/>
      <c r="AN397" s="157"/>
      <c r="AO397" s="157"/>
      <c r="AP397" s="170"/>
      <c r="AQ397" s="170"/>
      <c r="AR397" s="170"/>
      <c r="AS397" s="170"/>
      <c r="AT397" s="170"/>
      <c r="AU397" s="170"/>
      <c r="AV397" s="170"/>
      <c r="AW397" s="170"/>
      <c r="AX397" s="170"/>
      <c r="AY397" s="170"/>
      <c r="AZ397" s="692"/>
      <c r="BA397" s="170"/>
      <c r="BB397" s="170"/>
      <c r="BC397" s="170"/>
      <c r="BD397" s="170"/>
      <c r="BE397" s="170"/>
      <c r="BF397" s="170"/>
      <c r="BG397" s="170"/>
      <c r="BH397" s="170"/>
      <c r="BI397" s="170"/>
      <c r="BJ397" s="692"/>
      <c r="BK397" s="170"/>
      <c r="BL397" s="692"/>
      <c r="BM397" s="170"/>
      <c r="BN397" s="692"/>
      <c r="BO397" s="170"/>
      <c r="BP397" s="692"/>
      <c r="BQ397" s="170"/>
      <c r="BR397" s="170"/>
      <c r="BS397" s="170"/>
      <c r="BT397" s="170"/>
      <c r="BU397" s="170"/>
      <c r="BV397" s="170"/>
      <c r="BW397" s="170"/>
      <c r="BX397" s="170"/>
      <c r="BY397" s="170"/>
      <c r="BZ397" s="170"/>
      <c r="CA397" s="170"/>
      <c r="CB397" s="170"/>
      <c r="CC397" s="170"/>
      <c r="CD397" s="170"/>
      <c r="CE397" s="170"/>
      <c r="CF397" s="170"/>
      <c r="CG397" s="665"/>
      <c r="CH397" s="256"/>
      <c r="CI397" s="170"/>
      <c r="CJ397" s="83" t="str">
        <f t="shared" si="106"/>
        <v>No aplica</v>
      </c>
      <c r="CK397" s="83" t="str">
        <f t="shared" si="103"/>
        <v>No aplica</v>
      </c>
      <c r="CL397" s="83" t="str">
        <f t="shared" si="97"/>
        <v>No requiere reporte</v>
      </c>
      <c r="CM397" s="89" t="str">
        <f t="shared" si="98"/>
        <v>No requiere reporte</v>
      </c>
      <c r="CN397" s="89" t="str">
        <f t="shared" si="99"/>
        <v>No requiere reporte</v>
      </c>
      <c r="CO397" s="145" t="s">
        <v>3394</v>
      </c>
      <c r="CP397" s="693" t="s">
        <v>3395</v>
      </c>
      <c r="CQ397" s="145" t="s">
        <v>3396</v>
      </c>
      <c r="CR397" s="693" t="s">
        <v>3397</v>
      </c>
      <c r="CS397" s="693" t="s">
        <v>3398</v>
      </c>
      <c r="CT397" s="145" t="s">
        <v>161</v>
      </c>
      <c r="CU397" s="145" t="s">
        <v>233</v>
      </c>
      <c r="CV397" s="291">
        <v>0</v>
      </c>
      <c r="CW397" s="145" t="s">
        <v>163</v>
      </c>
      <c r="CX397" s="695">
        <v>46023</v>
      </c>
      <c r="CY397" s="695">
        <v>46387</v>
      </c>
      <c r="CZ397" s="157"/>
      <c r="DA397" s="157">
        <v>0.05</v>
      </c>
      <c r="DB397" s="157">
        <v>0.15</v>
      </c>
      <c r="DC397" s="157">
        <v>0.55000000000000004</v>
      </c>
      <c r="DD397" s="157">
        <f>+DA397+DB397+DC397</f>
        <v>0.75</v>
      </c>
      <c r="DE397" s="665" t="s">
        <v>2951</v>
      </c>
      <c r="DF397" s="665" t="s">
        <v>3294</v>
      </c>
      <c r="DG397" s="665" t="s">
        <v>3295</v>
      </c>
      <c r="DH397" s="696">
        <v>500000000</v>
      </c>
      <c r="DI397" s="665"/>
      <c r="DJ397" s="665"/>
      <c r="DK397" s="665"/>
      <c r="DL397" s="665" t="s">
        <v>279</v>
      </c>
      <c r="DM397" s="665" t="s">
        <v>3296</v>
      </c>
      <c r="DN397" s="665"/>
      <c r="DO397" s="716"/>
      <c r="DP397" s="665"/>
      <c r="DQ397" s="716"/>
      <c r="DR397" s="716"/>
      <c r="DS397" s="665"/>
      <c r="DT397" s="716"/>
      <c r="DU397" s="665"/>
      <c r="DV397" s="716"/>
      <c r="DW397" s="716"/>
      <c r="DX397" s="724"/>
      <c r="DY397" s="716"/>
      <c r="DZ397" s="665"/>
      <c r="EA397" s="716"/>
      <c r="EB397" s="716"/>
      <c r="EC397" s="665"/>
      <c r="ED397" s="665"/>
      <c r="EE397" s="665"/>
      <c r="EF397" s="665"/>
      <c r="EG397" s="665"/>
      <c r="EH397" s="666"/>
      <c r="EI397" s="170"/>
      <c r="EJ397" s="170"/>
      <c r="EK397" s="262"/>
      <c r="EL397" s="91" t="str">
        <f t="shared" si="100"/>
        <v>No aplica, no hay meta</v>
      </c>
      <c r="EM397" s="83" t="str">
        <f t="shared" si="101"/>
        <v>No se reportó avance</v>
      </c>
      <c r="EN397" s="697"/>
    </row>
    <row r="398" spans="1:144" ht="50.1" customHeight="1">
      <c r="A398" s="170" t="s">
        <v>4671</v>
      </c>
      <c r="B398" s="517" t="s">
        <v>3272</v>
      </c>
      <c r="C398" s="173" t="s">
        <v>3273</v>
      </c>
      <c r="D398" s="173" t="s">
        <v>3274</v>
      </c>
      <c r="E398" s="173" t="s">
        <v>3275</v>
      </c>
      <c r="F398" s="170" t="s">
        <v>280</v>
      </c>
      <c r="G398" s="170"/>
      <c r="H398" s="170" t="s">
        <v>3276</v>
      </c>
      <c r="I398" s="170" t="s">
        <v>3277</v>
      </c>
      <c r="J398" s="170" t="s">
        <v>3277</v>
      </c>
      <c r="K398" s="170" t="s">
        <v>3278</v>
      </c>
      <c r="L398" s="170">
        <v>1</v>
      </c>
      <c r="M398" s="170" t="s">
        <v>3279</v>
      </c>
      <c r="N398" s="170" t="s">
        <v>3280</v>
      </c>
      <c r="O398" s="170" t="s">
        <v>3281</v>
      </c>
      <c r="P398" s="170" t="s">
        <v>1161</v>
      </c>
      <c r="Q398" s="170" t="s">
        <v>162</v>
      </c>
      <c r="R398" s="170">
        <v>0</v>
      </c>
      <c r="S398" s="170" t="s">
        <v>163</v>
      </c>
      <c r="T398" s="90">
        <v>45108</v>
      </c>
      <c r="U398" s="90">
        <v>46357</v>
      </c>
      <c r="V398" s="518"/>
      <c r="W398" s="170"/>
      <c r="X398" s="170"/>
      <c r="Y398" s="519"/>
      <c r="Z398" s="85"/>
      <c r="AA398" s="85"/>
      <c r="AB398" s="85"/>
      <c r="AC398" s="85"/>
      <c r="AD398" s="85"/>
      <c r="AE398" s="85"/>
      <c r="AF398" s="85"/>
      <c r="AG398" s="85"/>
      <c r="AH398" s="85"/>
      <c r="AI398" s="85"/>
      <c r="AJ398" s="85"/>
      <c r="AK398" s="157"/>
      <c r="AL398" s="157"/>
      <c r="AM398" s="157"/>
      <c r="AN398" s="157"/>
      <c r="AO398" s="157"/>
      <c r="AP398" s="170"/>
      <c r="AQ398" s="170"/>
      <c r="AR398" s="170"/>
      <c r="AS398" s="170"/>
      <c r="AT398" s="170"/>
      <c r="AU398" s="170"/>
      <c r="AV398" s="170"/>
      <c r="AW398" s="170"/>
      <c r="AX398" s="170"/>
      <c r="AY398" s="170"/>
      <c r="AZ398" s="692"/>
      <c r="BA398" s="170"/>
      <c r="BB398" s="170"/>
      <c r="BC398" s="170"/>
      <c r="BD398" s="170"/>
      <c r="BE398" s="170"/>
      <c r="BF398" s="170"/>
      <c r="BG398" s="170"/>
      <c r="BH398" s="170"/>
      <c r="BI398" s="170"/>
      <c r="BJ398" s="692"/>
      <c r="BK398" s="170"/>
      <c r="BL398" s="692"/>
      <c r="BM398" s="170"/>
      <c r="BN398" s="692"/>
      <c r="BO398" s="170"/>
      <c r="BP398" s="692"/>
      <c r="BQ398" s="170"/>
      <c r="BR398" s="170"/>
      <c r="BS398" s="170"/>
      <c r="BT398" s="170"/>
      <c r="BU398" s="170"/>
      <c r="BV398" s="170"/>
      <c r="BW398" s="170"/>
      <c r="BX398" s="170"/>
      <c r="BY398" s="170"/>
      <c r="BZ398" s="170"/>
      <c r="CA398" s="170"/>
      <c r="CB398" s="170"/>
      <c r="CC398" s="170"/>
      <c r="CD398" s="170"/>
      <c r="CE398" s="170"/>
      <c r="CF398" s="170"/>
      <c r="CG398" s="665"/>
      <c r="CH398" s="256"/>
      <c r="CI398" s="170"/>
      <c r="CJ398" s="83" t="str">
        <f t="shared" si="106"/>
        <v>No aplica</v>
      </c>
      <c r="CK398" s="83" t="str">
        <f t="shared" si="103"/>
        <v>No aplica</v>
      </c>
      <c r="CL398" s="83" t="str">
        <f t="shared" si="97"/>
        <v>No requiere reporte</v>
      </c>
      <c r="CM398" s="89" t="str">
        <f t="shared" si="98"/>
        <v>No requiere reporte</v>
      </c>
      <c r="CN398" s="89" t="str">
        <f t="shared" si="99"/>
        <v>No requiere reporte</v>
      </c>
      <c r="CO398" s="145" t="s">
        <v>3399</v>
      </c>
      <c r="CP398" s="693" t="s">
        <v>3400</v>
      </c>
      <c r="CQ398" s="145" t="s">
        <v>3401</v>
      </c>
      <c r="CR398" s="693" t="s">
        <v>3402</v>
      </c>
      <c r="CS398" s="693" t="s">
        <v>3403</v>
      </c>
      <c r="CT398" s="145" t="s">
        <v>200</v>
      </c>
      <c r="CU398" s="145" t="s">
        <v>233</v>
      </c>
      <c r="CV398" s="291">
        <v>0</v>
      </c>
      <c r="CW398" s="145" t="s">
        <v>163</v>
      </c>
      <c r="CX398" s="695">
        <v>46023</v>
      </c>
      <c r="CY398" s="695">
        <v>46387</v>
      </c>
      <c r="CZ398" s="725"/>
      <c r="DA398" s="726">
        <f>30%+10%</f>
        <v>0.4</v>
      </c>
      <c r="DB398" s="726">
        <v>0.2</v>
      </c>
      <c r="DC398" s="157">
        <v>0.3</v>
      </c>
      <c r="DD398" s="157">
        <f>+DA398+DB398+DC398</f>
        <v>0.90000000000000013</v>
      </c>
      <c r="DE398" s="665" t="s">
        <v>2951</v>
      </c>
      <c r="DF398" s="665" t="s">
        <v>3294</v>
      </c>
      <c r="DG398" s="665" t="s">
        <v>3295</v>
      </c>
      <c r="DH398" s="696">
        <f>2000000000-500000000</f>
        <v>1500000000</v>
      </c>
      <c r="DI398" s="665"/>
      <c r="DJ398" s="665"/>
      <c r="DK398" s="665"/>
      <c r="DL398" s="665" t="s">
        <v>279</v>
      </c>
      <c r="DM398" s="665" t="s">
        <v>3296</v>
      </c>
      <c r="DN398" s="665"/>
      <c r="DO398" s="716"/>
      <c r="DP398" s="665"/>
      <c r="DQ398" s="716"/>
      <c r="DR398" s="716"/>
      <c r="DS398" s="665"/>
      <c r="DT398" s="716"/>
      <c r="DU398" s="665"/>
      <c r="DV398" s="716"/>
      <c r="DW398" s="716"/>
      <c r="DX398" s="665"/>
      <c r="DY398" s="716"/>
      <c r="DZ398" s="665"/>
      <c r="EA398" s="716"/>
      <c r="EB398" s="716"/>
      <c r="EC398" s="665"/>
      <c r="ED398" s="665"/>
      <c r="EE398" s="665"/>
      <c r="EF398" s="665"/>
      <c r="EG398" s="665"/>
      <c r="EH398" s="666"/>
      <c r="EI398" s="170"/>
      <c r="EJ398" s="170"/>
      <c r="EK398" s="262"/>
      <c r="EL398" s="91" t="str">
        <f t="shared" si="100"/>
        <v>No aplica, no hay meta</v>
      </c>
      <c r="EM398" s="83" t="str">
        <f t="shared" si="101"/>
        <v>No se reportó avance</v>
      </c>
      <c r="EN398" s="697"/>
    </row>
    <row r="399" spans="1:144" ht="50.1" customHeight="1">
      <c r="A399" s="170" t="s">
        <v>4671</v>
      </c>
      <c r="B399" s="517" t="s">
        <v>3272</v>
      </c>
      <c r="C399" s="173" t="s">
        <v>3273</v>
      </c>
      <c r="D399" s="173" t="s">
        <v>3274</v>
      </c>
      <c r="E399" s="173" t="s">
        <v>3275</v>
      </c>
      <c r="F399" s="170" t="s">
        <v>280</v>
      </c>
      <c r="G399" s="170"/>
      <c r="H399" s="170" t="s">
        <v>3276</v>
      </c>
      <c r="I399" s="170" t="s">
        <v>3277</v>
      </c>
      <c r="J399" s="170" t="s">
        <v>3277</v>
      </c>
      <c r="K399" s="170" t="s">
        <v>3278</v>
      </c>
      <c r="L399" s="170">
        <v>1</v>
      </c>
      <c r="M399" s="170" t="s">
        <v>3279</v>
      </c>
      <c r="N399" s="170" t="s">
        <v>3280</v>
      </c>
      <c r="O399" s="170" t="s">
        <v>3281</v>
      </c>
      <c r="P399" s="170" t="s">
        <v>1161</v>
      </c>
      <c r="Q399" s="170" t="s">
        <v>162</v>
      </c>
      <c r="R399" s="170">
        <v>0</v>
      </c>
      <c r="S399" s="170" t="s">
        <v>163</v>
      </c>
      <c r="T399" s="90">
        <v>45108</v>
      </c>
      <c r="U399" s="90">
        <v>46357</v>
      </c>
      <c r="V399" s="518"/>
      <c r="W399" s="170"/>
      <c r="X399" s="170"/>
      <c r="Y399" s="519"/>
      <c r="Z399" s="85"/>
      <c r="AA399" s="85"/>
      <c r="AB399" s="85"/>
      <c r="AC399" s="85"/>
      <c r="AD399" s="85"/>
      <c r="AE399" s="85"/>
      <c r="AF399" s="85"/>
      <c r="AG399" s="85"/>
      <c r="AH399" s="85"/>
      <c r="AI399" s="85"/>
      <c r="AJ399" s="85"/>
      <c r="AK399" s="157"/>
      <c r="AL399" s="157"/>
      <c r="AM399" s="157"/>
      <c r="AN399" s="157"/>
      <c r="AO399" s="157"/>
      <c r="AP399" s="170"/>
      <c r="AQ399" s="170"/>
      <c r="AR399" s="170"/>
      <c r="AS399" s="170"/>
      <c r="AT399" s="170"/>
      <c r="AU399" s="170"/>
      <c r="AV399" s="170"/>
      <c r="AW399" s="170"/>
      <c r="AX399" s="170"/>
      <c r="AY399" s="170"/>
      <c r="AZ399" s="692"/>
      <c r="BA399" s="170"/>
      <c r="BB399" s="170"/>
      <c r="BC399" s="170"/>
      <c r="BD399" s="170"/>
      <c r="BE399" s="170"/>
      <c r="BF399" s="170"/>
      <c r="BG399" s="170"/>
      <c r="BH399" s="170"/>
      <c r="BI399" s="170"/>
      <c r="BJ399" s="692"/>
      <c r="BK399" s="170"/>
      <c r="BL399" s="692"/>
      <c r="BM399" s="170"/>
      <c r="BN399" s="692"/>
      <c r="BO399" s="170"/>
      <c r="BP399" s="692"/>
      <c r="BQ399" s="170"/>
      <c r="BR399" s="170"/>
      <c r="BS399" s="170"/>
      <c r="BT399" s="170"/>
      <c r="BU399" s="170"/>
      <c r="BV399" s="170"/>
      <c r="BW399" s="170"/>
      <c r="BX399" s="170"/>
      <c r="BY399" s="170"/>
      <c r="BZ399" s="170"/>
      <c r="CA399" s="170"/>
      <c r="CB399" s="170"/>
      <c r="CC399" s="170"/>
      <c r="CD399" s="170"/>
      <c r="CE399" s="170"/>
      <c r="CF399" s="170"/>
      <c r="CG399" s="665"/>
      <c r="CH399" s="256"/>
      <c r="CI399" s="170"/>
      <c r="CJ399" s="83" t="str">
        <f t="shared" si="106"/>
        <v>No aplica</v>
      </c>
      <c r="CK399" s="83" t="str">
        <f t="shared" si="103"/>
        <v>No aplica</v>
      </c>
      <c r="CL399" s="83" t="str">
        <f t="shared" si="97"/>
        <v>No requiere reporte</v>
      </c>
      <c r="CM399" s="89" t="str">
        <f t="shared" si="98"/>
        <v>No requiere reporte</v>
      </c>
      <c r="CN399" s="89" t="str">
        <f t="shared" si="99"/>
        <v>No requiere reporte</v>
      </c>
      <c r="CO399" s="145" t="s">
        <v>3404</v>
      </c>
      <c r="CP399" s="693" t="s">
        <v>3405</v>
      </c>
      <c r="CQ399" s="693" t="s">
        <v>3401</v>
      </c>
      <c r="CR399" s="693" t="s">
        <v>3406</v>
      </c>
      <c r="CS399" s="693" t="s">
        <v>3407</v>
      </c>
      <c r="CT399" s="145" t="s">
        <v>200</v>
      </c>
      <c r="CU399" s="145" t="s">
        <v>233</v>
      </c>
      <c r="CV399" s="291">
        <v>0</v>
      </c>
      <c r="CW399" s="145" t="s">
        <v>163</v>
      </c>
      <c r="CX399" s="695">
        <v>46023</v>
      </c>
      <c r="CY399" s="695">
        <v>46387</v>
      </c>
      <c r="CZ399" s="725"/>
      <c r="DA399" s="157">
        <v>0.2</v>
      </c>
      <c r="DB399" s="157">
        <v>0.2</v>
      </c>
      <c r="DC399" s="157">
        <v>0.45</v>
      </c>
      <c r="DD399" s="157">
        <f>+DA399+DB399+DC399</f>
        <v>0.85000000000000009</v>
      </c>
      <c r="DE399" s="665" t="s">
        <v>2951</v>
      </c>
      <c r="DF399" s="665" t="s">
        <v>3294</v>
      </c>
      <c r="DG399" s="665" t="s">
        <v>3295</v>
      </c>
      <c r="DH399" s="696">
        <v>0</v>
      </c>
      <c r="DI399" s="665"/>
      <c r="DJ399" s="665"/>
      <c r="DK399" s="665"/>
      <c r="DL399" s="665" t="s">
        <v>279</v>
      </c>
      <c r="DM399" s="665" t="s">
        <v>3296</v>
      </c>
      <c r="DN399" s="665"/>
      <c r="DO399" s="716"/>
      <c r="DP399" s="665"/>
      <c r="DQ399" s="716"/>
      <c r="DR399" s="716"/>
      <c r="DS399" s="665"/>
      <c r="DT399" s="716"/>
      <c r="DU399" s="665"/>
      <c r="DV399" s="716"/>
      <c r="DW399" s="716"/>
      <c r="DX399" s="665"/>
      <c r="DY399" s="716"/>
      <c r="DZ399" s="665"/>
      <c r="EA399" s="716"/>
      <c r="EB399" s="716"/>
      <c r="EC399" s="665"/>
      <c r="ED399" s="665"/>
      <c r="EE399" s="665"/>
      <c r="EF399" s="665"/>
      <c r="EG399" s="665"/>
      <c r="EH399" s="666"/>
      <c r="EI399" s="170"/>
      <c r="EJ399" s="170"/>
      <c r="EK399" s="262"/>
      <c r="EL399" s="91" t="str">
        <f t="shared" si="100"/>
        <v>No aplica, no hay meta</v>
      </c>
      <c r="EM399" s="83" t="str">
        <f t="shared" si="101"/>
        <v>No se reportó avance</v>
      </c>
      <c r="EN399" s="697"/>
    </row>
    <row r="400" spans="1:144" ht="50.1" customHeight="1">
      <c r="A400" s="170" t="s">
        <v>4671</v>
      </c>
      <c r="B400" s="517" t="s">
        <v>3272</v>
      </c>
      <c r="C400" s="173" t="s">
        <v>3273</v>
      </c>
      <c r="D400" s="173" t="s">
        <v>3274</v>
      </c>
      <c r="E400" s="173" t="s">
        <v>3275</v>
      </c>
      <c r="F400" s="170" t="s">
        <v>280</v>
      </c>
      <c r="G400" s="170"/>
      <c r="H400" s="170" t="s">
        <v>3276</v>
      </c>
      <c r="I400" s="170" t="s">
        <v>3277</v>
      </c>
      <c r="J400" s="170" t="s">
        <v>3277</v>
      </c>
      <c r="K400" s="170" t="s">
        <v>3278</v>
      </c>
      <c r="L400" s="170">
        <v>1</v>
      </c>
      <c r="M400" s="170" t="s">
        <v>3279</v>
      </c>
      <c r="N400" s="170" t="s">
        <v>3280</v>
      </c>
      <c r="O400" s="170" t="s">
        <v>3281</v>
      </c>
      <c r="P400" s="170" t="s">
        <v>1161</v>
      </c>
      <c r="Q400" s="170" t="s">
        <v>162</v>
      </c>
      <c r="R400" s="170">
        <v>0</v>
      </c>
      <c r="S400" s="170" t="s">
        <v>163</v>
      </c>
      <c r="T400" s="90">
        <v>45108</v>
      </c>
      <c r="U400" s="90">
        <v>46357</v>
      </c>
      <c r="V400" s="518"/>
      <c r="W400" s="170"/>
      <c r="X400" s="170"/>
      <c r="Y400" s="519"/>
      <c r="Z400" s="85"/>
      <c r="AA400" s="85"/>
      <c r="AB400" s="85"/>
      <c r="AC400" s="85"/>
      <c r="AD400" s="85"/>
      <c r="AE400" s="85"/>
      <c r="AF400" s="85"/>
      <c r="AG400" s="85"/>
      <c r="AH400" s="85"/>
      <c r="AI400" s="85"/>
      <c r="AJ400" s="85"/>
      <c r="AK400" s="157"/>
      <c r="AL400" s="157"/>
      <c r="AM400" s="157"/>
      <c r="AN400" s="157"/>
      <c r="AO400" s="157"/>
      <c r="AP400" s="170"/>
      <c r="AQ400" s="170"/>
      <c r="AR400" s="170"/>
      <c r="AS400" s="170"/>
      <c r="AT400" s="170"/>
      <c r="AU400" s="170"/>
      <c r="AV400" s="170"/>
      <c r="AW400" s="170"/>
      <c r="AX400" s="170"/>
      <c r="AY400" s="170"/>
      <c r="AZ400" s="692"/>
      <c r="BA400" s="170"/>
      <c r="BB400" s="170"/>
      <c r="BC400" s="170"/>
      <c r="BD400" s="170"/>
      <c r="BE400" s="170"/>
      <c r="BF400" s="170"/>
      <c r="BG400" s="170"/>
      <c r="BH400" s="170"/>
      <c r="BI400" s="170"/>
      <c r="BJ400" s="692"/>
      <c r="BK400" s="170"/>
      <c r="BL400" s="692"/>
      <c r="BM400" s="170"/>
      <c r="BN400" s="692"/>
      <c r="BO400" s="170"/>
      <c r="BP400" s="692"/>
      <c r="BQ400" s="170"/>
      <c r="BR400" s="170"/>
      <c r="BS400" s="170"/>
      <c r="BT400" s="170"/>
      <c r="BU400" s="170"/>
      <c r="BV400" s="170"/>
      <c r="BW400" s="170"/>
      <c r="BX400" s="170"/>
      <c r="BY400" s="170"/>
      <c r="BZ400" s="170"/>
      <c r="CA400" s="170"/>
      <c r="CB400" s="170"/>
      <c r="CC400" s="170"/>
      <c r="CD400" s="170"/>
      <c r="CE400" s="170"/>
      <c r="CF400" s="170"/>
      <c r="CG400" s="665"/>
      <c r="CH400" s="256"/>
      <c r="CI400" s="170"/>
      <c r="CJ400" s="83" t="str">
        <f t="shared" si="106"/>
        <v>No aplica</v>
      </c>
      <c r="CK400" s="83" t="str">
        <f t="shared" si="103"/>
        <v>No aplica</v>
      </c>
      <c r="CL400" s="83" t="str">
        <f t="shared" si="97"/>
        <v>No requiere reporte</v>
      </c>
      <c r="CM400" s="89" t="str">
        <f t="shared" si="98"/>
        <v>No requiere reporte</v>
      </c>
      <c r="CN400" s="89" t="str">
        <f t="shared" si="99"/>
        <v>No requiere reporte</v>
      </c>
      <c r="CO400" s="145" t="s">
        <v>3408</v>
      </c>
      <c r="CP400" s="693" t="s">
        <v>3409</v>
      </c>
      <c r="CQ400" s="145" t="s">
        <v>3410</v>
      </c>
      <c r="CR400" s="693" t="s">
        <v>3411</v>
      </c>
      <c r="CS400" s="693" t="s">
        <v>3412</v>
      </c>
      <c r="CT400" s="145" t="s">
        <v>200</v>
      </c>
      <c r="CU400" s="714" t="s">
        <v>162</v>
      </c>
      <c r="CV400" s="291">
        <v>0</v>
      </c>
      <c r="CW400" s="145" t="s">
        <v>163</v>
      </c>
      <c r="CX400" s="695">
        <v>46023</v>
      </c>
      <c r="CY400" s="695">
        <v>46387</v>
      </c>
      <c r="CZ400" s="157"/>
      <c r="DA400" s="157"/>
      <c r="DB400" s="146">
        <v>1</v>
      </c>
      <c r="DC400" s="146">
        <v>1</v>
      </c>
      <c r="DD400" s="146">
        <v>1</v>
      </c>
      <c r="DE400" s="665" t="s">
        <v>2951</v>
      </c>
      <c r="DF400" s="665" t="s">
        <v>3294</v>
      </c>
      <c r="DG400" s="665" t="s">
        <v>3295</v>
      </c>
      <c r="DH400" s="696">
        <v>0</v>
      </c>
      <c r="DI400" s="665"/>
      <c r="DJ400" s="665"/>
      <c r="DK400" s="665"/>
      <c r="DL400" s="665" t="s">
        <v>279</v>
      </c>
      <c r="DM400" s="665" t="s">
        <v>3296</v>
      </c>
      <c r="DN400" s="218"/>
      <c r="DO400" s="716"/>
      <c r="DP400" s="665"/>
      <c r="DQ400" s="716"/>
      <c r="DR400" s="716"/>
      <c r="DS400" s="218"/>
      <c r="DT400" s="716"/>
      <c r="DU400" s="665"/>
      <c r="DV400" s="716"/>
      <c r="DW400" s="716"/>
      <c r="DX400" s="218"/>
      <c r="DY400" s="716"/>
      <c r="DZ400" s="665"/>
      <c r="EA400" s="716"/>
      <c r="EB400" s="716"/>
      <c r="EC400" s="665"/>
      <c r="ED400" s="665"/>
      <c r="EE400" s="665"/>
      <c r="EF400" s="665"/>
      <c r="EG400" s="665"/>
      <c r="EH400" s="666"/>
      <c r="EI400" s="170"/>
      <c r="EJ400" s="170"/>
      <c r="EK400" s="262"/>
      <c r="EL400" s="91" t="str">
        <f t="shared" si="100"/>
        <v>No aplica, no hay meta</v>
      </c>
      <c r="EM400" s="83" t="str">
        <f t="shared" si="101"/>
        <v>No se reportó avance</v>
      </c>
      <c r="EN400" s="697"/>
    </row>
    <row r="401" spans="1:144" ht="50.1" customHeight="1">
      <c r="A401" s="170" t="s">
        <v>4671</v>
      </c>
      <c r="B401" s="517" t="s">
        <v>3272</v>
      </c>
      <c r="C401" s="173" t="s">
        <v>3273</v>
      </c>
      <c r="D401" s="173" t="s">
        <v>3274</v>
      </c>
      <c r="E401" s="173" t="s">
        <v>3275</v>
      </c>
      <c r="F401" s="170" t="s">
        <v>280</v>
      </c>
      <c r="G401" s="170"/>
      <c r="H401" s="170" t="s">
        <v>3276</v>
      </c>
      <c r="I401" s="170" t="s">
        <v>3277</v>
      </c>
      <c r="J401" s="170" t="s">
        <v>3277</v>
      </c>
      <c r="K401" s="170" t="s">
        <v>3278</v>
      </c>
      <c r="L401" s="170">
        <v>1</v>
      </c>
      <c r="M401" s="170" t="s">
        <v>3279</v>
      </c>
      <c r="N401" s="170" t="s">
        <v>3280</v>
      </c>
      <c r="O401" s="170" t="s">
        <v>3281</v>
      </c>
      <c r="P401" s="170" t="s">
        <v>1161</v>
      </c>
      <c r="Q401" s="170" t="s">
        <v>162</v>
      </c>
      <c r="R401" s="170">
        <v>0</v>
      </c>
      <c r="S401" s="170" t="s">
        <v>163</v>
      </c>
      <c r="T401" s="90">
        <v>45108</v>
      </c>
      <c r="U401" s="90">
        <v>46357</v>
      </c>
      <c r="V401" s="518"/>
      <c r="W401" s="170"/>
      <c r="X401" s="170"/>
      <c r="Y401" s="519"/>
      <c r="Z401" s="85"/>
      <c r="AA401" s="85"/>
      <c r="AB401" s="85"/>
      <c r="AC401" s="85"/>
      <c r="AD401" s="85"/>
      <c r="AE401" s="85"/>
      <c r="AF401" s="85"/>
      <c r="AG401" s="85"/>
      <c r="AH401" s="85"/>
      <c r="AI401" s="85"/>
      <c r="AJ401" s="85"/>
      <c r="AK401" s="157"/>
      <c r="AL401" s="157"/>
      <c r="AM401" s="157"/>
      <c r="AN401" s="157"/>
      <c r="AO401" s="157"/>
      <c r="AP401" s="170"/>
      <c r="AQ401" s="170"/>
      <c r="AR401" s="170"/>
      <c r="AS401" s="170"/>
      <c r="AT401" s="170"/>
      <c r="AU401" s="170"/>
      <c r="AV401" s="170"/>
      <c r="AW401" s="170"/>
      <c r="AX401" s="170"/>
      <c r="AY401" s="170"/>
      <c r="AZ401" s="692"/>
      <c r="BA401" s="170"/>
      <c r="BB401" s="170"/>
      <c r="BC401" s="170"/>
      <c r="BD401" s="170"/>
      <c r="BE401" s="170"/>
      <c r="BF401" s="170"/>
      <c r="BG401" s="170"/>
      <c r="BH401" s="170"/>
      <c r="BI401" s="170"/>
      <c r="BJ401" s="692"/>
      <c r="BK401" s="170"/>
      <c r="BL401" s="692"/>
      <c r="BM401" s="170"/>
      <c r="BN401" s="692"/>
      <c r="BO401" s="170"/>
      <c r="BP401" s="692"/>
      <c r="BQ401" s="170"/>
      <c r="BR401" s="170"/>
      <c r="BS401" s="170"/>
      <c r="BT401" s="170"/>
      <c r="BU401" s="170"/>
      <c r="BV401" s="170"/>
      <c r="BW401" s="170"/>
      <c r="BX401" s="170"/>
      <c r="BY401" s="170"/>
      <c r="BZ401" s="170"/>
      <c r="CA401" s="170"/>
      <c r="CB401" s="170"/>
      <c r="CC401" s="170"/>
      <c r="CD401" s="170"/>
      <c r="CE401" s="170"/>
      <c r="CF401" s="170"/>
      <c r="CG401" s="665"/>
      <c r="CH401" s="256"/>
      <c r="CI401" s="170"/>
      <c r="CJ401" s="83" t="str">
        <f t="shared" si="106"/>
        <v>No aplica</v>
      </c>
      <c r="CK401" s="83" t="str">
        <f t="shared" si="103"/>
        <v>No aplica</v>
      </c>
      <c r="CL401" s="83" t="str">
        <f t="shared" ref="CL401:CL464" si="107">+IFERROR(IF(M401=M400,"No requiere reporte",IF(OR(AK401=0,AK401=""),"No aplica, no hay meta",IF(AK401="NA","No aplica, no hay meta",IF(BU401="","No se reportó avance",IF(OR(AND(Q401="Capacidad",OR(R401="",R401=0,R401="NA")),AND(Q401="Reducción",OR(R401="",R401=0,R401="NA"))),"Se requiere valor de línea base para este tipo de acumulación",IF(OR(AND(Q401="Flujo",OR(R401&lt;&gt;"",R401&lt;&gt;0,R401&lt;&gt;"NA"),BU401="NA"),AND(Q401="Stock",OR(R401&lt;&gt;"",R401&lt;&gt;0,R401&lt;&gt;"NA"),BU401="NA")),"No aplica",IF(Q401="Flujo",IF(BU401/AK401&gt;1,1.00001,BU401/AK401),IF(Q401="Stock",IF(BU401/AK401&gt;1,1.00001,BU401/AK401),IF(Q401="Acumulado",IF((BU401)/AK401&gt;1,1.00001,(BU401)/AK401),IF(Q401="Capacidad",IF(((BU401-R401)/(AK401-R401))&gt;1,1.00001,((BU401-R401)/(AK401-R401))),IF(Q401="Reducción",IF(((R401-BU401)/(R401-BU401))&gt;1,1.00001,((R401-BU401)/(R401-BU401))),"Revisar acumulación"))))))))))),"Revisar fórmula")</f>
        <v>No requiere reporte</v>
      </c>
      <c r="CM401" s="89" t="str">
        <f t="shared" ref="CM401:CM464" si="108">+IFERROR(IF(M401=M400,"No requiere reporte",IF(OR(AO401=0,AO401=""),"No aplica, no hay meta",IF(AO401="NA","No aplica, no hay meta",IF(CC401="","No se reportó avance",IF(OR(AND(Q401="Capacidad",OR(R401="",R401=0,R401="NA")),AND(Q401="Reducción",OR(R401="",R401=0,R401="NA"))),"Se requiere valor de línea base para este tipo de acumulación",IF(OR(AND(Q401="Flujo",OR(R401&lt;&gt;"",R401&lt;&gt;0,R401&lt;&gt;"NA"),CC401="NA"),AND(Q401="Stock",OR(R401&lt;&gt;"",R401&lt;&gt;0,R401&lt;&gt;"NA"),CC401="NA")),"No aplica",IF(Q401="Flujo",IF(CC401/AO401&gt;1,1.00001,CC401/AO401),IF(Q401="Stock",IF(CC401/AO401&gt;1,1.00001,CC401/AO401),IF(Q401="Acumulado",IF((CC401)/AO401&gt;1,1.00001,(CC401)/AO401),IF(Q401="Capacidad",IF(((CC401-R401)/(AO401-R401))&gt;1,1.00001,((CC401-R401)/(AO401-R401))),IF(Q401="Reducción",IF(((R401-CC401)/(R401-CC401))&gt;1,1.00001,((R401-CC401)/(R401-CC401))),"Revisar acumulación"))))))))))),"Revisar fórmula")</f>
        <v>No requiere reporte</v>
      </c>
      <c r="CN401" s="89" t="str">
        <f t="shared" ref="CN401:CN464" si="109">+IFERROR(IF(M401=M400,"No requiere reporte",IF(OR(AP401=0,AP401=""),"No aplica, no hay meta",IF(AP401="NA","No aplica, no hay meta",IF(CE401="","No se reportó avance",IF(OR(AND(Q401="Capacidad",OR(R401="",R401=0,R401="NA")),AND(Q401="Reducción",OR(R401="",R401=0,R401="NA"))),"Se requiere valor de línea base para este tipo de acumulación",IF(OR(AND(Q401="Flujo",OR(R401&lt;&gt;"",R401&lt;&gt;0,R401&lt;&gt;"NA"),CE401="NA"),AND(Q401="Stock",OR(R401&lt;&gt;"",R401&lt;&gt;0,R401&lt;&gt;"NA"),CE401="NA")),"No aplica",IF(Q401="Flujo",IF(CE401/AP401&gt;1,1.00001,CE401/AP401),IF(Q401="Stock",IF(CE401/AP401&gt;1,1.00001,CE401/AP401),IF(Q401="Acumulado",IF((CE401)/AP401&gt;1,1.00001,(CE401)/AP401),IF(Q401="Capacidad",IF(((CE401-R401)/(AP401-R401))&gt;1,1.00001,((CE401-R401)/(AP401-R401))),IF(Q401="Reducción",IF(((R401-CE401)/(R401-CE401))&gt;1,1.00001,((R401-CE401)/(R401-CE401))),"Revisar acumulación"))))))))))),"Revisar fórmula")</f>
        <v>No requiere reporte</v>
      </c>
      <c r="CO401" s="145" t="s">
        <v>3413</v>
      </c>
      <c r="CP401" s="693" t="s">
        <v>3414</v>
      </c>
      <c r="CQ401" s="145" t="s">
        <v>3415</v>
      </c>
      <c r="CR401" s="693" t="s">
        <v>3416</v>
      </c>
      <c r="CS401" s="693" t="s">
        <v>3417</v>
      </c>
      <c r="CT401" s="145" t="s">
        <v>200</v>
      </c>
      <c r="CU401" s="145" t="s">
        <v>233</v>
      </c>
      <c r="CV401" s="291">
        <v>0</v>
      </c>
      <c r="CW401" s="145" t="s">
        <v>163</v>
      </c>
      <c r="CX401" s="695">
        <v>46023</v>
      </c>
      <c r="CY401" s="695">
        <v>46387</v>
      </c>
      <c r="CZ401" s="157"/>
      <c r="DA401" s="157">
        <f>20%</f>
        <v>0.2</v>
      </c>
      <c r="DB401" s="157">
        <v>0.2</v>
      </c>
      <c r="DC401" s="157">
        <v>0.2</v>
      </c>
      <c r="DD401" s="157">
        <f>+CZ401+DA401+DB401+DC401</f>
        <v>0.60000000000000009</v>
      </c>
      <c r="DE401" s="665" t="s">
        <v>2951</v>
      </c>
      <c r="DF401" s="665" t="s">
        <v>3294</v>
      </c>
      <c r="DG401" s="665" t="s">
        <v>3295</v>
      </c>
      <c r="DH401" s="696">
        <v>0</v>
      </c>
      <c r="DI401" s="665"/>
      <c r="DJ401" s="665"/>
      <c r="DK401" s="665"/>
      <c r="DL401" s="665" t="s">
        <v>279</v>
      </c>
      <c r="DM401" s="665" t="s">
        <v>3296</v>
      </c>
      <c r="DN401" s="665"/>
      <c r="DO401" s="716"/>
      <c r="DP401" s="665"/>
      <c r="DQ401" s="716"/>
      <c r="DR401" s="716"/>
      <c r="DS401" s="665"/>
      <c r="DT401" s="716"/>
      <c r="DU401" s="665"/>
      <c r="DV401" s="716"/>
      <c r="DW401" s="716"/>
      <c r="DX401" s="665"/>
      <c r="DY401" s="716"/>
      <c r="DZ401" s="665"/>
      <c r="EA401" s="716"/>
      <c r="EB401" s="716"/>
      <c r="EC401" s="665"/>
      <c r="ED401" s="665"/>
      <c r="EE401" s="665"/>
      <c r="EF401" s="665"/>
      <c r="EG401" s="665"/>
      <c r="EH401" s="666"/>
      <c r="EI401" s="170"/>
      <c r="EJ401" s="170"/>
      <c r="EK401" s="262"/>
      <c r="EL401" s="91" t="str">
        <f t="shared" ref="EL401:EL464" si="110">+IFERROR(IF(CP401=CP400,"No requiere reporte",IF(OR(CZ401=0,CZ401=""),"No aplica, no hay meta",IF(CZ401="NA","No aplica, no hay meta",IF(DN401="","No se reportó avance",IF(OR(AND(CU401="Capacidad",OR(CV401="",CV401=0,CV401="NA")),AND(CU401="Reducción",OR(CV401="",CV401=0,CV401="NA"))),"Se requiere valor de línea base para este tipo de acumulación",IF(OR(AND(CU401="Flujo",OR(CV401&lt;&gt;"",CV401&lt;&gt;0,CV401&lt;&gt;"NA"),DN401="NA"),AND(CU401="Stock",OR(CV401&lt;&gt;"",CV401&lt;&gt;0,CV401&lt;&gt;"NA"),DN401="NA")),"No aplica",IF(CU401="Flujo",IF(DN401/CZ401&gt;1,1.00001,DN401/CZ401),IF(CU401="Stock",IF(DN401/CZ401&gt;1,1.00001,DN401/CZ401),IF(CU401="Acumulado",IF((DN401)/CZ401&gt;1,1.00001,(DN401)/CZ401),IF(CU401="Capacidad",IF(((DN401-CV401)/(CZ401-CV401))&gt;1,1.00001,((DN401-CV401)/(CZ401-CV401))),IF(CU401="Reducción",IF(((CV401-DN401)/(CV401-DN401))&gt;1,1.00001,((CV401-DN401)/(CV401-DN401))),"Revisar acumulación"))))))))))),"Revisar fórmula")</f>
        <v>No aplica, no hay meta</v>
      </c>
      <c r="EM401" s="83" t="str">
        <f t="shared" ref="EM401:EM464" si="111">+IFERROR(IF(CP401=CP400,"No requiere reporte",IF(OR(DD401=0,DD401=""),"No aplica, no hay meta",IF(DD401="NA","No aplica, no hay meta",IF(EH401="","No se reportó avance",IF(OR(AND(CU401="Capacidad",OR(CV401="",CV401=0,CV401="NA")),AND(CU401="Reducción",OR(CV401="",CV401=0,CV401="NA"))),"Se requiere valor de línea base para este tipo de acumulación",IF(OR(AND(CU401="Flujo",OR(CV401&lt;&gt;"",CV401&lt;&gt;0,CV401&lt;&gt;"NA"),EH401="NA"),AND(CU401="Stock",OR(CV401&lt;&gt;"",CV401&lt;&gt;0,CV401&lt;&gt;"NA"),CV401="NA")),"No aplica",IF(CU401="Flujo",IF(EH401/DD401&gt;1,1.00001,EH401/DD401),IF(CU401="Stock",IF(EH401/DD401&gt;1,1.00001,EH401/DD401),IF(CU401="Acumulado",IF((EH401)/DD401&gt;1,1.00001,(EH401)/DD401),IF(CU401="Capacidad",IF(((EH401-CV401)/(DD401-CV401))&gt;1,1.00001,((EH401-CV401)/(DD401-CV401))),IF(CU401="Reducción",IF(((CV401-EH401)/(CV401-DD401))&gt;1,1.00001,((CV401-EH401)/(CV401-DD401))),"Revisar acumulación"))))))))))),"Revisar fórmula")</f>
        <v>No se reportó avance</v>
      </c>
      <c r="EN401" s="697"/>
    </row>
    <row r="402" spans="1:144" ht="50.1" customHeight="1">
      <c r="A402" s="170" t="s">
        <v>4671</v>
      </c>
      <c r="B402" s="517" t="s">
        <v>3272</v>
      </c>
      <c r="C402" s="173" t="s">
        <v>3273</v>
      </c>
      <c r="D402" s="173" t="s">
        <v>3274</v>
      </c>
      <c r="E402" s="173" t="s">
        <v>3275</v>
      </c>
      <c r="F402" s="170" t="s">
        <v>280</v>
      </c>
      <c r="G402" s="170"/>
      <c r="H402" s="170" t="s">
        <v>3276</v>
      </c>
      <c r="I402" s="170" t="s">
        <v>3277</v>
      </c>
      <c r="J402" s="170" t="s">
        <v>3277</v>
      </c>
      <c r="K402" s="170" t="s">
        <v>3278</v>
      </c>
      <c r="L402" s="170">
        <v>1</v>
      </c>
      <c r="M402" s="170" t="s">
        <v>3279</v>
      </c>
      <c r="N402" s="170" t="s">
        <v>3280</v>
      </c>
      <c r="O402" s="170" t="s">
        <v>3281</v>
      </c>
      <c r="P402" s="170" t="s">
        <v>1161</v>
      </c>
      <c r="Q402" s="170" t="s">
        <v>162</v>
      </c>
      <c r="R402" s="170">
        <v>0</v>
      </c>
      <c r="S402" s="170" t="s">
        <v>163</v>
      </c>
      <c r="T402" s="90">
        <v>45108</v>
      </c>
      <c r="U402" s="90">
        <v>46357</v>
      </c>
      <c r="V402" s="518"/>
      <c r="W402" s="170"/>
      <c r="X402" s="170"/>
      <c r="Y402" s="519"/>
      <c r="Z402" s="85"/>
      <c r="AA402" s="85"/>
      <c r="AB402" s="85"/>
      <c r="AC402" s="85"/>
      <c r="AD402" s="85"/>
      <c r="AE402" s="85"/>
      <c r="AF402" s="85"/>
      <c r="AG402" s="85"/>
      <c r="AH402" s="85"/>
      <c r="AI402" s="85"/>
      <c r="AJ402" s="85"/>
      <c r="AK402" s="157"/>
      <c r="AL402" s="157"/>
      <c r="AM402" s="157"/>
      <c r="AN402" s="157"/>
      <c r="AO402" s="157"/>
      <c r="AP402" s="170"/>
      <c r="AQ402" s="170"/>
      <c r="AR402" s="170"/>
      <c r="AS402" s="170"/>
      <c r="AT402" s="170"/>
      <c r="AU402" s="170"/>
      <c r="AV402" s="170"/>
      <c r="AW402" s="170"/>
      <c r="AX402" s="170"/>
      <c r="AY402" s="170"/>
      <c r="AZ402" s="692"/>
      <c r="BA402" s="170"/>
      <c r="BB402" s="170"/>
      <c r="BC402" s="170"/>
      <c r="BD402" s="170"/>
      <c r="BE402" s="170"/>
      <c r="BF402" s="170"/>
      <c r="BG402" s="170"/>
      <c r="BH402" s="170"/>
      <c r="BI402" s="170"/>
      <c r="BJ402" s="692"/>
      <c r="BK402" s="170"/>
      <c r="BL402" s="692"/>
      <c r="BM402" s="170"/>
      <c r="BN402" s="692"/>
      <c r="BO402" s="170"/>
      <c r="BP402" s="692"/>
      <c r="BQ402" s="170"/>
      <c r="BR402" s="170"/>
      <c r="BS402" s="170"/>
      <c r="BT402" s="170"/>
      <c r="BU402" s="170"/>
      <c r="BV402" s="170"/>
      <c r="BW402" s="170"/>
      <c r="BX402" s="170"/>
      <c r="BY402" s="170"/>
      <c r="BZ402" s="170"/>
      <c r="CA402" s="170"/>
      <c r="CB402" s="170"/>
      <c r="CC402" s="170"/>
      <c r="CD402" s="170"/>
      <c r="CE402" s="170"/>
      <c r="CF402" s="170"/>
      <c r="CG402" s="665"/>
      <c r="CH402" s="256"/>
      <c r="CI402" s="170"/>
      <c r="CJ402" s="83" t="str">
        <f t="shared" si="106"/>
        <v>No aplica</v>
      </c>
      <c r="CK402" s="83" t="str">
        <f t="shared" ref="CK402:CK465" si="112">+IFERROR(CI402/CG402,"No aplica")</f>
        <v>No aplica</v>
      </c>
      <c r="CL402" s="83" t="str">
        <f t="shared" si="107"/>
        <v>No requiere reporte</v>
      </c>
      <c r="CM402" s="89" t="str">
        <f t="shared" si="108"/>
        <v>No requiere reporte</v>
      </c>
      <c r="CN402" s="89" t="str">
        <f t="shared" si="109"/>
        <v>No requiere reporte</v>
      </c>
      <c r="CO402" s="145" t="s">
        <v>3418</v>
      </c>
      <c r="CP402" s="693" t="s">
        <v>3419</v>
      </c>
      <c r="CQ402" s="145" t="s">
        <v>3420</v>
      </c>
      <c r="CR402" s="693" t="s">
        <v>3421</v>
      </c>
      <c r="CS402" s="693" t="s">
        <v>3422</v>
      </c>
      <c r="CT402" s="145" t="s">
        <v>200</v>
      </c>
      <c r="CU402" s="714" t="s">
        <v>162</v>
      </c>
      <c r="CV402" s="291">
        <v>0</v>
      </c>
      <c r="CW402" s="145" t="s">
        <v>163</v>
      </c>
      <c r="CX402" s="695">
        <v>46023</v>
      </c>
      <c r="CY402" s="695">
        <v>46387</v>
      </c>
      <c r="CZ402" s="157"/>
      <c r="DA402" s="146">
        <v>1</v>
      </c>
      <c r="DB402" s="146">
        <v>1</v>
      </c>
      <c r="DC402" s="146">
        <v>1</v>
      </c>
      <c r="DD402" s="146">
        <v>1</v>
      </c>
      <c r="DE402" s="686" t="s">
        <v>396</v>
      </c>
      <c r="DF402" s="686" t="s">
        <v>3337</v>
      </c>
      <c r="DG402" s="686" t="s">
        <v>3338</v>
      </c>
      <c r="DH402" s="696">
        <v>200000000</v>
      </c>
      <c r="DI402" s="665"/>
      <c r="DJ402" s="665"/>
      <c r="DK402" s="665"/>
      <c r="DL402" s="665" t="s">
        <v>279</v>
      </c>
      <c r="DM402" s="665" t="s">
        <v>3296</v>
      </c>
      <c r="DN402" s="218"/>
      <c r="DO402" s="716"/>
      <c r="DP402" s="665"/>
      <c r="DQ402" s="716"/>
      <c r="DR402" s="716"/>
      <c r="DS402" s="727"/>
      <c r="DT402" s="716"/>
      <c r="DU402" s="720"/>
      <c r="DV402" s="718"/>
      <c r="DW402" s="718"/>
      <c r="DX402" s="727"/>
      <c r="DY402" s="716"/>
      <c r="DZ402" s="720"/>
      <c r="EA402" s="718"/>
      <c r="EB402" s="718"/>
      <c r="EC402" s="665"/>
      <c r="ED402" s="665"/>
      <c r="EE402" s="665"/>
      <c r="EF402" s="665"/>
      <c r="EG402" s="665"/>
      <c r="EH402" s="146"/>
      <c r="EI402" s="170"/>
      <c r="EJ402" s="170"/>
      <c r="EK402" s="262"/>
      <c r="EL402" s="91" t="str">
        <f t="shared" si="110"/>
        <v>No aplica, no hay meta</v>
      </c>
      <c r="EM402" s="83" t="str">
        <f t="shared" si="111"/>
        <v>No se reportó avance</v>
      </c>
      <c r="EN402" s="697"/>
    </row>
    <row r="403" spans="1:144" ht="50.1" customHeight="1">
      <c r="A403" s="170" t="s">
        <v>4671</v>
      </c>
      <c r="B403" s="517" t="s">
        <v>3272</v>
      </c>
      <c r="C403" s="173" t="s">
        <v>3273</v>
      </c>
      <c r="D403" s="173" t="s">
        <v>3274</v>
      </c>
      <c r="E403" s="173" t="s">
        <v>3275</v>
      </c>
      <c r="F403" s="170" t="s">
        <v>280</v>
      </c>
      <c r="G403" s="170"/>
      <c r="H403" s="170" t="s">
        <v>3276</v>
      </c>
      <c r="I403" s="170" t="s">
        <v>3277</v>
      </c>
      <c r="J403" s="170" t="s">
        <v>3277</v>
      </c>
      <c r="K403" s="170" t="s">
        <v>3278</v>
      </c>
      <c r="L403" s="170">
        <v>1</v>
      </c>
      <c r="M403" s="170" t="s">
        <v>3279</v>
      </c>
      <c r="N403" s="170" t="s">
        <v>3280</v>
      </c>
      <c r="O403" s="170" t="s">
        <v>3281</v>
      </c>
      <c r="P403" s="170" t="s">
        <v>1161</v>
      </c>
      <c r="Q403" s="170" t="s">
        <v>162</v>
      </c>
      <c r="R403" s="170">
        <v>0</v>
      </c>
      <c r="S403" s="170" t="s">
        <v>163</v>
      </c>
      <c r="T403" s="90">
        <v>45108</v>
      </c>
      <c r="U403" s="90">
        <v>46357</v>
      </c>
      <c r="V403" s="518"/>
      <c r="W403" s="170"/>
      <c r="X403" s="170"/>
      <c r="Y403" s="519"/>
      <c r="Z403" s="85"/>
      <c r="AA403" s="85"/>
      <c r="AB403" s="85"/>
      <c r="AC403" s="85"/>
      <c r="AD403" s="85"/>
      <c r="AE403" s="85"/>
      <c r="AF403" s="85"/>
      <c r="AG403" s="85"/>
      <c r="AH403" s="85"/>
      <c r="AI403" s="85"/>
      <c r="AJ403" s="85"/>
      <c r="AK403" s="157"/>
      <c r="AL403" s="157"/>
      <c r="AM403" s="157"/>
      <c r="AN403" s="157"/>
      <c r="AO403" s="157"/>
      <c r="AP403" s="170"/>
      <c r="AQ403" s="170"/>
      <c r="AR403" s="170"/>
      <c r="AS403" s="170"/>
      <c r="AT403" s="170"/>
      <c r="AU403" s="170"/>
      <c r="AV403" s="170"/>
      <c r="AW403" s="170"/>
      <c r="AX403" s="170"/>
      <c r="AY403" s="170"/>
      <c r="AZ403" s="692"/>
      <c r="BA403" s="170"/>
      <c r="BB403" s="170"/>
      <c r="BC403" s="170"/>
      <c r="BD403" s="170"/>
      <c r="BE403" s="170"/>
      <c r="BF403" s="170"/>
      <c r="BG403" s="170"/>
      <c r="BH403" s="170"/>
      <c r="BI403" s="170"/>
      <c r="BJ403" s="692"/>
      <c r="BK403" s="170"/>
      <c r="BL403" s="692"/>
      <c r="BM403" s="170"/>
      <c r="BN403" s="692"/>
      <c r="BO403" s="170"/>
      <c r="BP403" s="692"/>
      <c r="BQ403" s="170"/>
      <c r="BR403" s="170"/>
      <c r="BS403" s="170"/>
      <c r="BT403" s="170"/>
      <c r="BU403" s="170"/>
      <c r="BV403" s="170"/>
      <c r="BW403" s="170"/>
      <c r="BX403" s="170"/>
      <c r="BY403" s="170"/>
      <c r="BZ403" s="170"/>
      <c r="CA403" s="170"/>
      <c r="CB403" s="170"/>
      <c r="CC403" s="170"/>
      <c r="CD403" s="170"/>
      <c r="CE403" s="170"/>
      <c r="CF403" s="170"/>
      <c r="CG403" s="665"/>
      <c r="CH403" s="256"/>
      <c r="CI403" s="170"/>
      <c r="CJ403" s="83" t="str">
        <f t="shared" si="106"/>
        <v>No aplica</v>
      </c>
      <c r="CK403" s="83" t="str">
        <f t="shared" si="112"/>
        <v>No aplica</v>
      </c>
      <c r="CL403" s="83" t="str">
        <f t="shared" si="107"/>
        <v>No requiere reporte</v>
      </c>
      <c r="CM403" s="89" t="str">
        <f t="shared" si="108"/>
        <v>No requiere reporte</v>
      </c>
      <c r="CN403" s="89" t="str">
        <f t="shared" si="109"/>
        <v>No requiere reporte</v>
      </c>
      <c r="CO403" s="145" t="s">
        <v>3423</v>
      </c>
      <c r="CP403" s="693" t="s">
        <v>3424</v>
      </c>
      <c r="CQ403" s="145" t="s">
        <v>3410</v>
      </c>
      <c r="CR403" s="693" t="s">
        <v>3425</v>
      </c>
      <c r="CS403" s="693" t="s">
        <v>3426</v>
      </c>
      <c r="CT403" s="145" t="s">
        <v>200</v>
      </c>
      <c r="CU403" s="714" t="s">
        <v>162</v>
      </c>
      <c r="CV403" s="291">
        <v>0</v>
      </c>
      <c r="CW403" s="145" t="s">
        <v>163</v>
      </c>
      <c r="CX403" s="695">
        <v>46023</v>
      </c>
      <c r="CY403" s="695">
        <v>46387</v>
      </c>
      <c r="CZ403" s="146">
        <v>1</v>
      </c>
      <c r="DA403" s="146">
        <v>1</v>
      </c>
      <c r="DB403" s="146">
        <v>1</v>
      </c>
      <c r="DC403" s="146">
        <v>1</v>
      </c>
      <c r="DD403" s="146">
        <v>1</v>
      </c>
      <c r="DE403" s="686" t="s">
        <v>2951</v>
      </c>
      <c r="DF403" s="686" t="s">
        <v>3294</v>
      </c>
      <c r="DG403" s="686" t="s">
        <v>3295</v>
      </c>
      <c r="DH403" s="696">
        <v>0</v>
      </c>
      <c r="DI403" s="665"/>
      <c r="DJ403" s="665"/>
      <c r="DK403" s="665"/>
      <c r="DL403" s="665" t="s">
        <v>279</v>
      </c>
      <c r="DM403" s="665" t="s">
        <v>3296</v>
      </c>
      <c r="DN403" s="218"/>
      <c r="DO403" s="716"/>
      <c r="DP403" s="665"/>
      <c r="DQ403" s="716"/>
      <c r="DR403" s="716"/>
      <c r="DS403" s="218"/>
      <c r="DT403" s="716"/>
      <c r="DU403" s="665"/>
      <c r="DV403" s="716"/>
      <c r="DW403" s="716"/>
      <c r="DX403" s="218"/>
      <c r="DY403" s="716"/>
      <c r="DZ403" s="665"/>
      <c r="EA403" s="716"/>
      <c r="EB403" s="716"/>
      <c r="EC403" s="665"/>
      <c r="ED403" s="665"/>
      <c r="EE403" s="665"/>
      <c r="EF403" s="665"/>
      <c r="EG403" s="665"/>
      <c r="EH403" s="146"/>
      <c r="EI403" s="170"/>
      <c r="EJ403" s="170"/>
      <c r="EK403" s="262"/>
      <c r="EL403" s="91" t="str">
        <f t="shared" si="110"/>
        <v>No se reportó avance</v>
      </c>
      <c r="EM403" s="83" t="str">
        <f t="shared" si="111"/>
        <v>No se reportó avance</v>
      </c>
      <c r="EN403" s="697"/>
    </row>
    <row r="404" spans="1:144" ht="50.1" customHeight="1">
      <c r="A404" s="170" t="s">
        <v>4671</v>
      </c>
      <c r="B404" s="517" t="s">
        <v>3272</v>
      </c>
      <c r="C404" s="173" t="s">
        <v>3273</v>
      </c>
      <c r="D404" s="173" t="s">
        <v>3274</v>
      </c>
      <c r="E404" s="173" t="s">
        <v>3275</v>
      </c>
      <c r="F404" s="170" t="s">
        <v>280</v>
      </c>
      <c r="G404" s="170"/>
      <c r="H404" s="170" t="s">
        <v>3276</v>
      </c>
      <c r="I404" s="170" t="s">
        <v>3277</v>
      </c>
      <c r="J404" s="170" t="s">
        <v>3277</v>
      </c>
      <c r="K404" s="170" t="s">
        <v>3278</v>
      </c>
      <c r="L404" s="170">
        <v>1</v>
      </c>
      <c r="M404" s="170" t="s">
        <v>3279</v>
      </c>
      <c r="N404" s="170" t="s">
        <v>3280</v>
      </c>
      <c r="O404" s="170" t="s">
        <v>3281</v>
      </c>
      <c r="P404" s="170" t="s">
        <v>1161</v>
      </c>
      <c r="Q404" s="170" t="s">
        <v>162</v>
      </c>
      <c r="R404" s="170">
        <v>0</v>
      </c>
      <c r="S404" s="170" t="s">
        <v>163</v>
      </c>
      <c r="T404" s="90">
        <v>45108</v>
      </c>
      <c r="U404" s="90">
        <v>46357</v>
      </c>
      <c r="V404" s="518"/>
      <c r="W404" s="170"/>
      <c r="X404" s="170"/>
      <c r="Y404" s="519"/>
      <c r="Z404" s="85"/>
      <c r="AA404" s="85"/>
      <c r="AB404" s="85"/>
      <c r="AC404" s="85"/>
      <c r="AD404" s="85"/>
      <c r="AE404" s="85"/>
      <c r="AF404" s="85"/>
      <c r="AG404" s="85"/>
      <c r="AH404" s="85"/>
      <c r="AI404" s="85"/>
      <c r="AJ404" s="85"/>
      <c r="AK404" s="157"/>
      <c r="AL404" s="157"/>
      <c r="AM404" s="157"/>
      <c r="AN404" s="157"/>
      <c r="AO404" s="157"/>
      <c r="AP404" s="170"/>
      <c r="AQ404" s="170"/>
      <c r="AR404" s="170"/>
      <c r="AS404" s="170"/>
      <c r="AT404" s="170"/>
      <c r="AU404" s="170"/>
      <c r="AV404" s="170"/>
      <c r="AW404" s="170"/>
      <c r="AX404" s="170"/>
      <c r="AY404" s="170"/>
      <c r="AZ404" s="692"/>
      <c r="BA404" s="170"/>
      <c r="BB404" s="170"/>
      <c r="BC404" s="170"/>
      <c r="BD404" s="170"/>
      <c r="BE404" s="170"/>
      <c r="BF404" s="170"/>
      <c r="BG404" s="170"/>
      <c r="BH404" s="170"/>
      <c r="BI404" s="170"/>
      <c r="BJ404" s="692"/>
      <c r="BK404" s="170"/>
      <c r="BL404" s="692"/>
      <c r="BM404" s="170"/>
      <c r="BN404" s="692"/>
      <c r="BO404" s="170"/>
      <c r="BP404" s="692"/>
      <c r="BQ404" s="170"/>
      <c r="BR404" s="170"/>
      <c r="BS404" s="170"/>
      <c r="BT404" s="170"/>
      <c r="BU404" s="170"/>
      <c r="BV404" s="170"/>
      <c r="BW404" s="170"/>
      <c r="BX404" s="170"/>
      <c r="BY404" s="170"/>
      <c r="BZ404" s="170"/>
      <c r="CA404" s="170"/>
      <c r="CB404" s="170"/>
      <c r="CC404" s="170"/>
      <c r="CD404" s="170"/>
      <c r="CE404" s="170"/>
      <c r="CF404" s="170"/>
      <c r="CG404" s="665"/>
      <c r="CH404" s="256"/>
      <c r="CI404" s="170"/>
      <c r="CJ404" s="83" t="str">
        <f t="shared" si="106"/>
        <v>No aplica</v>
      </c>
      <c r="CK404" s="83" t="str">
        <f t="shared" si="112"/>
        <v>No aplica</v>
      </c>
      <c r="CL404" s="83" t="str">
        <f t="shared" si="107"/>
        <v>No requiere reporte</v>
      </c>
      <c r="CM404" s="89" t="str">
        <f t="shared" si="108"/>
        <v>No requiere reporte</v>
      </c>
      <c r="CN404" s="89" t="str">
        <f t="shared" si="109"/>
        <v>No requiere reporte</v>
      </c>
      <c r="CO404" s="145" t="s">
        <v>3427</v>
      </c>
      <c r="CP404" s="693" t="s">
        <v>3428</v>
      </c>
      <c r="CQ404" s="693" t="s">
        <v>3429</v>
      </c>
      <c r="CR404" s="693" t="s">
        <v>3430</v>
      </c>
      <c r="CS404" s="693" t="s">
        <v>3431</v>
      </c>
      <c r="CT404" s="145" t="s">
        <v>161</v>
      </c>
      <c r="CU404" s="145" t="s">
        <v>275</v>
      </c>
      <c r="CV404" s="291">
        <v>0</v>
      </c>
      <c r="CW404" s="145" t="s">
        <v>163</v>
      </c>
      <c r="CX404" s="695">
        <v>46023</v>
      </c>
      <c r="CY404" s="695">
        <v>46387</v>
      </c>
      <c r="CZ404" s="157"/>
      <c r="DA404" s="157">
        <v>0.75</v>
      </c>
      <c r="DB404" s="157">
        <v>0.75</v>
      </c>
      <c r="DC404" s="146">
        <v>1</v>
      </c>
      <c r="DD404" s="146">
        <v>1</v>
      </c>
      <c r="DE404" s="686" t="s">
        <v>2951</v>
      </c>
      <c r="DF404" s="686" t="s">
        <v>3294</v>
      </c>
      <c r="DG404" s="686" t="s">
        <v>3295</v>
      </c>
      <c r="DH404" s="696">
        <v>0</v>
      </c>
      <c r="DI404" s="665"/>
      <c r="DJ404" s="665"/>
      <c r="DK404" s="665"/>
      <c r="DL404" s="665" t="s">
        <v>279</v>
      </c>
      <c r="DM404" s="665" t="s">
        <v>3296</v>
      </c>
      <c r="DN404" s="665"/>
      <c r="DO404" s="716"/>
      <c r="DP404" s="665"/>
      <c r="DQ404" s="716"/>
      <c r="DR404" s="716"/>
      <c r="DS404" s="665"/>
      <c r="DT404" s="716"/>
      <c r="DU404" s="665"/>
      <c r="DV404" s="716"/>
      <c r="DW404" s="716"/>
      <c r="DX404" s="665"/>
      <c r="DY404" s="716"/>
      <c r="DZ404" s="665"/>
      <c r="EA404" s="716"/>
      <c r="EB404" s="716"/>
      <c r="EC404" s="665"/>
      <c r="ED404" s="665"/>
      <c r="EE404" s="665"/>
      <c r="EF404" s="665"/>
      <c r="EG404" s="665"/>
      <c r="EH404" s="146"/>
      <c r="EI404" s="170"/>
      <c r="EJ404" s="170"/>
      <c r="EK404" s="262"/>
      <c r="EL404" s="91" t="str">
        <f t="shared" si="110"/>
        <v>No aplica, no hay meta</v>
      </c>
      <c r="EM404" s="83" t="str">
        <f t="shared" si="111"/>
        <v>No se reportó avance</v>
      </c>
      <c r="EN404" s="697"/>
    </row>
    <row r="405" spans="1:144" ht="50.1" customHeight="1">
      <c r="A405" s="170" t="s">
        <v>4671</v>
      </c>
      <c r="B405" s="517" t="s">
        <v>3272</v>
      </c>
      <c r="C405" s="173" t="s">
        <v>3273</v>
      </c>
      <c r="D405" s="173" t="s">
        <v>3274</v>
      </c>
      <c r="E405" s="173" t="s">
        <v>3275</v>
      </c>
      <c r="F405" s="170" t="s">
        <v>280</v>
      </c>
      <c r="G405" s="170"/>
      <c r="H405" s="170" t="s">
        <v>3276</v>
      </c>
      <c r="I405" s="170" t="s">
        <v>3277</v>
      </c>
      <c r="J405" s="170" t="s">
        <v>3277</v>
      </c>
      <c r="K405" s="170" t="s">
        <v>3278</v>
      </c>
      <c r="L405" s="170">
        <v>1</v>
      </c>
      <c r="M405" s="170" t="s">
        <v>3279</v>
      </c>
      <c r="N405" s="170" t="s">
        <v>3280</v>
      </c>
      <c r="O405" s="170" t="s">
        <v>3281</v>
      </c>
      <c r="P405" s="170" t="s">
        <v>1161</v>
      </c>
      <c r="Q405" s="170" t="s">
        <v>162</v>
      </c>
      <c r="R405" s="170">
        <v>0</v>
      </c>
      <c r="S405" s="170" t="s">
        <v>163</v>
      </c>
      <c r="T405" s="90">
        <v>45108</v>
      </c>
      <c r="U405" s="90">
        <v>46357</v>
      </c>
      <c r="V405" s="518"/>
      <c r="W405" s="170"/>
      <c r="X405" s="170"/>
      <c r="Y405" s="519"/>
      <c r="Z405" s="85"/>
      <c r="AA405" s="85"/>
      <c r="AB405" s="85"/>
      <c r="AC405" s="85"/>
      <c r="AD405" s="85"/>
      <c r="AE405" s="85"/>
      <c r="AF405" s="85"/>
      <c r="AG405" s="85"/>
      <c r="AH405" s="85"/>
      <c r="AI405" s="85"/>
      <c r="AJ405" s="85"/>
      <c r="AK405" s="157"/>
      <c r="AL405" s="157"/>
      <c r="AM405" s="157"/>
      <c r="AN405" s="157"/>
      <c r="AO405" s="157"/>
      <c r="AP405" s="170"/>
      <c r="AQ405" s="170"/>
      <c r="AR405" s="170"/>
      <c r="AS405" s="170"/>
      <c r="AT405" s="170"/>
      <c r="AU405" s="170"/>
      <c r="AV405" s="170"/>
      <c r="AW405" s="170"/>
      <c r="AX405" s="170"/>
      <c r="AY405" s="170"/>
      <c r="AZ405" s="692"/>
      <c r="BA405" s="170"/>
      <c r="BB405" s="170"/>
      <c r="BC405" s="170"/>
      <c r="BD405" s="170"/>
      <c r="BE405" s="170"/>
      <c r="BF405" s="170"/>
      <c r="BG405" s="170"/>
      <c r="BH405" s="170"/>
      <c r="BI405" s="170"/>
      <c r="BJ405" s="692"/>
      <c r="BK405" s="170"/>
      <c r="BL405" s="692"/>
      <c r="BM405" s="170"/>
      <c r="BN405" s="692"/>
      <c r="BO405" s="170"/>
      <c r="BP405" s="692"/>
      <c r="BQ405" s="170"/>
      <c r="BR405" s="170"/>
      <c r="BS405" s="170"/>
      <c r="BT405" s="170"/>
      <c r="BU405" s="170"/>
      <c r="BV405" s="170"/>
      <c r="BW405" s="170"/>
      <c r="BX405" s="170"/>
      <c r="BY405" s="170"/>
      <c r="BZ405" s="170"/>
      <c r="CA405" s="170"/>
      <c r="CB405" s="170"/>
      <c r="CC405" s="170"/>
      <c r="CD405" s="170"/>
      <c r="CE405" s="170"/>
      <c r="CF405" s="170"/>
      <c r="CG405" s="665"/>
      <c r="CH405" s="256"/>
      <c r="CI405" s="170"/>
      <c r="CJ405" s="83" t="str">
        <f t="shared" si="106"/>
        <v>No aplica</v>
      </c>
      <c r="CK405" s="83" t="str">
        <f t="shared" si="112"/>
        <v>No aplica</v>
      </c>
      <c r="CL405" s="83" t="str">
        <f t="shared" si="107"/>
        <v>No requiere reporte</v>
      </c>
      <c r="CM405" s="89" t="str">
        <f t="shared" si="108"/>
        <v>No requiere reporte</v>
      </c>
      <c r="CN405" s="89" t="str">
        <f t="shared" si="109"/>
        <v>No requiere reporte</v>
      </c>
      <c r="CO405" s="145" t="s">
        <v>3432</v>
      </c>
      <c r="CP405" s="693" t="s">
        <v>3433</v>
      </c>
      <c r="CQ405" s="145" t="s">
        <v>3434</v>
      </c>
      <c r="CR405" s="693" t="s">
        <v>3435</v>
      </c>
      <c r="CS405" s="693" t="s">
        <v>3436</v>
      </c>
      <c r="CT405" s="145" t="s">
        <v>161</v>
      </c>
      <c r="CU405" s="714" t="s">
        <v>162</v>
      </c>
      <c r="CV405" s="291">
        <v>0</v>
      </c>
      <c r="CW405" s="145" t="s">
        <v>163</v>
      </c>
      <c r="CX405" s="695">
        <v>46023</v>
      </c>
      <c r="CY405" s="695">
        <v>46387</v>
      </c>
      <c r="CZ405" s="146">
        <v>1</v>
      </c>
      <c r="DA405" s="146">
        <v>1</v>
      </c>
      <c r="DB405" s="146">
        <v>1</v>
      </c>
      <c r="DC405" s="146">
        <v>1</v>
      </c>
      <c r="DD405" s="146">
        <v>1</v>
      </c>
      <c r="DE405" s="686" t="s">
        <v>2951</v>
      </c>
      <c r="DF405" s="686" t="s">
        <v>3294</v>
      </c>
      <c r="DG405" s="686" t="s">
        <v>3295</v>
      </c>
      <c r="DH405" s="696">
        <v>800000000</v>
      </c>
      <c r="DI405" s="665"/>
      <c r="DJ405" s="665"/>
      <c r="DK405" s="665"/>
      <c r="DL405" s="665" t="s">
        <v>279</v>
      </c>
      <c r="DM405" s="665" t="s">
        <v>3296</v>
      </c>
      <c r="DN405" s="218"/>
      <c r="DO405" s="716"/>
      <c r="DP405" s="665"/>
      <c r="DQ405" s="716"/>
      <c r="DR405" s="716"/>
      <c r="DS405" s="218"/>
      <c r="DT405" s="716"/>
      <c r="DU405" s="665"/>
      <c r="DV405" s="716"/>
      <c r="DW405" s="716"/>
      <c r="DX405" s="218"/>
      <c r="DY405" s="716"/>
      <c r="DZ405" s="665"/>
      <c r="EA405" s="716"/>
      <c r="EB405" s="716"/>
      <c r="EC405" s="665"/>
      <c r="ED405" s="665"/>
      <c r="EE405" s="665"/>
      <c r="EF405" s="665"/>
      <c r="EG405" s="665"/>
      <c r="EH405" s="146"/>
      <c r="EI405" s="170"/>
      <c r="EJ405" s="170"/>
      <c r="EK405" s="262"/>
      <c r="EL405" s="91" t="str">
        <f t="shared" si="110"/>
        <v>No se reportó avance</v>
      </c>
      <c r="EM405" s="83" t="str">
        <f t="shared" si="111"/>
        <v>No se reportó avance</v>
      </c>
      <c r="EN405" s="697"/>
    </row>
    <row r="406" spans="1:144" ht="50.1" customHeight="1">
      <c r="A406" s="170" t="s">
        <v>4671</v>
      </c>
      <c r="B406" s="517" t="s">
        <v>3272</v>
      </c>
      <c r="C406" s="173" t="s">
        <v>3273</v>
      </c>
      <c r="D406" s="173" t="s">
        <v>3274</v>
      </c>
      <c r="E406" s="173" t="s">
        <v>3275</v>
      </c>
      <c r="F406" s="170" t="s">
        <v>280</v>
      </c>
      <c r="G406" s="170"/>
      <c r="H406" s="170" t="s">
        <v>3276</v>
      </c>
      <c r="I406" s="170" t="s">
        <v>3277</v>
      </c>
      <c r="J406" s="170" t="s">
        <v>3277</v>
      </c>
      <c r="K406" s="170" t="s">
        <v>3278</v>
      </c>
      <c r="L406" s="170">
        <v>1</v>
      </c>
      <c r="M406" s="170" t="s">
        <v>3279</v>
      </c>
      <c r="N406" s="170" t="s">
        <v>3280</v>
      </c>
      <c r="O406" s="170" t="s">
        <v>3281</v>
      </c>
      <c r="P406" s="84" t="s">
        <v>1161</v>
      </c>
      <c r="Q406" s="170" t="s">
        <v>162</v>
      </c>
      <c r="R406" s="170">
        <v>0</v>
      </c>
      <c r="S406" s="170" t="s">
        <v>163</v>
      </c>
      <c r="T406" s="90">
        <v>45108</v>
      </c>
      <c r="U406" s="90">
        <v>46357</v>
      </c>
      <c r="V406" s="518"/>
      <c r="W406" s="170"/>
      <c r="X406" s="170"/>
      <c r="Y406" s="519"/>
      <c r="Z406" s="85"/>
      <c r="AA406" s="85"/>
      <c r="AB406" s="85"/>
      <c r="AC406" s="85"/>
      <c r="AD406" s="85"/>
      <c r="AE406" s="85"/>
      <c r="AF406" s="85"/>
      <c r="AG406" s="85"/>
      <c r="AH406" s="85"/>
      <c r="AI406" s="85"/>
      <c r="AJ406" s="85"/>
      <c r="AK406" s="157"/>
      <c r="AL406" s="157"/>
      <c r="AM406" s="157"/>
      <c r="AN406" s="157"/>
      <c r="AO406" s="157"/>
      <c r="AP406" s="170"/>
      <c r="AQ406" s="170"/>
      <c r="AR406" s="170"/>
      <c r="AS406" s="170"/>
      <c r="AT406" s="170"/>
      <c r="AU406" s="170"/>
      <c r="AV406" s="170"/>
      <c r="AW406" s="170"/>
      <c r="AX406" s="170"/>
      <c r="AY406" s="170"/>
      <c r="AZ406" s="692"/>
      <c r="BA406" s="170"/>
      <c r="BB406" s="170"/>
      <c r="BC406" s="170"/>
      <c r="BD406" s="170"/>
      <c r="BE406" s="170"/>
      <c r="BF406" s="170"/>
      <c r="BG406" s="170"/>
      <c r="BH406" s="170"/>
      <c r="BI406" s="170"/>
      <c r="BJ406" s="692"/>
      <c r="BK406" s="170"/>
      <c r="BL406" s="692"/>
      <c r="BM406" s="170"/>
      <c r="BN406" s="692"/>
      <c r="BO406" s="170"/>
      <c r="BP406" s="692"/>
      <c r="BQ406" s="170"/>
      <c r="BR406" s="170"/>
      <c r="BS406" s="170"/>
      <c r="BT406" s="170"/>
      <c r="BU406" s="170"/>
      <c r="BV406" s="170"/>
      <c r="BW406" s="170"/>
      <c r="BX406" s="170"/>
      <c r="BY406" s="170"/>
      <c r="BZ406" s="170"/>
      <c r="CA406" s="170"/>
      <c r="CB406" s="170"/>
      <c r="CC406" s="170"/>
      <c r="CD406" s="170"/>
      <c r="CE406" s="170"/>
      <c r="CF406" s="170"/>
      <c r="CG406" s="665"/>
      <c r="CH406" s="256"/>
      <c r="CI406" s="170"/>
      <c r="CJ406" s="83" t="str">
        <f t="shared" si="106"/>
        <v>No aplica</v>
      </c>
      <c r="CK406" s="83" t="str">
        <f t="shared" si="112"/>
        <v>No aplica</v>
      </c>
      <c r="CL406" s="83" t="str">
        <f t="shared" si="107"/>
        <v>No requiere reporte</v>
      </c>
      <c r="CM406" s="89" t="str">
        <f t="shared" si="108"/>
        <v>No requiere reporte</v>
      </c>
      <c r="CN406" s="89" t="str">
        <f t="shared" si="109"/>
        <v>No requiere reporte</v>
      </c>
      <c r="CO406" s="145" t="s">
        <v>3437</v>
      </c>
      <c r="CP406" s="693" t="s">
        <v>3438</v>
      </c>
      <c r="CQ406" s="145" t="s">
        <v>3439</v>
      </c>
      <c r="CR406" s="693" t="s">
        <v>3440</v>
      </c>
      <c r="CS406" s="693" t="s">
        <v>3441</v>
      </c>
      <c r="CT406" s="145" t="s">
        <v>200</v>
      </c>
      <c r="CU406" s="145" t="s">
        <v>233</v>
      </c>
      <c r="CV406" s="291">
        <v>0</v>
      </c>
      <c r="CW406" s="145" t="s">
        <v>163</v>
      </c>
      <c r="CX406" s="695">
        <v>46023</v>
      </c>
      <c r="CY406" s="695">
        <v>46387</v>
      </c>
      <c r="CZ406" s="726"/>
      <c r="DA406" s="726">
        <v>0.25</v>
      </c>
      <c r="DB406" s="157">
        <v>0.25</v>
      </c>
      <c r="DC406" s="157">
        <v>0.25</v>
      </c>
      <c r="DD406" s="689">
        <f>+CZ406+DA406+DB406+DC406</f>
        <v>0.75</v>
      </c>
      <c r="DE406" s="686" t="s">
        <v>2951</v>
      </c>
      <c r="DF406" s="686" t="s">
        <v>3294</v>
      </c>
      <c r="DG406" s="686" t="s">
        <v>3295</v>
      </c>
      <c r="DH406" s="696">
        <v>500000000</v>
      </c>
      <c r="DI406" s="665"/>
      <c r="DJ406" s="665"/>
      <c r="DK406" s="665"/>
      <c r="DL406" s="665" t="s">
        <v>279</v>
      </c>
      <c r="DM406" s="665" t="s">
        <v>3296</v>
      </c>
      <c r="DN406" s="665"/>
      <c r="DO406" s="716"/>
      <c r="DP406" s="665"/>
      <c r="DQ406" s="716"/>
      <c r="DR406" s="716"/>
      <c r="DS406" s="665"/>
      <c r="DT406" s="716"/>
      <c r="DU406" s="665"/>
      <c r="DV406" s="716"/>
      <c r="DW406" s="716"/>
      <c r="DX406" s="665"/>
      <c r="DY406" s="716"/>
      <c r="DZ406" s="665"/>
      <c r="EA406" s="716"/>
      <c r="EB406" s="716"/>
      <c r="EC406" s="665"/>
      <c r="ED406" s="665"/>
      <c r="EE406" s="665"/>
      <c r="EF406" s="665"/>
      <c r="EG406" s="665"/>
      <c r="EH406" s="666"/>
      <c r="EI406" s="170"/>
      <c r="EJ406" s="170"/>
      <c r="EK406" s="262"/>
      <c r="EL406" s="91" t="str">
        <f t="shared" si="110"/>
        <v>No aplica, no hay meta</v>
      </c>
      <c r="EM406" s="83" t="str">
        <f t="shared" si="111"/>
        <v>No se reportó avance</v>
      </c>
      <c r="EN406" s="697"/>
    </row>
    <row r="407" spans="1:144" ht="50.1" customHeight="1">
      <c r="A407" s="170" t="s">
        <v>4671</v>
      </c>
      <c r="B407" s="517" t="s">
        <v>3272</v>
      </c>
      <c r="C407" s="173" t="s">
        <v>3273</v>
      </c>
      <c r="D407" s="173" t="s">
        <v>3274</v>
      </c>
      <c r="E407" s="173" t="s">
        <v>3275</v>
      </c>
      <c r="F407" s="170" t="s">
        <v>280</v>
      </c>
      <c r="G407" s="170"/>
      <c r="H407" s="170" t="s">
        <v>3276</v>
      </c>
      <c r="I407" s="170" t="s">
        <v>3277</v>
      </c>
      <c r="J407" s="170" t="s">
        <v>3277</v>
      </c>
      <c r="K407" s="170" t="s">
        <v>3278</v>
      </c>
      <c r="L407" s="170">
        <v>1</v>
      </c>
      <c r="M407" s="170" t="s">
        <v>3279</v>
      </c>
      <c r="N407" s="170" t="s">
        <v>3280</v>
      </c>
      <c r="O407" s="170" t="s">
        <v>3281</v>
      </c>
      <c r="P407" s="84" t="s">
        <v>1161</v>
      </c>
      <c r="Q407" s="170" t="s">
        <v>162</v>
      </c>
      <c r="R407" s="170">
        <v>0</v>
      </c>
      <c r="S407" s="170" t="s">
        <v>163</v>
      </c>
      <c r="T407" s="90">
        <v>45108</v>
      </c>
      <c r="U407" s="90">
        <v>46357</v>
      </c>
      <c r="V407" s="518"/>
      <c r="W407" s="170"/>
      <c r="X407" s="170"/>
      <c r="Y407" s="519"/>
      <c r="Z407" s="85"/>
      <c r="AA407" s="85"/>
      <c r="AB407" s="85"/>
      <c r="AC407" s="85"/>
      <c r="AD407" s="85"/>
      <c r="AE407" s="85"/>
      <c r="AF407" s="85"/>
      <c r="AG407" s="85"/>
      <c r="AH407" s="85"/>
      <c r="AI407" s="85"/>
      <c r="AJ407" s="85"/>
      <c r="AK407" s="157"/>
      <c r="AL407" s="157"/>
      <c r="AM407" s="157"/>
      <c r="AN407" s="157"/>
      <c r="AO407" s="157"/>
      <c r="AP407" s="170"/>
      <c r="AQ407" s="170"/>
      <c r="AR407" s="170"/>
      <c r="AS407" s="170"/>
      <c r="AT407" s="170"/>
      <c r="AU407" s="170"/>
      <c r="AV407" s="170"/>
      <c r="AW407" s="170"/>
      <c r="AX407" s="170"/>
      <c r="AY407" s="170"/>
      <c r="AZ407" s="692"/>
      <c r="BA407" s="170"/>
      <c r="BB407" s="170"/>
      <c r="BC407" s="170"/>
      <c r="BD407" s="170"/>
      <c r="BE407" s="170"/>
      <c r="BF407" s="170"/>
      <c r="BG407" s="170"/>
      <c r="BH407" s="170"/>
      <c r="BI407" s="170"/>
      <c r="BJ407" s="692"/>
      <c r="BK407" s="170"/>
      <c r="BL407" s="692"/>
      <c r="BM407" s="170"/>
      <c r="BN407" s="692"/>
      <c r="BO407" s="170"/>
      <c r="BP407" s="692"/>
      <c r="BQ407" s="170"/>
      <c r="BR407" s="170"/>
      <c r="BS407" s="170"/>
      <c r="BT407" s="170"/>
      <c r="BU407" s="170"/>
      <c r="BV407" s="170"/>
      <c r="BW407" s="170"/>
      <c r="BX407" s="170"/>
      <c r="BY407" s="170"/>
      <c r="BZ407" s="170"/>
      <c r="CA407" s="170"/>
      <c r="CB407" s="170"/>
      <c r="CC407" s="170"/>
      <c r="CD407" s="170"/>
      <c r="CE407" s="170"/>
      <c r="CF407" s="170"/>
      <c r="CG407" s="665"/>
      <c r="CH407" s="256"/>
      <c r="CI407" s="170"/>
      <c r="CJ407" s="83" t="str">
        <f t="shared" si="106"/>
        <v>No aplica</v>
      </c>
      <c r="CK407" s="83" t="str">
        <f t="shared" si="112"/>
        <v>No aplica</v>
      </c>
      <c r="CL407" s="83" t="str">
        <f t="shared" si="107"/>
        <v>No requiere reporte</v>
      </c>
      <c r="CM407" s="89" t="str">
        <f t="shared" si="108"/>
        <v>No requiere reporte</v>
      </c>
      <c r="CN407" s="89" t="str">
        <f t="shared" si="109"/>
        <v>No requiere reporte</v>
      </c>
      <c r="CO407" s="145" t="s">
        <v>3442</v>
      </c>
      <c r="CP407" s="693" t="s">
        <v>3443</v>
      </c>
      <c r="CQ407" s="145" t="s">
        <v>3444</v>
      </c>
      <c r="CR407" s="693" t="s">
        <v>3445</v>
      </c>
      <c r="CS407" s="693" t="s">
        <v>3446</v>
      </c>
      <c r="CT407" s="145" t="s">
        <v>200</v>
      </c>
      <c r="CU407" s="714" t="s">
        <v>162</v>
      </c>
      <c r="CV407" s="291">
        <v>0</v>
      </c>
      <c r="CW407" s="145" t="s">
        <v>163</v>
      </c>
      <c r="CX407" s="695">
        <v>46023</v>
      </c>
      <c r="CY407" s="695">
        <v>46387</v>
      </c>
      <c r="CZ407" s="157"/>
      <c r="DA407" s="146">
        <v>1</v>
      </c>
      <c r="DB407" s="146">
        <v>1</v>
      </c>
      <c r="DC407" s="146">
        <v>1</v>
      </c>
      <c r="DD407" s="146">
        <v>1</v>
      </c>
      <c r="DE407" s="686" t="s">
        <v>396</v>
      </c>
      <c r="DF407" s="686" t="s">
        <v>3337</v>
      </c>
      <c r="DG407" s="686" t="s">
        <v>3338</v>
      </c>
      <c r="DH407" s="696">
        <v>100000000</v>
      </c>
      <c r="DI407" s="665"/>
      <c r="DJ407" s="665"/>
      <c r="DK407" s="665"/>
      <c r="DL407" s="665" t="s">
        <v>279</v>
      </c>
      <c r="DM407" s="665" t="s">
        <v>3296</v>
      </c>
      <c r="DN407" s="218"/>
      <c r="DO407" s="716"/>
      <c r="DP407" s="665"/>
      <c r="DQ407" s="716"/>
      <c r="DR407" s="716"/>
      <c r="DS407" s="218"/>
      <c r="DT407" s="716"/>
      <c r="DU407" s="665"/>
      <c r="DV407" s="716"/>
      <c r="DW407" s="716"/>
      <c r="DX407" s="218"/>
      <c r="DY407" s="716"/>
      <c r="DZ407" s="665"/>
      <c r="EA407" s="716"/>
      <c r="EB407" s="716"/>
      <c r="EC407" s="665"/>
      <c r="ED407" s="665"/>
      <c r="EE407" s="665"/>
      <c r="EF407" s="665"/>
      <c r="EG407" s="665"/>
      <c r="EH407" s="666"/>
      <c r="EI407" s="170"/>
      <c r="EJ407" s="170"/>
      <c r="EK407" s="262"/>
      <c r="EL407" s="91" t="str">
        <f t="shared" si="110"/>
        <v>No aplica, no hay meta</v>
      </c>
      <c r="EM407" s="83" t="str">
        <f t="shared" si="111"/>
        <v>No se reportó avance</v>
      </c>
      <c r="EN407" s="697"/>
    </row>
    <row r="408" spans="1:144" ht="50.1" customHeight="1">
      <c r="A408" s="203" t="s">
        <v>4671</v>
      </c>
      <c r="B408" s="505" t="s">
        <v>3272</v>
      </c>
      <c r="C408" s="202" t="s">
        <v>3273</v>
      </c>
      <c r="D408" s="202" t="s">
        <v>3274</v>
      </c>
      <c r="E408" s="202" t="s">
        <v>3275</v>
      </c>
      <c r="F408" s="203" t="s">
        <v>280</v>
      </c>
      <c r="G408" s="203"/>
      <c r="H408" s="203" t="s">
        <v>3276</v>
      </c>
      <c r="I408" s="203" t="s">
        <v>3277</v>
      </c>
      <c r="J408" s="203" t="s">
        <v>3277</v>
      </c>
      <c r="K408" s="203" t="s">
        <v>3278</v>
      </c>
      <c r="L408" s="255">
        <v>2</v>
      </c>
      <c r="M408" s="255" t="s">
        <v>3447</v>
      </c>
      <c r="N408" s="255" t="s">
        <v>3448</v>
      </c>
      <c r="O408" s="255" t="s">
        <v>3281</v>
      </c>
      <c r="P408" s="78" t="s">
        <v>1161</v>
      </c>
      <c r="Q408" s="255" t="s">
        <v>162</v>
      </c>
      <c r="R408" s="638">
        <v>0</v>
      </c>
      <c r="S408" s="78" t="s">
        <v>163</v>
      </c>
      <c r="T408" s="80">
        <v>45108</v>
      </c>
      <c r="U408" s="80">
        <v>46357</v>
      </c>
      <c r="V408" s="522"/>
      <c r="W408" s="203"/>
      <c r="X408" s="203"/>
      <c r="Y408" s="523"/>
      <c r="Z408" s="79">
        <v>1</v>
      </c>
      <c r="AA408" s="75">
        <v>1</v>
      </c>
      <c r="AB408" s="75">
        <v>1</v>
      </c>
      <c r="AC408" s="75">
        <v>1</v>
      </c>
      <c r="AD408" s="75">
        <v>1</v>
      </c>
      <c r="AE408" s="79">
        <v>1</v>
      </c>
      <c r="AF408" s="79">
        <v>1</v>
      </c>
      <c r="AG408" s="79">
        <v>1</v>
      </c>
      <c r="AH408" s="79">
        <v>1</v>
      </c>
      <c r="AI408" s="79">
        <v>1</v>
      </c>
      <c r="AJ408" s="79">
        <v>1</v>
      </c>
      <c r="AK408" s="142">
        <v>1</v>
      </c>
      <c r="AL408" s="142">
        <v>1</v>
      </c>
      <c r="AM408" s="142">
        <v>1</v>
      </c>
      <c r="AN408" s="142">
        <v>1</v>
      </c>
      <c r="AO408" s="142">
        <v>1</v>
      </c>
      <c r="AP408" s="79">
        <v>1</v>
      </c>
      <c r="AQ408" s="170"/>
      <c r="AR408" s="170"/>
      <c r="AS408" s="170"/>
      <c r="AT408" s="170"/>
      <c r="AU408" s="170"/>
      <c r="AV408" s="170"/>
      <c r="AW408" s="170"/>
      <c r="AX408" s="170"/>
      <c r="AY408" s="173">
        <v>1</v>
      </c>
      <c r="AZ408" s="692" t="s">
        <v>3449</v>
      </c>
      <c r="BA408" s="173">
        <f>39/39</f>
        <v>1</v>
      </c>
      <c r="BB408" s="170" t="s">
        <v>3450</v>
      </c>
      <c r="BC408" s="173">
        <f>6/7</f>
        <v>0.8571428571428571</v>
      </c>
      <c r="BD408" s="170" t="s">
        <v>3451</v>
      </c>
      <c r="BE408" s="173">
        <f>4/11</f>
        <v>0.36363636363636365</v>
      </c>
      <c r="BF408" s="170" t="s">
        <v>3452</v>
      </c>
      <c r="BG408" s="173">
        <v>0</v>
      </c>
      <c r="BH408" s="170" t="s">
        <v>3286</v>
      </c>
      <c r="BI408" s="173">
        <f>+(BA408+BC408+BE408+BG408)/4</f>
        <v>0.55519480519480524</v>
      </c>
      <c r="BJ408" s="692"/>
      <c r="BK408" s="173">
        <v>0</v>
      </c>
      <c r="BL408" s="692" t="s">
        <v>3287</v>
      </c>
      <c r="BM408" s="173">
        <v>0</v>
      </c>
      <c r="BN408" s="692" t="s">
        <v>3287</v>
      </c>
      <c r="BO408" s="173">
        <v>0.27</v>
      </c>
      <c r="BP408" s="692" t="s">
        <v>3453</v>
      </c>
      <c r="BQ408" s="170"/>
      <c r="BR408" s="170"/>
      <c r="BS408" s="83"/>
      <c r="BT408" s="170"/>
      <c r="BU408" s="170"/>
      <c r="BV408" s="170"/>
      <c r="BW408" s="170"/>
      <c r="BX408" s="170"/>
      <c r="BY408" s="170"/>
      <c r="BZ408" s="170"/>
      <c r="CA408" s="170"/>
      <c r="CB408" s="170"/>
      <c r="CC408" s="170"/>
      <c r="CD408" s="170"/>
      <c r="CE408" s="146"/>
      <c r="CF408" s="170"/>
      <c r="CG408" s="713">
        <f>SUM(DH408:DH418)</f>
        <v>9950000000</v>
      </c>
      <c r="CH408" s="515"/>
      <c r="CI408" s="515"/>
      <c r="CJ408" s="83">
        <f t="shared" si="106"/>
        <v>0</v>
      </c>
      <c r="CK408" s="83">
        <f t="shared" si="112"/>
        <v>0</v>
      </c>
      <c r="CL408" s="83" t="str">
        <f t="shared" si="107"/>
        <v>No se reportó avance</v>
      </c>
      <c r="CM408" s="89" t="str">
        <f t="shared" si="108"/>
        <v>No se reportó avance</v>
      </c>
      <c r="CN408" s="89" t="str">
        <f t="shared" si="109"/>
        <v>No se reportó avance</v>
      </c>
      <c r="CO408" s="145" t="s">
        <v>225</v>
      </c>
      <c r="CP408" s="693" t="s">
        <v>3454</v>
      </c>
      <c r="CQ408" s="145" t="s">
        <v>3455</v>
      </c>
      <c r="CR408" s="693" t="s">
        <v>3456</v>
      </c>
      <c r="CS408" s="693" t="s">
        <v>3457</v>
      </c>
      <c r="CT408" s="145" t="s">
        <v>200</v>
      </c>
      <c r="CU408" s="145" t="s">
        <v>233</v>
      </c>
      <c r="CV408" s="291">
        <v>0</v>
      </c>
      <c r="CW408" s="145" t="s">
        <v>163</v>
      </c>
      <c r="CX408" s="695">
        <v>46023</v>
      </c>
      <c r="CY408" s="695">
        <v>46387</v>
      </c>
      <c r="CZ408" s="157"/>
      <c r="DA408" s="157">
        <v>0.1</v>
      </c>
      <c r="DB408" s="157">
        <v>0.35</v>
      </c>
      <c r="DC408" s="157">
        <v>0.45</v>
      </c>
      <c r="DD408" s="689">
        <f>+CZ408+DA408+DB408+DC408</f>
        <v>0.89999999999999991</v>
      </c>
      <c r="DE408" s="686" t="s">
        <v>2951</v>
      </c>
      <c r="DF408" s="686" t="s">
        <v>3294</v>
      </c>
      <c r="DG408" s="686" t="s">
        <v>3295</v>
      </c>
      <c r="DH408" s="696">
        <v>1200000000</v>
      </c>
      <c r="DI408" s="665"/>
      <c r="DJ408" s="665"/>
      <c r="DK408" s="665"/>
      <c r="DL408" s="665" t="s">
        <v>279</v>
      </c>
      <c r="DM408" s="665" t="s">
        <v>3296</v>
      </c>
      <c r="DN408" s="665"/>
      <c r="DO408" s="716"/>
      <c r="DP408" s="665"/>
      <c r="DQ408" s="716"/>
      <c r="DR408" s="716"/>
      <c r="DS408" s="665"/>
      <c r="DT408" s="716"/>
      <c r="DU408" s="665"/>
      <c r="DV408" s="716"/>
      <c r="DW408" s="716"/>
      <c r="DX408" s="665"/>
      <c r="DY408" s="716"/>
      <c r="DZ408" s="665"/>
      <c r="EA408" s="716"/>
      <c r="EB408" s="716"/>
      <c r="EC408" s="665"/>
      <c r="ED408" s="665"/>
      <c r="EE408" s="665"/>
      <c r="EF408" s="665"/>
      <c r="EG408" s="665"/>
      <c r="EH408" s="666"/>
      <c r="EI408" s="170"/>
      <c r="EJ408" s="170"/>
      <c r="EK408" s="262"/>
      <c r="EL408" s="91" t="str">
        <f t="shared" si="110"/>
        <v>No aplica, no hay meta</v>
      </c>
      <c r="EM408" s="83" t="str">
        <f t="shared" si="111"/>
        <v>No se reportó avance</v>
      </c>
      <c r="EN408" s="697"/>
    </row>
    <row r="409" spans="1:144" ht="50.1" customHeight="1">
      <c r="A409" s="170" t="s">
        <v>4671</v>
      </c>
      <c r="B409" s="517" t="s">
        <v>3272</v>
      </c>
      <c r="C409" s="173" t="s">
        <v>3273</v>
      </c>
      <c r="D409" s="173" t="s">
        <v>3274</v>
      </c>
      <c r="E409" s="173" t="s">
        <v>3275</v>
      </c>
      <c r="F409" s="170" t="s">
        <v>280</v>
      </c>
      <c r="G409" s="170"/>
      <c r="H409" s="170" t="s">
        <v>3276</v>
      </c>
      <c r="I409" s="170" t="s">
        <v>3277</v>
      </c>
      <c r="J409" s="170" t="s">
        <v>3277</v>
      </c>
      <c r="K409" s="170" t="s">
        <v>3278</v>
      </c>
      <c r="L409" s="170">
        <v>2</v>
      </c>
      <c r="M409" s="170" t="s">
        <v>3447</v>
      </c>
      <c r="N409" s="170" t="s">
        <v>3448</v>
      </c>
      <c r="O409" s="170" t="s">
        <v>3281</v>
      </c>
      <c r="P409" s="84" t="s">
        <v>1161</v>
      </c>
      <c r="Q409" s="170" t="s">
        <v>162</v>
      </c>
      <c r="R409" s="84">
        <v>0</v>
      </c>
      <c r="S409" s="84" t="s">
        <v>163</v>
      </c>
      <c r="T409" s="90">
        <v>45108</v>
      </c>
      <c r="U409" s="90">
        <v>46357</v>
      </c>
      <c r="V409" s="518"/>
      <c r="W409" s="170"/>
      <c r="X409" s="170"/>
      <c r="Y409" s="519"/>
      <c r="Z409" s="85"/>
      <c r="AA409" s="85"/>
      <c r="AB409" s="85"/>
      <c r="AC409" s="85"/>
      <c r="AD409" s="85"/>
      <c r="AE409" s="85"/>
      <c r="AF409" s="85"/>
      <c r="AG409" s="85"/>
      <c r="AH409" s="85"/>
      <c r="AI409" s="85"/>
      <c r="AJ409" s="85"/>
      <c r="AK409" s="157"/>
      <c r="AL409" s="157"/>
      <c r="AM409" s="157"/>
      <c r="AN409" s="157"/>
      <c r="AO409" s="157"/>
      <c r="AP409" s="170"/>
      <c r="AQ409" s="170"/>
      <c r="AR409" s="170"/>
      <c r="AS409" s="170"/>
      <c r="AT409" s="170"/>
      <c r="AU409" s="170"/>
      <c r="AV409" s="170"/>
      <c r="AW409" s="170"/>
      <c r="AX409" s="170"/>
      <c r="AY409" s="170"/>
      <c r="AZ409" s="692"/>
      <c r="BA409" s="170"/>
      <c r="BB409" s="170"/>
      <c r="BC409" s="170"/>
      <c r="BD409" s="170"/>
      <c r="BE409" s="170"/>
      <c r="BF409" s="170"/>
      <c r="BG409" s="170"/>
      <c r="BH409" s="170"/>
      <c r="BI409" s="170"/>
      <c r="BJ409" s="692"/>
      <c r="BK409" s="170"/>
      <c r="BL409" s="692"/>
      <c r="BM409" s="170"/>
      <c r="BN409" s="692"/>
      <c r="BO409" s="170"/>
      <c r="BP409" s="692"/>
      <c r="BQ409" s="170"/>
      <c r="BR409" s="170"/>
      <c r="BS409" s="170"/>
      <c r="BT409" s="170"/>
      <c r="BU409" s="170"/>
      <c r="BV409" s="170"/>
      <c r="BW409" s="170"/>
      <c r="BX409" s="170"/>
      <c r="BY409" s="170"/>
      <c r="BZ409" s="170"/>
      <c r="CA409" s="170"/>
      <c r="CB409" s="170"/>
      <c r="CC409" s="170"/>
      <c r="CD409" s="170"/>
      <c r="CE409" s="170"/>
      <c r="CF409" s="170"/>
      <c r="CG409" s="665"/>
      <c r="CH409" s="256"/>
      <c r="CI409" s="170"/>
      <c r="CJ409" s="83" t="str">
        <f t="shared" si="106"/>
        <v>No aplica</v>
      </c>
      <c r="CK409" s="83" t="str">
        <f t="shared" si="112"/>
        <v>No aplica</v>
      </c>
      <c r="CL409" s="83" t="str">
        <f t="shared" si="107"/>
        <v>No requiere reporte</v>
      </c>
      <c r="CM409" s="89" t="str">
        <f t="shared" si="108"/>
        <v>No requiere reporte</v>
      </c>
      <c r="CN409" s="89" t="str">
        <f t="shared" si="109"/>
        <v>No requiere reporte</v>
      </c>
      <c r="CO409" s="145" t="s">
        <v>313</v>
      </c>
      <c r="CP409" s="693" t="s">
        <v>3458</v>
      </c>
      <c r="CQ409" s="145" t="s">
        <v>3459</v>
      </c>
      <c r="CR409" s="693" t="s">
        <v>3460</v>
      </c>
      <c r="CS409" s="693" t="s">
        <v>3461</v>
      </c>
      <c r="CT409" s="145" t="s">
        <v>161</v>
      </c>
      <c r="CU409" s="714" t="s">
        <v>162</v>
      </c>
      <c r="CV409" s="291">
        <v>0</v>
      </c>
      <c r="CW409" s="145" t="s">
        <v>163</v>
      </c>
      <c r="CX409" s="695">
        <v>46023</v>
      </c>
      <c r="CY409" s="695">
        <v>46387</v>
      </c>
      <c r="CZ409" s="146">
        <v>1</v>
      </c>
      <c r="DA409" s="146">
        <v>1</v>
      </c>
      <c r="DB409" s="146">
        <v>1</v>
      </c>
      <c r="DC409" s="146">
        <v>1</v>
      </c>
      <c r="DD409" s="146">
        <v>1</v>
      </c>
      <c r="DE409" s="665" t="s">
        <v>396</v>
      </c>
      <c r="DF409" s="665" t="s">
        <v>3337</v>
      </c>
      <c r="DG409" s="665" t="s">
        <v>3338</v>
      </c>
      <c r="DH409" s="696">
        <v>800000000</v>
      </c>
      <c r="DI409" s="665"/>
      <c r="DJ409" s="665"/>
      <c r="DK409" s="665"/>
      <c r="DL409" s="665" t="s">
        <v>279</v>
      </c>
      <c r="DM409" s="665" t="s">
        <v>3296</v>
      </c>
      <c r="DN409" s="218"/>
      <c r="DO409" s="716"/>
      <c r="DP409" s="665"/>
      <c r="DQ409" s="716"/>
      <c r="DR409" s="716"/>
      <c r="DS409" s="218"/>
      <c r="DT409" s="716"/>
      <c r="DU409" s="665"/>
      <c r="DV409" s="716"/>
      <c r="DW409" s="716"/>
      <c r="DX409" s="218"/>
      <c r="DY409" s="716"/>
      <c r="DZ409" s="665"/>
      <c r="EA409" s="716"/>
      <c r="EB409" s="716"/>
      <c r="EC409" s="665"/>
      <c r="ED409" s="665"/>
      <c r="EE409" s="665"/>
      <c r="EF409" s="665"/>
      <c r="EG409" s="665"/>
      <c r="EH409" s="146"/>
      <c r="EI409" s="170"/>
      <c r="EJ409" s="170"/>
      <c r="EK409" s="262"/>
      <c r="EL409" s="91" t="str">
        <f t="shared" si="110"/>
        <v>No se reportó avance</v>
      </c>
      <c r="EM409" s="83" t="str">
        <f t="shared" si="111"/>
        <v>No se reportó avance</v>
      </c>
      <c r="EN409" s="697"/>
    </row>
    <row r="410" spans="1:144" ht="50.1" customHeight="1">
      <c r="A410" s="170" t="s">
        <v>4671</v>
      </c>
      <c r="B410" s="517" t="s">
        <v>3272</v>
      </c>
      <c r="C410" s="173" t="s">
        <v>3273</v>
      </c>
      <c r="D410" s="173" t="s">
        <v>3274</v>
      </c>
      <c r="E410" s="173" t="s">
        <v>3275</v>
      </c>
      <c r="F410" s="170" t="s">
        <v>280</v>
      </c>
      <c r="G410" s="170"/>
      <c r="H410" s="170" t="s">
        <v>3276</v>
      </c>
      <c r="I410" s="170" t="s">
        <v>3277</v>
      </c>
      <c r="J410" s="170" t="s">
        <v>3277</v>
      </c>
      <c r="K410" s="170" t="s">
        <v>3278</v>
      </c>
      <c r="L410" s="170">
        <v>2</v>
      </c>
      <c r="M410" s="170" t="s">
        <v>3447</v>
      </c>
      <c r="N410" s="170" t="s">
        <v>3448</v>
      </c>
      <c r="O410" s="170" t="s">
        <v>3281</v>
      </c>
      <c r="P410" s="84" t="s">
        <v>1161</v>
      </c>
      <c r="Q410" s="170" t="s">
        <v>162</v>
      </c>
      <c r="R410" s="84">
        <v>0</v>
      </c>
      <c r="S410" s="84" t="s">
        <v>163</v>
      </c>
      <c r="T410" s="90">
        <v>45108</v>
      </c>
      <c r="U410" s="90">
        <v>46357</v>
      </c>
      <c r="V410" s="518"/>
      <c r="W410" s="170"/>
      <c r="X410" s="170"/>
      <c r="Y410" s="519"/>
      <c r="Z410" s="85"/>
      <c r="AA410" s="85"/>
      <c r="AB410" s="85"/>
      <c r="AC410" s="85"/>
      <c r="AD410" s="85"/>
      <c r="AE410" s="85"/>
      <c r="AF410" s="85"/>
      <c r="AG410" s="85"/>
      <c r="AH410" s="85"/>
      <c r="AI410" s="85"/>
      <c r="AJ410" s="85"/>
      <c r="AK410" s="157"/>
      <c r="AL410" s="157"/>
      <c r="AM410" s="157"/>
      <c r="AN410" s="157"/>
      <c r="AO410" s="157"/>
      <c r="AP410" s="170"/>
      <c r="AQ410" s="170"/>
      <c r="AR410" s="170"/>
      <c r="AS410" s="170"/>
      <c r="AT410" s="170"/>
      <c r="AU410" s="170"/>
      <c r="AV410" s="170"/>
      <c r="AW410" s="170"/>
      <c r="AX410" s="170"/>
      <c r="AY410" s="170"/>
      <c r="AZ410" s="692"/>
      <c r="BA410" s="170"/>
      <c r="BB410" s="170"/>
      <c r="BC410" s="170"/>
      <c r="BD410" s="170"/>
      <c r="BE410" s="170"/>
      <c r="BF410" s="170"/>
      <c r="BG410" s="170"/>
      <c r="BH410" s="170"/>
      <c r="BI410" s="170"/>
      <c r="BJ410" s="692"/>
      <c r="BK410" s="170"/>
      <c r="BL410" s="692"/>
      <c r="BM410" s="170"/>
      <c r="BN410" s="692"/>
      <c r="BO410" s="170"/>
      <c r="BP410" s="692"/>
      <c r="BQ410" s="170"/>
      <c r="BR410" s="170"/>
      <c r="BS410" s="170"/>
      <c r="BT410" s="170"/>
      <c r="BU410" s="170"/>
      <c r="BV410" s="170"/>
      <c r="BW410" s="170"/>
      <c r="BX410" s="170"/>
      <c r="BY410" s="170"/>
      <c r="BZ410" s="170"/>
      <c r="CA410" s="170"/>
      <c r="CB410" s="170"/>
      <c r="CC410" s="170"/>
      <c r="CD410" s="170"/>
      <c r="CE410" s="170"/>
      <c r="CF410" s="170"/>
      <c r="CG410" s="665"/>
      <c r="CH410" s="256"/>
      <c r="CI410" s="170"/>
      <c r="CJ410" s="83" t="str">
        <f t="shared" si="106"/>
        <v>No aplica</v>
      </c>
      <c r="CK410" s="83" t="str">
        <f t="shared" si="112"/>
        <v>No aplica</v>
      </c>
      <c r="CL410" s="83" t="str">
        <f t="shared" si="107"/>
        <v>No requiere reporte</v>
      </c>
      <c r="CM410" s="89" t="str">
        <f t="shared" si="108"/>
        <v>No requiere reporte</v>
      </c>
      <c r="CN410" s="89" t="str">
        <f t="shared" si="109"/>
        <v>No requiere reporte</v>
      </c>
      <c r="CO410" s="145" t="s">
        <v>318</v>
      </c>
      <c r="CP410" s="693" t="s">
        <v>3462</v>
      </c>
      <c r="CQ410" s="145" t="s">
        <v>3463</v>
      </c>
      <c r="CR410" s="693" t="s">
        <v>3464</v>
      </c>
      <c r="CS410" s="693" t="s">
        <v>3465</v>
      </c>
      <c r="CT410" s="145" t="s">
        <v>200</v>
      </c>
      <c r="CU410" s="145" t="s">
        <v>233</v>
      </c>
      <c r="CV410" s="291">
        <v>0</v>
      </c>
      <c r="CW410" s="145" t="s">
        <v>163</v>
      </c>
      <c r="CX410" s="695">
        <v>46023</v>
      </c>
      <c r="CY410" s="695">
        <v>46387</v>
      </c>
      <c r="CZ410" s="689"/>
      <c r="DA410" s="689"/>
      <c r="DB410" s="689">
        <v>0.1</v>
      </c>
      <c r="DC410" s="689">
        <v>0.5</v>
      </c>
      <c r="DD410" s="157">
        <f>+DB410+DC410</f>
        <v>0.6</v>
      </c>
      <c r="DE410" s="665" t="s">
        <v>2951</v>
      </c>
      <c r="DF410" s="665" t="s">
        <v>3294</v>
      </c>
      <c r="DG410" s="665" t="s">
        <v>3295</v>
      </c>
      <c r="DH410" s="696">
        <v>1900000000</v>
      </c>
      <c r="DI410" s="665"/>
      <c r="DJ410" s="665"/>
      <c r="DK410" s="665"/>
      <c r="DL410" s="665" t="s">
        <v>279</v>
      </c>
      <c r="DM410" s="665" t="s">
        <v>3296</v>
      </c>
      <c r="DN410" s="665"/>
      <c r="DO410" s="716"/>
      <c r="DP410" s="665"/>
      <c r="DQ410" s="716"/>
      <c r="DR410" s="716"/>
      <c r="DS410" s="665"/>
      <c r="DT410" s="716"/>
      <c r="DU410" s="665"/>
      <c r="DV410" s="716"/>
      <c r="DW410" s="716"/>
      <c r="DX410" s="665"/>
      <c r="DY410" s="716"/>
      <c r="DZ410" s="665"/>
      <c r="EA410" s="716"/>
      <c r="EB410" s="716"/>
      <c r="EC410" s="665"/>
      <c r="ED410" s="665"/>
      <c r="EE410" s="665"/>
      <c r="EF410" s="665"/>
      <c r="EG410" s="665"/>
      <c r="EH410" s="666"/>
      <c r="EI410" s="170"/>
      <c r="EJ410" s="170"/>
      <c r="EK410" s="262"/>
      <c r="EL410" s="91" t="str">
        <f t="shared" si="110"/>
        <v>No aplica, no hay meta</v>
      </c>
      <c r="EM410" s="83" t="str">
        <f t="shared" si="111"/>
        <v>No se reportó avance</v>
      </c>
      <c r="EN410" s="697"/>
    </row>
    <row r="411" spans="1:144" ht="50.1" customHeight="1">
      <c r="A411" s="170" t="s">
        <v>4671</v>
      </c>
      <c r="B411" s="517" t="s">
        <v>3272</v>
      </c>
      <c r="C411" s="173" t="s">
        <v>3273</v>
      </c>
      <c r="D411" s="173" t="s">
        <v>3274</v>
      </c>
      <c r="E411" s="173" t="s">
        <v>3275</v>
      </c>
      <c r="F411" s="170" t="s">
        <v>280</v>
      </c>
      <c r="G411" s="170"/>
      <c r="H411" s="170" t="s">
        <v>3276</v>
      </c>
      <c r="I411" s="170" t="s">
        <v>3277</v>
      </c>
      <c r="J411" s="170" t="s">
        <v>3277</v>
      </c>
      <c r="K411" s="170" t="s">
        <v>3278</v>
      </c>
      <c r="L411" s="170">
        <v>2</v>
      </c>
      <c r="M411" s="170" t="s">
        <v>3447</v>
      </c>
      <c r="N411" s="170" t="s">
        <v>3448</v>
      </c>
      <c r="O411" s="170" t="s">
        <v>3281</v>
      </c>
      <c r="P411" s="84" t="s">
        <v>1161</v>
      </c>
      <c r="Q411" s="170" t="s">
        <v>162</v>
      </c>
      <c r="R411" s="84">
        <v>0</v>
      </c>
      <c r="S411" s="84" t="s">
        <v>163</v>
      </c>
      <c r="T411" s="90">
        <v>45108</v>
      </c>
      <c r="U411" s="90">
        <v>46357</v>
      </c>
      <c r="V411" s="518"/>
      <c r="W411" s="170"/>
      <c r="X411" s="170"/>
      <c r="Y411" s="519"/>
      <c r="Z411" s="85"/>
      <c r="AA411" s="85"/>
      <c r="AB411" s="85"/>
      <c r="AC411" s="85"/>
      <c r="AD411" s="85"/>
      <c r="AE411" s="85"/>
      <c r="AF411" s="85"/>
      <c r="AG411" s="85"/>
      <c r="AH411" s="85"/>
      <c r="AI411" s="85"/>
      <c r="AJ411" s="85"/>
      <c r="AK411" s="157"/>
      <c r="AL411" s="157"/>
      <c r="AM411" s="157"/>
      <c r="AN411" s="157"/>
      <c r="AO411" s="157"/>
      <c r="AP411" s="170"/>
      <c r="AQ411" s="170"/>
      <c r="AR411" s="170"/>
      <c r="AS411" s="170"/>
      <c r="AT411" s="170"/>
      <c r="AU411" s="170"/>
      <c r="AV411" s="170"/>
      <c r="AW411" s="170"/>
      <c r="AX411" s="170"/>
      <c r="AY411" s="170"/>
      <c r="AZ411" s="692"/>
      <c r="BA411" s="170"/>
      <c r="BB411" s="170"/>
      <c r="BC411" s="170"/>
      <c r="BD411" s="170"/>
      <c r="BE411" s="170"/>
      <c r="BF411" s="170"/>
      <c r="BG411" s="170"/>
      <c r="BH411" s="170"/>
      <c r="BI411" s="170"/>
      <c r="BJ411" s="692"/>
      <c r="BK411" s="170"/>
      <c r="BL411" s="692"/>
      <c r="BM411" s="170"/>
      <c r="BN411" s="692"/>
      <c r="BO411" s="170"/>
      <c r="BP411" s="692"/>
      <c r="BQ411" s="170"/>
      <c r="BR411" s="170"/>
      <c r="BS411" s="170"/>
      <c r="BT411" s="170"/>
      <c r="BU411" s="170"/>
      <c r="BV411" s="170"/>
      <c r="BW411" s="170"/>
      <c r="BX411" s="170"/>
      <c r="BY411" s="170"/>
      <c r="BZ411" s="170"/>
      <c r="CA411" s="170"/>
      <c r="CB411" s="170"/>
      <c r="CC411" s="170"/>
      <c r="CD411" s="170"/>
      <c r="CE411" s="170"/>
      <c r="CF411" s="170"/>
      <c r="CG411" s="665"/>
      <c r="CH411" s="256"/>
      <c r="CI411" s="170"/>
      <c r="CJ411" s="83" t="str">
        <f t="shared" si="106"/>
        <v>No aplica</v>
      </c>
      <c r="CK411" s="83" t="str">
        <f t="shared" si="112"/>
        <v>No aplica</v>
      </c>
      <c r="CL411" s="83" t="str">
        <f t="shared" si="107"/>
        <v>No requiere reporte</v>
      </c>
      <c r="CM411" s="89" t="str">
        <f t="shared" si="108"/>
        <v>No requiere reporte</v>
      </c>
      <c r="CN411" s="89" t="str">
        <f t="shared" si="109"/>
        <v>No requiere reporte</v>
      </c>
      <c r="CO411" s="145" t="s">
        <v>322</v>
      </c>
      <c r="CP411" s="693" t="s">
        <v>3466</v>
      </c>
      <c r="CQ411" s="145" t="s">
        <v>3467</v>
      </c>
      <c r="CR411" s="693" t="s">
        <v>3468</v>
      </c>
      <c r="CS411" s="693" t="s">
        <v>3469</v>
      </c>
      <c r="CT411" s="145" t="s">
        <v>161</v>
      </c>
      <c r="CU411" s="145" t="s">
        <v>233</v>
      </c>
      <c r="CV411" s="145">
        <v>0</v>
      </c>
      <c r="CW411" s="145" t="s">
        <v>234</v>
      </c>
      <c r="CX411" s="695">
        <v>46023</v>
      </c>
      <c r="CY411" s="695">
        <v>46387</v>
      </c>
      <c r="CZ411" s="178"/>
      <c r="DA411" s="178"/>
      <c r="DB411" s="178">
        <v>0</v>
      </c>
      <c r="DC411" s="178">
        <v>14</v>
      </c>
      <c r="DD411" s="178">
        <v>14</v>
      </c>
      <c r="DE411" s="665" t="s">
        <v>396</v>
      </c>
      <c r="DF411" s="665" t="s">
        <v>3337</v>
      </c>
      <c r="DG411" s="665" t="s">
        <v>3338</v>
      </c>
      <c r="DH411" s="696">
        <v>800000000</v>
      </c>
      <c r="DI411" s="665"/>
      <c r="DJ411" s="665"/>
      <c r="DK411" s="665"/>
      <c r="DL411" s="665" t="s">
        <v>279</v>
      </c>
      <c r="DM411" s="665" t="s">
        <v>3296</v>
      </c>
      <c r="DN411" s="665"/>
      <c r="DO411" s="716"/>
      <c r="DP411" s="665"/>
      <c r="DQ411" s="716"/>
      <c r="DR411" s="716"/>
      <c r="DS411" s="665"/>
      <c r="DT411" s="716"/>
      <c r="DU411" s="665"/>
      <c r="DV411" s="716"/>
      <c r="DW411" s="716"/>
      <c r="DX411" s="665"/>
      <c r="DY411" s="716"/>
      <c r="DZ411" s="665"/>
      <c r="EA411" s="716"/>
      <c r="EB411" s="716"/>
      <c r="EC411" s="665"/>
      <c r="ED411" s="665"/>
      <c r="EE411" s="665"/>
      <c r="EF411" s="665"/>
      <c r="EG411" s="665"/>
      <c r="EH411" s="665"/>
      <c r="EI411" s="170"/>
      <c r="EJ411" s="170"/>
      <c r="EK411" s="262"/>
      <c r="EL411" s="91" t="str">
        <f t="shared" si="110"/>
        <v>No aplica, no hay meta</v>
      </c>
      <c r="EM411" s="83" t="str">
        <f t="shared" si="111"/>
        <v>No se reportó avance</v>
      </c>
      <c r="EN411" s="697"/>
    </row>
    <row r="412" spans="1:144" ht="50.1" customHeight="1">
      <c r="A412" s="170" t="s">
        <v>4671</v>
      </c>
      <c r="B412" s="517" t="s">
        <v>3272</v>
      </c>
      <c r="C412" s="173" t="s">
        <v>3273</v>
      </c>
      <c r="D412" s="173" t="s">
        <v>3274</v>
      </c>
      <c r="E412" s="173" t="s">
        <v>3275</v>
      </c>
      <c r="F412" s="170" t="s">
        <v>280</v>
      </c>
      <c r="G412" s="170"/>
      <c r="H412" s="170" t="s">
        <v>3276</v>
      </c>
      <c r="I412" s="170" t="s">
        <v>3277</v>
      </c>
      <c r="J412" s="170" t="s">
        <v>3277</v>
      </c>
      <c r="K412" s="170" t="s">
        <v>3278</v>
      </c>
      <c r="L412" s="170">
        <v>2</v>
      </c>
      <c r="M412" s="170" t="s">
        <v>3447</v>
      </c>
      <c r="N412" s="170" t="s">
        <v>3448</v>
      </c>
      <c r="O412" s="170" t="s">
        <v>3281</v>
      </c>
      <c r="P412" s="84" t="s">
        <v>1161</v>
      </c>
      <c r="Q412" s="170" t="s">
        <v>162</v>
      </c>
      <c r="R412" s="84">
        <v>0</v>
      </c>
      <c r="S412" s="84" t="s">
        <v>163</v>
      </c>
      <c r="T412" s="90">
        <v>45108</v>
      </c>
      <c r="U412" s="90">
        <v>46357</v>
      </c>
      <c r="V412" s="518"/>
      <c r="W412" s="170"/>
      <c r="X412" s="170"/>
      <c r="Y412" s="519"/>
      <c r="Z412" s="85"/>
      <c r="AA412" s="85"/>
      <c r="AB412" s="85"/>
      <c r="AC412" s="85"/>
      <c r="AD412" s="85"/>
      <c r="AE412" s="85"/>
      <c r="AF412" s="85"/>
      <c r="AG412" s="85"/>
      <c r="AH412" s="85"/>
      <c r="AI412" s="85"/>
      <c r="AJ412" s="85"/>
      <c r="AK412" s="157"/>
      <c r="AL412" s="157"/>
      <c r="AM412" s="157"/>
      <c r="AN412" s="157"/>
      <c r="AO412" s="157"/>
      <c r="AP412" s="170"/>
      <c r="AQ412" s="170"/>
      <c r="AR412" s="170"/>
      <c r="AS412" s="170"/>
      <c r="AT412" s="170"/>
      <c r="AU412" s="170"/>
      <c r="AV412" s="170"/>
      <c r="AW412" s="170"/>
      <c r="AX412" s="170"/>
      <c r="AY412" s="170"/>
      <c r="AZ412" s="692"/>
      <c r="BA412" s="170"/>
      <c r="BB412" s="170"/>
      <c r="BC412" s="170"/>
      <c r="BD412" s="170"/>
      <c r="BE412" s="170"/>
      <c r="BF412" s="170"/>
      <c r="BG412" s="170"/>
      <c r="BH412" s="170"/>
      <c r="BI412" s="170"/>
      <c r="BJ412" s="692"/>
      <c r="BK412" s="170"/>
      <c r="BL412" s="692"/>
      <c r="BM412" s="170"/>
      <c r="BN412" s="692"/>
      <c r="BO412" s="170"/>
      <c r="BP412" s="692"/>
      <c r="BQ412" s="170"/>
      <c r="BR412" s="170"/>
      <c r="BS412" s="170"/>
      <c r="BT412" s="170"/>
      <c r="BU412" s="170"/>
      <c r="BV412" s="170"/>
      <c r="BW412" s="170"/>
      <c r="BX412" s="170"/>
      <c r="BY412" s="170"/>
      <c r="BZ412" s="170"/>
      <c r="CA412" s="170"/>
      <c r="CB412" s="170"/>
      <c r="CC412" s="170"/>
      <c r="CD412" s="170"/>
      <c r="CE412" s="170"/>
      <c r="CF412" s="170"/>
      <c r="CG412" s="665"/>
      <c r="CH412" s="256"/>
      <c r="CI412" s="170"/>
      <c r="CJ412" s="83" t="str">
        <f t="shared" si="106"/>
        <v>No aplica</v>
      </c>
      <c r="CK412" s="83" t="str">
        <f t="shared" si="112"/>
        <v>No aplica</v>
      </c>
      <c r="CL412" s="83" t="str">
        <f t="shared" si="107"/>
        <v>No requiere reporte</v>
      </c>
      <c r="CM412" s="89" t="str">
        <f t="shared" si="108"/>
        <v>No requiere reporte</v>
      </c>
      <c r="CN412" s="89" t="str">
        <f t="shared" si="109"/>
        <v>No requiere reporte</v>
      </c>
      <c r="CO412" s="145" t="s">
        <v>327</v>
      </c>
      <c r="CP412" s="693" t="s">
        <v>3470</v>
      </c>
      <c r="CQ412" s="145" t="s">
        <v>3471</v>
      </c>
      <c r="CR412" s="693" t="s">
        <v>3472</v>
      </c>
      <c r="CS412" s="693" t="s">
        <v>3473</v>
      </c>
      <c r="CT412" s="145" t="s">
        <v>161</v>
      </c>
      <c r="CU412" s="145" t="s">
        <v>233</v>
      </c>
      <c r="CV412" s="291">
        <v>0</v>
      </c>
      <c r="CW412" s="145" t="s">
        <v>163</v>
      </c>
      <c r="CX412" s="695">
        <v>46023</v>
      </c>
      <c r="CY412" s="695">
        <v>46387</v>
      </c>
      <c r="CZ412" s="157"/>
      <c r="DA412" s="157"/>
      <c r="DB412" s="146">
        <v>1</v>
      </c>
      <c r="DC412" s="157">
        <v>0</v>
      </c>
      <c r="DD412" s="146">
        <v>1</v>
      </c>
      <c r="DE412" s="665" t="s">
        <v>396</v>
      </c>
      <c r="DF412" s="665" t="s">
        <v>3337</v>
      </c>
      <c r="DG412" s="665" t="s">
        <v>3338</v>
      </c>
      <c r="DH412" s="696">
        <v>800000000</v>
      </c>
      <c r="DI412" s="665"/>
      <c r="DJ412" s="665"/>
      <c r="DK412" s="665"/>
      <c r="DL412" s="665" t="s">
        <v>279</v>
      </c>
      <c r="DM412" s="665" t="s">
        <v>3296</v>
      </c>
      <c r="DN412" s="665"/>
      <c r="DO412" s="716"/>
      <c r="DP412" s="665"/>
      <c r="DQ412" s="716"/>
      <c r="DR412" s="716"/>
      <c r="DS412" s="665"/>
      <c r="DT412" s="716"/>
      <c r="DU412" s="665"/>
      <c r="DV412" s="716"/>
      <c r="DW412" s="716"/>
      <c r="DX412" s="665"/>
      <c r="DY412" s="716"/>
      <c r="DZ412" s="665"/>
      <c r="EA412" s="716"/>
      <c r="EB412" s="716"/>
      <c r="EC412" s="665"/>
      <c r="ED412" s="665"/>
      <c r="EE412" s="665"/>
      <c r="EF412" s="665"/>
      <c r="EG412" s="665"/>
      <c r="EH412" s="666"/>
      <c r="EI412" s="170"/>
      <c r="EJ412" s="170"/>
      <c r="EK412" s="262"/>
      <c r="EL412" s="91" t="str">
        <f t="shared" si="110"/>
        <v>No aplica, no hay meta</v>
      </c>
      <c r="EM412" s="83" t="str">
        <f t="shared" si="111"/>
        <v>No se reportó avance</v>
      </c>
      <c r="EN412" s="697"/>
    </row>
    <row r="413" spans="1:144" ht="50.1" customHeight="1">
      <c r="A413" s="170" t="s">
        <v>4671</v>
      </c>
      <c r="B413" s="517" t="s">
        <v>3272</v>
      </c>
      <c r="C413" s="173" t="s">
        <v>3273</v>
      </c>
      <c r="D413" s="173" t="s">
        <v>3274</v>
      </c>
      <c r="E413" s="173" t="s">
        <v>3275</v>
      </c>
      <c r="F413" s="170" t="s">
        <v>280</v>
      </c>
      <c r="G413" s="170"/>
      <c r="H413" s="170" t="s">
        <v>3276</v>
      </c>
      <c r="I413" s="170" t="s">
        <v>3277</v>
      </c>
      <c r="J413" s="170" t="s">
        <v>3277</v>
      </c>
      <c r="K413" s="170" t="s">
        <v>3278</v>
      </c>
      <c r="L413" s="170">
        <v>2</v>
      </c>
      <c r="M413" s="170" t="s">
        <v>3447</v>
      </c>
      <c r="N413" s="170" t="s">
        <v>3448</v>
      </c>
      <c r="O413" s="170" t="s">
        <v>3281</v>
      </c>
      <c r="P413" s="84" t="s">
        <v>1161</v>
      </c>
      <c r="Q413" s="170" t="s">
        <v>162</v>
      </c>
      <c r="R413" s="84">
        <v>0</v>
      </c>
      <c r="S413" s="84" t="s">
        <v>163</v>
      </c>
      <c r="T413" s="90">
        <v>45108</v>
      </c>
      <c r="U413" s="90">
        <v>46357</v>
      </c>
      <c r="V413" s="518"/>
      <c r="W413" s="170"/>
      <c r="X413" s="170"/>
      <c r="Y413" s="519"/>
      <c r="Z413" s="85"/>
      <c r="AA413" s="85"/>
      <c r="AB413" s="85"/>
      <c r="AC413" s="85"/>
      <c r="AD413" s="85"/>
      <c r="AE413" s="85"/>
      <c r="AF413" s="85"/>
      <c r="AG413" s="85"/>
      <c r="AH413" s="85"/>
      <c r="AI413" s="85"/>
      <c r="AJ413" s="85"/>
      <c r="AK413" s="157"/>
      <c r="AL413" s="157"/>
      <c r="AM413" s="157"/>
      <c r="AN413" s="157"/>
      <c r="AO413" s="157"/>
      <c r="AP413" s="170"/>
      <c r="AQ413" s="170"/>
      <c r="AR413" s="170"/>
      <c r="AS413" s="170"/>
      <c r="AT413" s="170"/>
      <c r="AU413" s="170"/>
      <c r="AV413" s="170"/>
      <c r="AW413" s="170"/>
      <c r="AX413" s="170"/>
      <c r="AY413" s="170"/>
      <c r="AZ413" s="692"/>
      <c r="BA413" s="170"/>
      <c r="BB413" s="170"/>
      <c r="BC413" s="170"/>
      <c r="BD413" s="170"/>
      <c r="BE413" s="170"/>
      <c r="BF413" s="170"/>
      <c r="BG413" s="170"/>
      <c r="BH413" s="170"/>
      <c r="BI413" s="170"/>
      <c r="BJ413" s="692"/>
      <c r="BK413" s="170"/>
      <c r="BL413" s="692"/>
      <c r="BM413" s="170"/>
      <c r="BN413" s="692"/>
      <c r="BO413" s="170"/>
      <c r="BP413" s="692"/>
      <c r="BQ413" s="170"/>
      <c r="BR413" s="170"/>
      <c r="BS413" s="170"/>
      <c r="BT413" s="170"/>
      <c r="BU413" s="170"/>
      <c r="BV413" s="170"/>
      <c r="BW413" s="170"/>
      <c r="BX413" s="170"/>
      <c r="BY413" s="170"/>
      <c r="BZ413" s="170"/>
      <c r="CA413" s="170"/>
      <c r="CB413" s="170"/>
      <c r="CC413" s="170"/>
      <c r="CD413" s="170"/>
      <c r="CE413" s="170"/>
      <c r="CF413" s="170"/>
      <c r="CG413" s="665"/>
      <c r="CH413" s="256"/>
      <c r="CI413" s="170"/>
      <c r="CJ413" s="83" t="str">
        <f t="shared" si="106"/>
        <v>No aplica</v>
      </c>
      <c r="CK413" s="83" t="str">
        <f t="shared" si="112"/>
        <v>No aplica</v>
      </c>
      <c r="CL413" s="83" t="str">
        <f t="shared" si="107"/>
        <v>No requiere reporte</v>
      </c>
      <c r="CM413" s="89" t="str">
        <f t="shared" si="108"/>
        <v>No requiere reporte</v>
      </c>
      <c r="CN413" s="89" t="str">
        <f t="shared" si="109"/>
        <v>No requiere reporte</v>
      </c>
      <c r="CO413" s="145" t="s">
        <v>332</v>
      </c>
      <c r="CP413" s="693" t="s">
        <v>3474</v>
      </c>
      <c r="CQ413" s="145" t="s">
        <v>3475</v>
      </c>
      <c r="CR413" s="693" t="s">
        <v>3476</v>
      </c>
      <c r="CS413" s="693" t="s">
        <v>3477</v>
      </c>
      <c r="CT413" s="145" t="s">
        <v>161</v>
      </c>
      <c r="CU413" s="145" t="s">
        <v>233</v>
      </c>
      <c r="CV413" s="145">
        <v>0</v>
      </c>
      <c r="CW413" s="145" t="s">
        <v>234</v>
      </c>
      <c r="CX413" s="695">
        <v>46023</v>
      </c>
      <c r="CY413" s="695">
        <v>46387</v>
      </c>
      <c r="CZ413" s="145"/>
      <c r="DA413" s="145">
        <v>1</v>
      </c>
      <c r="DB413" s="145">
        <v>0</v>
      </c>
      <c r="DC413" s="145">
        <v>0</v>
      </c>
      <c r="DD413" s="145">
        <v>1</v>
      </c>
      <c r="DE413" s="665" t="s">
        <v>2951</v>
      </c>
      <c r="DF413" s="665" t="s">
        <v>3294</v>
      </c>
      <c r="DG413" s="665" t="s">
        <v>3295</v>
      </c>
      <c r="DH413" s="696">
        <v>3500000000</v>
      </c>
      <c r="DI413" s="665"/>
      <c r="DJ413" s="665"/>
      <c r="DK413" s="665"/>
      <c r="DL413" s="665" t="s">
        <v>279</v>
      </c>
      <c r="DM413" s="665" t="s">
        <v>3296</v>
      </c>
      <c r="DN413" s="665"/>
      <c r="DO413" s="716"/>
      <c r="DP413" s="665"/>
      <c r="DQ413" s="716"/>
      <c r="DR413" s="716"/>
      <c r="DS413" s="665"/>
      <c r="DT413" s="716"/>
      <c r="DU413" s="665"/>
      <c r="DV413" s="716"/>
      <c r="DW413" s="716"/>
      <c r="DX413" s="665"/>
      <c r="DY413" s="716"/>
      <c r="DZ413" s="665"/>
      <c r="EA413" s="716"/>
      <c r="EB413" s="716"/>
      <c r="EC413" s="665"/>
      <c r="ED413" s="665"/>
      <c r="EE413" s="665"/>
      <c r="EF413" s="665"/>
      <c r="EG413" s="665"/>
      <c r="EH413" s="665"/>
      <c r="EI413" s="170"/>
      <c r="EJ413" s="170"/>
      <c r="EK413" s="262"/>
      <c r="EL413" s="91" t="str">
        <f t="shared" si="110"/>
        <v>No aplica, no hay meta</v>
      </c>
      <c r="EM413" s="83" t="str">
        <f t="shared" si="111"/>
        <v>No se reportó avance</v>
      </c>
      <c r="EN413" s="697"/>
    </row>
    <row r="414" spans="1:144" ht="50.1" customHeight="1">
      <c r="A414" s="170" t="s">
        <v>4671</v>
      </c>
      <c r="B414" s="517" t="s">
        <v>3272</v>
      </c>
      <c r="C414" s="173" t="s">
        <v>3273</v>
      </c>
      <c r="D414" s="173" t="s">
        <v>3274</v>
      </c>
      <c r="E414" s="173" t="s">
        <v>3275</v>
      </c>
      <c r="F414" s="170" t="s">
        <v>280</v>
      </c>
      <c r="G414" s="170"/>
      <c r="H414" s="170" t="s">
        <v>3276</v>
      </c>
      <c r="I414" s="170" t="s">
        <v>3277</v>
      </c>
      <c r="J414" s="170" t="s">
        <v>3277</v>
      </c>
      <c r="K414" s="170" t="s">
        <v>3278</v>
      </c>
      <c r="L414" s="170">
        <v>2</v>
      </c>
      <c r="M414" s="170" t="s">
        <v>3447</v>
      </c>
      <c r="N414" s="170" t="s">
        <v>3448</v>
      </c>
      <c r="O414" s="170" t="s">
        <v>3281</v>
      </c>
      <c r="P414" s="84" t="s">
        <v>1161</v>
      </c>
      <c r="Q414" s="170" t="s">
        <v>162</v>
      </c>
      <c r="R414" s="84">
        <v>0</v>
      </c>
      <c r="S414" s="84" t="s">
        <v>163</v>
      </c>
      <c r="T414" s="90">
        <v>45108</v>
      </c>
      <c r="U414" s="90">
        <v>46357</v>
      </c>
      <c r="V414" s="518"/>
      <c r="W414" s="170"/>
      <c r="X414" s="170"/>
      <c r="Y414" s="519"/>
      <c r="Z414" s="85"/>
      <c r="AA414" s="85"/>
      <c r="AB414" s="85"/>
      <c r="AC414" s="85"/>
      <c r="AD414" s="85"/>
      <c r="AE414" s="85"/>
      <c r="AF414" s="85"/>
      <c r="AG414" s="85"/>
      <c r="AH414" s="85"/>
      <c r="AI414" s="85"/>
      <c r="AJ414" s="85"/>
      <c r="AK414" s="157"/>
      <c r="AL414" s="157"/>
      <c r="AM414" s="157"/>
      <c r="AN414" s="157"/>
      <c r="AO414" s="157"/>
      <c r="AP414" s="170"/>
      <c r="AQ414" s="170"/>
      <c r="AR414" s="170"/>
      <c r="AS414" s="170"/>
      <c r="AT414" s="170"/>
      <c r="AU414" s="170"/>
      <c r="AV414" s="170"/>
      <c r="AW414" s="170"/>
      <c r="AX414" s="170"/>
      <c r="AY414" s="170"/>
      <c r="AZ414" s="692"/>
      <c r="BA414" s="170"/>
      <c r="BB414" s="170"/>
      <c r="BC414" s="170"/>
      <c r="BD414" s="170"/>
      <c r="BE414" s="170"/>
      <c r="BF414" s="170"/>
      <c r="BG414" s="170"/>
      <c r="BH414" s="170"/>
      <c r="BI414" s="170"/>
      <c r="BJ414" s="692"/>
      <c r="BK414" s="170"/>
      <c r="BL414" s="692"/>
      <c r="BM414" s="170"/>
      <c r="BN414" s="692"/>
      <c r="BO414" s="170"/>
      <c r="BP414" s="692"/>
      <c r="BQ414" s="170"/>
      <c r="BR414" s="170"/>
      <c r="BS414" s="170"/>
      <c r="BT414" s="170"/>
      <c r="BU414" s="170"/>
      <c r="BV414" s="170"/>
      <c r="BW414" s="170"/>
      <c r="BX414" s="170"/>
      <c r="BY414" s="170"/>
      <c r="BZ414" s="170"/>
      <c r="CA414" s="170"/>
      <c r="CB414" s="170"/>
      <c r="CC414" s="170"/>
      <c r="CD414" s="170"/>
      <c r="CE414" s="170"/>
      <c r="CF414" s="170"/>
      <c r="CG414" s="665"/>
      <c r="CH414" s="256"/>
      <c r="CI414" s="170"/>
      <c r="CJ414" s="83" t="str">
        <f t="shared" si="106"/>
        <v>No aplica</v>
      </c>
      <c r="CK414" s="83" t="str">
        <f t="shared" si="112"/>
        <v>No aplica</v>
      </c>
      <c r="CL414" s="83" t="str">
        <f t="shared" si="107"/>
        <v>No requiere reporte</v>
      </c>
      <c r="CM414" s="89" t="str">
        <f t="shared" si="108"/>
        <v>No requiere reporte</v>
      </c>
      <c r="CN414" s="89" t="str">
        <f t="shared" si="109"/>
        <v>No requiere reporte</v>
      </c>
      <c r="CO414" s="145" t="s">
        <v>1247</v>
      </c>
      <c r="CP414" s="693" t="s">
        <v>3478</v>
      </c>
      <c r="CQ414" s="145" t="s">
        <v>3479</v>
      </c>
      <c r="CR414" s="694" t="s">
        <v>3480</v>
      </c>
      <c r="CS414" s="694" t="s">
        <v>3481</v>
      </c>
      <c r="CT414" s="145" t="s">
        <v>200</v>
      </c>
      <c r="CU414" s="145" t="s">
        <v>233</v>
      </c>
      <c r="CV414" s="291">
        <v>0</v>
      </c>
      <c r="CW414" s="145" t="s">
        <v>163</v>
      </c>
      <c r="CX414" s="695">
        <v>46023</v>
      </c>
      <c r="CY414" s="695">
        <v>46387</v>
      </c>
      <c r="CZ414" s="157">
        <v>0.15</v>
      </c>
      <c r="DA414" s="157">
        <v>0.15</v>
      </c>
      <c r="DB414" s="157">
        <v>0</v>
      </c>
      <c r="DC414" s="157">
        <v>0.45</v>
      </c>
      <c r="DD414" s="157">
        <v>0.75</v>
      </c>
      <c r="DE414" s="665" t="s">
        <v>2951</v>
      </c>
      <c r="DF414" s="665" t="s">
        <v>762</v>
      </c>
      <c r="DG414" s="665" t="s">
        <v>3359</v>
      </c>
      <c r="DH414" s="696">
        <f>700000000-700000000</f>
        <v>0</v>
      </c>
      <c r="DI414" s="665"/>
      <c r="DJ414" s="665"/>
      <c r="DK414" s="665"/>
      <c r="DL414" s="665" t="s">
        <v>279</v>
      </c>
      <c r="DM414" s="665" t="s">
        <v>3296</v>
      </c>
      <c r="DN414" s="665"/>
      <c r="DO414" s="716"/>
      <c r="DP414" s="665"/>
      <c r="DQ414" s="716"/>
      <c r="DR414" s="716"/>
      <c r="DS414" s="665"/>
      <c r="DT414" s="716"/>
      <c r="DU414" s="665"/>
      <c r="DV414" s="716"/>
      <c r="DW414" s="716"/>
      <c r="DX414" s="665"/>
      <c r="DY414" s="716"/>
      <c r="DZ414" s="665"/>
      <c r="EA414" s="716"/>
      <c r="EB414" s="716"/>
      <c r="EC414" s="665"/>
      <c r="ED414" s="665"/>
      <c r="EE414" s="665"/>
      <c r="EF414" s="665"/>
      <c r="EG414" s="665"/>
      <c r="EH414" s="666"/>
      <c r="EI414" s="170"/>
      <c r="EJ414" s="170"/>
      <c r="EK414" s="262"/>
      <c r="EL414" s="91" t="str">
        <f t="shared" si="110"/>
        <v>No se reportó avance</v>
      </c>
      <c r="EM414" s="83" t="str">
        <f t="shared" si="111"/>
        <v>No se reportó avance</v>
      </c>
      <c r="EN414" s="697"/>
    </row>
    <row r="415" spans="1:144" ht="50.1" customHeight="1">
      <c r="A415" s="170" t="s">
        <v>4671</v>
      </c>
      <c r="B415" s="517" t="s">
        <v>3272</v>
      </c>
      <c r="C415" s="173" t="s">
        <v>3273</v>
      </c>
      <c r="D415" s="173" t="s">
        <v>3274</v>
      </c>
      <c r="E415" s="173" t="s">
        <v>3275</v>
      </c>
      <c r="F415" s="170" t="s">
        <v>280</v>
      </c>
      <c r="G415" s="170"/>
      <c r="H415" s="170" t="s">
        <v>3276</v>
      </c>
      <c r="I415" s="170" t="s">
        <v>3277</v>
      </c>
      <c r="J415" s="170" t="s">
        <v>3277</v>
      </c>
      <c r="K415" s="170" t="s">
        <v>3278</v>
      </c>
      <c r="L415" s="170">
        <v>2</v>
      </c>
      <c r="M415" s="170" t="s">
        <v>3447</v>
      </c>
      <c r="N415" s="170" t="s">
        <v>3448</v>
      </c>
      <c r="O415" s="170" t="s">
        <v>3281</v>
      </c>
      <c r="P415" s="84" t="s">
        <v>1161</v>
      </c>
      <c r="Q415" s="170" t="s">
        <v>162</v>
      </c>
      <c r="R415" s="84">
        <v>0</v>
      </c>
      <c r="S415" s="84" t="s">
        <v>163</v>
      </c>
      <c r="T415" s="90">
        <v>45108</v>
      </c>
      <c r="U415" s="90">
        <v>46357</v>
      </c>
      <c r="V415" s="518"/>
      <c r="W415" s="170"/>
      <c r="X415" s="170"/>
      <c r="Y415" s="519"/>
      <c r="Z415" s="85"/>
      <c r="AA415" s="85"/>
      <c r="AB415" s="85"/>
      <c r="AC415" s="85"/>
      <c r="AD415" s="85"/>
      <c r="AE415" s="85"/>
      <c r="AF415" s="85"/>
      <c r="AG415" s="85"/>
      <c r="AH415" s="85"/>
      <c r="AI415" s="85"/>
      <c r="AJ415" s="85"/>
      <c r="AK415" s="157"/>
      <c r="AL415" s="157"/>
      <c r="AM415" s="157"/>
      <c r="AN415" s="157"/>
      <c r="AO415" s="157"/>
      <c r="AP415" s="170"/>
      <c r="AQ415" s="170"/>
      <c r="AR415" s="170"/>
      <c r="AS415" s="170"/>
      <c r="AT415" s="170"/>
      <c r="AU415" s="170"/>
      <c r="AV415" s="170"/>
      <c r="AW415" s="170"/>
      <c r="AX415" s="170"/>
      <c r="AY415" s="170"/>
      <c r="AZ415" s="692"/>
      <c r="BA415" s="170"/>
      <c r="BB415" s="170"/>
      <c r="BC415" s="170"/>
      <c r="BD415" s="170"/>
      <c r="BE415" s="170"/>
      <c r="BF415" s="170"/>
      <c r="BG415" s="170"/>
      <c r="BH415" s="170"/>
      <c r="BI415" s="170"/>
      <c r="BJ415" s="692"/>
      <c r="BK415" s="170"/>
      <c r="BL415" s="692"/>
      <c r="BM415" s="170"/>
      <c r="BN415" s="692"/>
      <c r="BO415" s="170"/>
      <c r="BP415" s="692"/>
      <c r="BQ415" s="170"/>
      <c r="BR415" s="170"/>
      <c r="BS415" s="170"/>
      <c r="BT415" s="170"/>
      <c r="BU415" s="170"/>
      <c r="BV415" s="170"/>
      <c r="BW415" s="170"/>
      <c r="BX415" s="170"/>
      <c r="BY415" s="170"/>
      <c r="BZ415" s="170"/>
      <c r="CA415" s="170"/>
      <c r="CB415" s="170"/>
      <c r="CC415" s="170"/>
      <c r="CD415" s="170"/>
      <c r="CE415" s="170"/>
      <c r="CF415" s="170"/>
      <c r="CG415" s="665"/>
      <c r="CH415" s="256"/>
      <c r="CI415" s="170"/>
      <c r="CJ415" s="83" t="str">
        <f t="shared" ref="CJ415:CJ478" si="113">+IFERROR(CH415/CG415,"No aplica")</f>
        <v>No aplica</v>
      </c>
      <c r="CK415" s="83" t="str">
        <f t="shared" si="112"/>
        <v>No aplica</v>
      </c>
      <c r="CL415" s="83" t="str">
        <f t="shared" si="107"/>
        <v>No requiere reporte</v>
      </c>
      <c r="CM415" s="89" t="str">
        <f t="shared" si="108"/>
        <v>No requiere reporte</v>
      </c>
      <c r="CN415" s="89" t="str">
        <f t="shared" si="109"/>
        <v>No requiere reporte</v>
      </c>
      <c r="CO415" s="145" t="s">
        <v>1252</v>
      </c>
      <c r="CP415" s="694" t="s">
        <v>3482</v>
      </c>
      <c r="CQ415" s="145" t="s">
        <v>3483</v>
      </c>
      <c r="CR415" s="694" t="s">
        <v>3484</v>
      </c>
      <c r="CS415" s="693" t="s">
        <v>3485</v>
      </c>
      <c r="CT415" s="145" t="s">
        <v>161</v>
      </c>
      <c r="CU415" s="145" t="s">
        <v>233</v>
      </c>
      <c r="CV415" s="145">
        <v>0</v>
      </c>
      <c r="CW415" s="145" t="s">
        <v>234</v>
      </c>
      <c r="CX415" s="695">
        <v>46023</v>
      </c>
      <c r="CY415" s="695">
        <v>46387</v>
      </c>
      <c r="CZ415" s="145"/>
      <c r="DA415" s="178"/>
      <c r="DB415" s="178">
        <v>1</v>
      </c>
      <c r="DC415" s="178">
        <v>4</v>
      </c>
      <c r="DD415" s="178">
        <v>5</v>
      </c>
      <c r="DE415" s="665" t="s">
        <v>2951</v>
      </c>
      <c r="DF415" s="665" t="s">
        <v>762</v>
      </c>
      <c r="DG415" s="665" t="s">
        <v>3359</v>
      </c>
      <c r="DH415" s="696">
        <f>1200000000-1200000000</f>
        <v>0</v>
      </c>
      <c r="DI415" s="665"/>
      <c r="DJ415" s="665"/>
      <c r="DK415" s="665"/>
      <c r="DL415" s="665" t="s">
        <v>279</v>
      </c>
      <c r="DM415" s="665" t="s">
        <v>3296</v>
      </c>
      <c r="DN415" s="665"/>
      <c r="DO415" s="716"/>
      <c r="DP415" s="665"/>
      <c r="DQ415" s="716"/>
      <c r="DR415" s="716"/>
      <c r="DS415" s="665"/>
      <c r="DT415" s="716"/>
      <c r="DU415" s="665"/>
      <c r="DV415" s="716"/>
      <c r="DW415" s="716"/>
      <c r="DX415" s="665"/>
      <c r="DY415" s="716"/>
      <c r="DZ415" s="665"/>
      <c r="EA415" s="716"/>
      <c r="EB415" s="716"/>
      <c r="EC415" s="665"/>
      <c r="ED415" s="665"/>
      <c r="EE415" s="665"/>
      <c r="EF415" s="665"/>
      <c r="EG415" s="665"/>
      <c r="EH415" s="665"/>
      <c r="EI415" s="170"/>
      <c r="EJ415" s="170"/>
      <c r="EK415" s="262"/>
      <c r="EL415" s="91" t="str">
        <f t="shared" si="110"/>
        <v>No aplica, no hay meta</v>
      </c>
      <c r="EM415" s="83" t="str">
        <f t="shared" si="111"/>
        <v>No se reportó avance</v>
      </c>
      <c r="EN415" s="697"/>
    </row>
    <row r="416" spans="1:144" ht="50.1" customHeight="1">
      <c r="A416" s="170" t="s">
        <v>4671</v>
      </c>
      <c r="B416" s="517" t="s">
        <v>3272</v>
      </c>
      <c r="C416" s="173" t="s">
        <v>3273</v>
      </c>
      <c r="D416" s="173" t="s">
        <v>3274</v>
      </c>
      <c r="E416" s="173" t="s">
        <v>3275</v>
      </c>
      <c r="F416" s="170" t="s">
        <v>280</v>
      </c>
      <c r="G416" s="170"/>
      <c r="H416" s="170" t="s">
        <v>3276</v>
      </c>
      <c r="I416" s="170" t="s">
        <v>3277</v>
      </c>
      <c r="J416" s="170" t="s">
        <v>3277</v>
      </c>
      <c r="K416" s="170" t="s">
        <v>3278</v>
      </c>
      <c r="L416" s="170">
        <v>2</v>
      </c>
      <c r="M416" s="170" t="s">
        <v>3447</v>
      </c>
      <c r="N416" s="170" t="s">
        <v>3448</v>
      </c>
      <c r="O416" s="170" t="s">
        <v>3281</v>
      </c>
      <c r="P416" s="84" t="s">
        <v>1161</v>
      </c>
      <c r="Q416" s="170" t="s">
        <v>162</v>
      </c>
      <c r="R416" s="84">
        <v>0</v>
      </c>
      <c r="S416" s="84" t="s">
        <v>163</v>
      </c>
      <c r="T416" s="90">
        <v>45108</v>
      </c>
      <c r="U416" s="90">
        <v>46357</v>
      </c>
      <c r="V416" s="518"/>
      <c r="W416" s="170"/>
      <c r="X416" s="170"/>
      <c r="Y416" s="519"/>
      <c r="Z416" s="85"/>
      <c r="AA416" s="85"/>
      <c r="AB416" s="85"/>
      <c r="AC416" s="85"/>
      <c r="AD416" s="85"/>
      <c r="AE416" s="85"/>
      <c r="AF416" s="85"/>
      <c r="AG416" s="85"/>
      <c r="AH416" s="85"/>
      <c r="AI416" s="85"/>
      <c r="AJ416" s="85"/>
      <c r="AK416" s="157"/>
      <c r="AL416" s="157"/>
      <c r="AM416" s="157"/>
      <c r="AN416" s="157"/>
      <c r="AO416" s="157"/>
      <c r="AP416" s="170"/>
      <c r="AQ416" s="170"/>
      <c r="AR416" s="170"/>
      <c r="AS416" s="170"/>
      <c r="AT416" s="170"/>
      <c r="AU416" s="170"/>
      <c r="AV416" s="170"/>
      <c r="AW416" s="170"/>
      <c r="AX416" s="170"/>
      <c r="AY416" s="170"/>
      <c r="AZ416" s="692"/>
      <c r="BA416" s="170"/>
      <c r="BB416" s="170"/>
      <c r="BC416" s="170"/>
      <c r="BD416" s="170"/>
      <c r="BE416" s="170"/>
      <c r="BF416" s="170"/>
      <c r="BG416" s="170"/>
      <c r="BH416" s="170"/>
      <c r="BI416" s="170"/>
      <c r="BJ416" s="692"/>
      <c r="BK416" s="170"/>
      <c r="BL416" s="692"/>
      <c r="BM416" s="170"/>
      <c r="BN416" s="692"/>
      <c r="BO416" s="170"/>
      <c r="BP416" s="692"/>
      <c r="BQ416" s="170"/>
      <c r="BR416" s="170"/>
      <c r="BS416" s="170"/>
      <c r="BT416" s="170"/>
      <c r="BU416" s="170"/>
      <c r="BV416" s="170"/>
      <c r="BW416" s="170"/>
      <c r="BX416" s="170"/>
      <c r="BY416" s="170"/>
      <c r="BZ416" s="170"/>
      <c r="CA416" s="170"/>
      <c r="CB416" s="170"/>
      <c r="CC416" s="170"/>
      <c r="CD416" s="170"/>
      <c r="CE416" s="170"/>
      <c r="CF416" s="170"/>
      <c r="CG416" s="665"/>
      <c r="CH416" s="256"/>
      <c r="CI416" s="170"/>
      <c r="CJ416" s="83" t="str">
        <f t="shared" si="113"/>
        <v>No aplica</v>
      </c>
      <c r="CK416" s="83" t="str">
        <f t="shared" si="112"/>
        <v>No aplica</v>
      </c>
      <c r="CL416" s="83" t="str">
        <f t="shared" si="107"/>
        <v>No requiere reporte</v>
      </c>
      <c r="CM416" s="89" t="str">
        <f t="shared" si="108"/>
        <v>No requiere reporte</v>
      </c>
      <c r="CN416" s="89" t="str">
        <f t="shared" si="109"/>
        <v>No requiere reporte</v>
      </c>
      <c r="CO416" s="145" t="s">
        <v>1257</v>
      </c>
      <c r="CP416" s="693" t="s">
        <v>3486</v>
      </c>
      <c r="CQ416" s="145" t="s">
        <v>3487</v>
      </c>
      <c r="CR416" s="693" t="s">
        <v>3488</v>
      </c>
      <c r="CS416" s="693" t="s">
        <v>3489</v>
      </c>
      <c r="CT416" s="145" t="s">
        <v>161</v>
      </c>
      <c r="CU416" s="145" t="s">
        <v>233</v>
      </c>
      <c r="CV416" s="291">
        <v>0</v>
      </c>
      <c r="CW416" s="145" t="s">
        <v>163</v>
      </c>
      <c r="CX416" s="695">
        <v>46023</v>
      </c>
      <c r="CY416" s="695">
        <v>46387</v>
      </c>
      <c r="CZ416" s="157">
        <v>0</v>
      </c>
      <c r="DA416" s="157">
        <v>0</v>
      </c>
      <c r="DB416" s="157">
        <v>0.25</v>
      </c>
      <c r="DC416" s="157">
        <v>0.5</v>
      </c>
      <c r="DD416" s="157">
        <v>0.75</v>
      </c>
      <c r="DE416" s="665" t="s">
        <v>396</v>
      </c>
      <c r="DF416" s="665" t="s">
        <v>3337</v>
      </c>
      <c r="DG416" s="665" t="s">
        <v>3338</v>
      </c>
      <c r="DH416" s="696">
        <v>600000000</v>
      </c>
      <c r="DI416" s="665"/>
      <c r="DJ416" s="665"/>
      <c r="DK416" s="665"/>
      <c r="DL416" s="665" t="s">
        <v>279</v>
      </c>
      <c r="DM416" s="665" t="s">
        <v>3296</v>
      </c>
      <c r="DN416" s="665"/>
      <c r="DO416" s="716"/>
      <c r="DP416" s="665"/>
      <c r="DQ416" s="716"/>
      <c r="DR416" s="716"/>
      <c r="DS416" s="717"/>
      <c r="DT416" s="716"/>
      <c r="DU416" s="665"/>
      <c r="DV416" s="716"/>
      <c r="DW416" s="716"/>
      <c r="DX416" s="717"/>
      <c r="DY416" s="716"/>
      <c r="DZ416" s="665"/>
      <c r="EA416" s="716"/>
      <c r="EB416" s="716"/>
      <c r="EC416" s="665"/>
      <c r="ED416" s="665"/>
      <c r="EE416" s="665"/>
      <c r="EF416" s="665"/>
      <c r="EG416" s="665"/>
      <c r="EH416" s="666"/>
      <c r="EI416" s="170"/>
      <c r="EJ416" s="170"/>
      <c r="EK416" s="262"/>
      <c r="EL416" s="91" t="str">
        <f t="shared" si="110"/>
        <v>No aplica, no hay meta</v>
      </c>
      <c r="EM416" s="83" t="str">
        <f t="shared" si="111"/>
        <v>No se reportó avance</v>
      </c>
      <c r="EN416" s="697"/>
    </row>
    <row r="417" spans="1:144" ht="50.1" customHeight="1">
      <c r="A417" s="170" t="s">
        <v>4671</v>
      </c>
      <c r="B417" s="517" t="s">
        <v>3272</v>
      </c>
      <c r="C417" s="173" t="s">
        <v>3273</v>
      </c>
      <c r="D417" s="173" t="s">
        <v>3274</v>
      </c>
      <c r="E417" s="173" t="s">
        <v>3275</v>
      </c>
      <c r="F417" s="170" t="s">
        <v>280</v>
      </c>
      <c r="G417" s="170"/>
      <c r="H417" s="170" t="s">
        <v>3276</v>
      </c>
      <c r="I417" s="170" t="s">
        <v>3277</v>
      </c>
      <c r="J417" s="170" t="s">
        <v>3277</v>
      </c>
      <c r="K417" s="170" t="s">
        <v>3278</v>
      </c>
      <c r="L417" s="170">
        <v>2</v>
      </c>
      <c r="M417" s="170" t="s">
        <v>3447</v>
      </c>
      <c r="N417" s="170" t="s">
        <v>3448</v>
      </c>
      <c r="O417" s="170" t="s">
        <v>3281</v>
      </c>
      <c r="P417" s="84" t="s">
        <v>1161</v>
      </c>
      <c r="Q417" s="170" t="s">
        <v>162</v>
      </c>
      <c r="R417" s="84">
        <v>0</v>
      </c>
      <c r="S417" s="84" t="s">
        <v>163</v>
      </c>
      <c r="T417" s="90">
        <v>45108</v>
      </c>
      <c r="U417" s="90">
        <v>46357</v>
      </c>
      <c r="V417" s="518"/>
      <c r="W417" s="170"/>
      <c r="X417" s="170"/>
      <c r="Y417" s="519"/>
      <c r="Z417" s="85"/>
      <c r="AA417" s="85"/>
      <c r="AB417" s="85"/>
      <c r="AC417" s="85"/>
      <c r="AD417" s="85"/>
      <c r="AE417" s="85"/>
      <c r="AF417" s="85"/>
      <c r="AG417" s="85"/>
      <c r="AH417" s="85"/>
      <c r="AI417" s="85"/>
      <c r="AJ417" s="85"/>
      <c r="AK417" s="157"/>
      <c r="AL417" s="157"/>
      <c r="AM417" s="157"/>
      <c r="AN417" s="157"/>
      <c r="AO417" s="157"/>
      <c r="AP417" s="170"/>
      <c r="AQ417" s="170"/>
      <c r="AR417" s="170"/>
      <c r="AS417" s="170"/>
      <c r="AT417" s="170"/>
      <c r="AU417" s="170"/>
      <c r="AV417" s="170"/>
      <c r="AW417" s="170"/>
      <c r="AX417" s="170"/>
      <c r="AY417" s="170"/>
      <c r="AZ417" s="692"/>
      <c r="BA417" s="170"/>
      <c r="BB417" s="170"/>
      <c r="BC417" s="170"/>
      <c r="BD417" s="170"/>
      <c r="BE417" s="170"/>
      <c r="BF417" s="170"/>
      <c r="BG417" s="170"/>
      <c r="BH417" s="170"/>
      <c r="BI417" s="170"/>
      <c r="BJ417" s="692"/>
      <c r="BK417" s="170"/>
      <c r="BL417" s="692"/>
      <c r="BM417" s="170"/>
      <c r="BN417" s="692"/>
      <c r="BO417" s="170"/>
      <c r="BP417" s="692"/>
      <c r="BQ417" s="170"/>
      <c r="BR417" s="170"/>
      <c r="BS417" s="170"/>
      <c r="BT417" s="170"/>
      <c r="BU417" s="170"/>
      <c r="BV417" s="170"/>
      <c r="BW417" s="170"/>
      <c r="BX417" s="170"/>
      <c r="BY417" s="170"/>
      <c r="BZ417" s="170"/>
      <c r="CA417" s="170"/>
      <c r="CB417" s="170"/>
      <c r="CC417" s="170"/>
      <c r="CD417" s="170"/>
      <c r="CE417" s="170"/>
      <c r="CF417" s="170"/>
      <c r="CG417" s="665"/>
      <c r="CH417" s="256"/>
      <c r="CI417" s="170"/>
      <c r="CJ417" s="83" t="str">
        <f t="shared" si="113"/>
        <v>No aplica</v>
      </c>
      <c r="CK417" s="83" t="str">
        <f t="shared" si="112"/>
        <v>No aplica</v>
      </c>
      <c r="CL417" s="83" t="str">
        <f t="shared" si="107"/>
        <v>No requiere reporte</v>
      </c>
      <c r="CM417" s="89" t="str">
        <f t="shared" si="108"/>
        <v>No requiere reporte</v>
      </c>
      <c r="CN417" s="89" t="str">
        <f t="shared" si="109"/>
        <v>No requiere reporte</v>
      </c>
      <c r="CO417" s="145" t="s">
        <v>1262</v>
      </c>
      <c r="CP417" s="693" t="s">
        <v>3490</v>
      </c>
      <c r="CQ417" s="145" t="s">
        <v>3491</v>
      </c>
      <c r="CR417" s="693" t="s">
        <v>3492</v>
      </c>
      <c r="CS417" s="693" t="s">
        <v>3493</v>
      </c>
      <c r="CT417" s="145" t="s">
        <v>161</v>
      </c>
      <c r="CU417" s="714" t="s">
        <v>162</v>
      </c>
      <c r="CV417" s="291">
        <v>0</v>
      </c>
      <c r="CW417" s="145" t="s">
        <v>163</v>
      </c>
      <c r="CX417" s="695">
        <v>46023</v>
      </c>
      <c r="CY417" s="695">
        <v>46387</v>
      </c>
      <c r="CZ417" s="157"/>
      <c r="DA417" s="146">
        <v>1</v>
      </c>
      <c r="DB417" s="146">
        <v>1</v>
      </c>
      <c r="DC417" s="146">
        <v>1</v>
      </c>
      <c r="DD417" s="146">
        <v>1</v>
      </c>
      <c r="DE417" s="665" t="s">
        <v>396</v>
      </c>
      <c r="DF417" s="665" t="s">
        <v>3337</v>
      </c>
      <c r="DG417" s="665" t="s">
        <v>3338</v>
      </c>
      <c r="DH417" s="696">
        <v>300000000</v>
      </c>
      <c r="DI417" s="665"/>
      <c r="DJ417" s="665"/>
      <c r="DK417" s="665"/>
      <c r="DL417" s="665" t="s">
        <v>279</v>
      </c>
      <c r="DM417" s="665" t="s">
        <v>3296</v>
      </c>
      <c r="DN417" s="218"/>
      <c r="DO417" s="716"/>
      <c r="DP417" s="665"/>
      <c r="DQ417" s="716"/>
      <c r="DR417" s="716"/>
      <c r="DS417" s="218"/>
      <c r="DT417" s="716"/>
      <c r="DU417" s="665"/>
      <c r="DV417" s="716"/>
      <c r="DW417" s="716"/>
      <c r="DX417" s="218"/>
      <c r="DY417" s="716"/>
      <c r="DZ417" s="665"/>
      <c r="EA417" s="716"/>
      <c r="EB417" s="716"/>
      <c r="EC417" s="665"/>
      <c r="ED417" s="665"/>
      <c r="EE417" s="665"/>
      <c r="EF417" s="665"/>
      <c r="EG417" s="665"/>
      <c r="EH417" s="666"/>
      <c r="EI417" s="170"/>
      <c r="EJ417" s="170"/>
      <c r="EK417" s="262"/>
      <c r="EL417" s="91" t="str">
        <f t="shared" si="110"/>
        <v>No aplica, no hay meta</v>
      </c>
      <c r="EM417" s="83" t="str">
        <f t="shared" si="111"/>
        <v>No se reportó avance</v>
      </c>
      <c r="EN417" s="697"/>
    </row>
    <row r="418" spans="1:144" ht="50.1" customHeight="1">
      <c r="A418" s="170" t="s">
        <v>4671</v>
      </c>
      <c r="B418" s="517" t="s">
        <v>3272</v>
      </c>
      <c r="C418" s="173" t="s">
        <v>3273</v>
      </c>
      <c r="D418" s="173" t="s">
        <v>3274</v>
      </c>
      <c r="E418" s="173" t="s">
        <v>3275</v>
      </c>
      <c r="F418" s="170" t="s">
        <v>280</v>
      </c>
      <c r="G418" s="170"/>
      <c r="H418" s="170" t="s">
        <v>3276</v>
      </c>
      <c r="I418" s="170" t="s">
        <v>3277</v>
      </c>
      <c r="J418" s="170" t="s">
        <v>3277</v>
      </c>
      <c r="K418" s="170" t="s">
        <v>3278</v>
      </c>
      <c r="L418" s="170">
        <v>2</v>
      </c>
      <c r="M418" s="170" t="s">
        <v>3447</v>
      </c>
      <c r="N418" s="170" t="s">
        <v>3448</v>
      </c>
      <c r="O418" s="170" t="s">
        <v>3281</v>
      </c>
      <c r="P418" s="84" t="s">
        <v>1161</v>
      </c>
      <c r="Q418" s="170" t="s">
        <v>162</v>
      </c>
      <c r="R418" s="84">
        <v>0</v>
      </c>
      <c r="S418" s="84" t="s">
        <v>163</v>
      </c>
      <c r="T418" s="90">
        <v>45108</v>
      </c>
      <c r="U418" s="90">
        <v>46357</v>
      </c>
      <c r="V418" s="518"/>
      <c r="W418" s="170"/>
      <c r="X418" s="170"/>
      <c r="Y418" s="519"/>
      <c r="Z418" s="85"/>
      <c r="AA418" s="85"/>
      <c r="AB418" s="85"/>
      <c r="AC418" s="85"/>
      <c r="AD418" s="85"/>
      <c r="AE418" s="85"/>
      <c r="AF418" s="85"/>
      <c r="AG418" s="85"/>
      <c r="AH418" s="85"/>
      <c r="AI418" s="85"/>
      <c r="AJ418" s="85"/>
      <c r="AK418" s="157"/>
      <c r="AL418" s="157"/>
      <c r="AM418" s="157"/>
      <c r="AN418" s="157"/>
      <c r="AO418" s="157"/>
      <c r="AP418" s="170"/>
      <c r="AQ418" s="170"/>
      <c r="AR418" s="170"/>
      <c r="AS418" s="170"/>
      <c r="AT418" s="170"/>
      <c r="AU418" s="170"/>
      <c r="AV418" s="170"/>
      <c r="AW418" s="170"/>
      <c r="AX418" s="170"/>
      <c r="AY418" s="170"/>
      <c r="AZ418" s="692"/>
      <c r="BA418" s="170"/>
      <c r="BB418" s="170"/>
      <c r="BC418" s="170"/>
      <c r="BD418" s="170"/>
      <c r="BE418" s="170"/>
      <c r="BF418" s="170"/>
      <c r="BG418" s="170"/>
      <c r="BH418" s="170"/>
      <c r="BI418" s="170"/>
      <c r="BJ418" s="692"/>
      <c r="BK418" s="170"/>
      <c r="BL418" s="692"/>
      <c r="BM418" s="170"/>
      <c r="BN418" s="692"/>
      <c r="BO418" s="170"/>
      <c r="BP418" s="692"/>
      <c r="BQ418" s="170"/>
      <c r="BR418" s="170"/>
      <c r="BS418" s="170"/>
      <c r="BT418" s="170"/>
      <c r="BU418" s="170"/>
      <c r="BV418" s="170"/>
      <c r="BW418" s="170"/>
      <c r="BX418" s="170"/>
      <c r="BY418" s="170"/>
      <c r="BZ418" s="170"/>
      <c r="CA418" s="170"/>
      <c r="CB418" s="170"/>
      <c r="CC418" s="170"/>
      <c r="CD418" s="170"/>
      <c r="CE418" s="170"/>
      <c r="CF418" s="170"/>
      <c r="CG418" s="665"/>
      <c r="CH418" s="256"/>
      <c r="CI418" s="170"/>
      <c r="CJ418" s="83" t="str">
        <f t="shared" si="113"/>
        <v>No aplica</v>
      </c>
      <c r="CK418" s="83" t="str">
        <f t="shared" si="112"/>
        <v>No aplica</v>
      </c>
      <c r="CL418" s="83" t="str">
        <f t="shared" si="107"/>
        <v>No requiere reporte</v>
      </c>
      <c r="CM418" s="89" t="str">
        <f t="shared" si="108"/>
        <v>No requiere reporte</v>
      </c>
      <c r="CN418" s="89" t="str">
        <f t="shared" si="109"/>
        <v>No requiere reporte</v>
      </c>
      <c r="CO418" s="145" t="s">
        <v>1266</v>
      </c>
      <c r="CP418" s="693" t="s">
        <v>3494</v>
      </c>
      <c r="CQ418" s="145" t="s">
        <v>3495</v>
      </c>
      <c r="CR418" s="693" t="s">
        <v>3496</v>
      </c>
      <c r="CS418" s="693" t="s">
        <v>3497</v>
      </c>
      <c r="CT418" s="145" t="s">
        <v>200</v>
      </c>
      <c r="CU418" s="714" t="s">
        <v>162</v>
      </c>
      <c r="CV418" s="291">
        <v>0</v>
      </c>
      <c r="CW418" s="145" t="s">
        <v>163</v>
      </c>
      <c r="CX418" s="695">
        <v>46023</v>
      </c>
      <c r="CY418" s="695">
        <v>46387</v>
      </c>
      <c r="CZ418" s="146">
        <v>1</v>
      </c>
      <c r="DA418" s="146">
        <v>1</v>
      </c>
      <c r="DB418" s="146">
        <v>1</v>
      </c>
      <c r="DC418" s="146">
        <v>1</v>
      </c>
      <c r="DD418" s="146">
        <v>1</v>
      </c>
      <c r="DE418" s="665" t="s">
        <v>2951</v>
      </c>
      <c r="DF418" s="665" t="s">
        <v>3294</v>
      </c>
      <c r="DG418" s="665" t="s">
        <v>3295</v>
      </c>
      <c r="DH418" s="696">
        <v>50000000</v>
      </c>
      <c r="DI418" s="665"/>
      <c r="DJ418" s="665"/>
      <c r="DK418" s="665"/>
      <c r="DL418" s="665" t="s">
        <v>279</v>
      </c>
      <c r="DM418" s="665" t="s">
        <v>3296</v>
      </c>
      <c r="DN418" s="218"/>
      <c r="DO418" s="716"/>
      <c r="DP418" s="665"/>
      <c r="DQ418" s="716"/>
      <c r="DR418" s="716"/>
      <c r="DS418" s="218"/>
      <c r="DT418" s="716"/>
      <c r="DU418" s="665"/>
      <c r="DV418" s="716"/>
      <c r="DW418" s="716"/>
      <c r="DX418" s="218"/>
      <c r="DY418" s="716"/>
      <c r="DZ418" s="665"/>
      <c r="EA418" s="716"/>
      <c r="EB418" s="716"/>
      <c r="EC418" s="665"/>
      <c r="ED418" s="665"/>
      <c r="EE418" s="665"/>
      <c r="EF418" s="665"/>
      <c r="EG418" s="665"/>
      <c r="EH418" s="146"/>
      <c r="EI418" s="170"/>
      <c r="EJ418" s="170"/>
      <c r="EK418" s="262"/>
      <c r="EL418" s="91" t="str">
        <f t="shared" si="110"/>
        <v>No se reportó avance</v>
      </c>
      <c r="EM418" s="83" t="str">
        <f t="shared" si="111"/>
        <v>No se reportó avance</v>
      </c>
      <c r="EN418" s="697"/>
    </row>
    <row r="419" spans="1:144" ht="50.1" customHeight="1">
      <c r="A419" s="203" t="s">
        <v>4671</v>
      </c>
      <c r="B419" s="505" t="s">
        <v>3272</v>
      </c>
      <c r="C419" s="202" t="s">
        <v>3273</v>
      </c>
      <c r="D419" s="202" t="s">
        <v>3274</v>
      </c>
      <c r="E419" s="202" t="s">
        <v>3275</v>
      </c>
      <c r="F419" s="203" t="s">
        <v>280</v>
      </c>
      <c r="G419" s="203"/>
      <c r="H419" s="203" t="s">
        <v>3276</v>
      </c>
      <c r="I419" s="203" t="s">
        <v>3277</v>
      </c>
      <c r="J419" s="203" t="s">
        <v>3277</v>
      </c>
      <c r="K419" s="203" t="s">
        <v>3278</v>
      </c>
      <c r="L419" s="255">
        <v>3</v>
      </c>
      <c r="M419" s="78" t="s">
        <v>3498</v>
      </c>
      <c r="N419" s="78" t="s">
        <v>3499</v>
      </c>
      <c r="O419" s="78" t="s">
        <v>3281</v>
      </c>
      <c r="P419" s="78" t="s">
        <v>1161</v>
      </c>
      <c r="Q419" s="255" t="s">
        <v>162</v>
      </c>
      <c r="R419" s="638">
        <v>0</v>
      </c>
      <c r="S419" s="78" t="s">
        <v>163</v>
      </c>
      <c r="T419" s="80">
        <v>45108</v>
      </c>
      <c r="U419" s="80">
        <v>46357</v>
      </c>
      <c r="V419" s="522"/>
      <c r="W419" s="203"/>
      <c r="X419" s="203"/>
      <c r="Y419" s="523"/>
      <c r="Z419" s="79">
        <v>1</v>
      </c>
      <c r="AA419" s="75">
        <v>1</v>
      </c>
      <c r="AB419" s="75">
        <v>1</v>
      </c>
      <c r="AC419" s="75">
        <v>1</v>
      </c>
      <c r="AD419" s="75">
        <v>1</v>
      </c>
      <c r="AE419" s="79">
        <v>1</v>
      </c>
      <c r="AF419" s="79">
        <v>1</v>
      </c>
      <c r="AG419" s="79">
        <v>1</v>
      </c>
      <c r="AH419" s="79">
        <v>1</v>
      </c>
      <c r="AI419" s="79">
        <v>1</v>
      </c>
      <c r="AJ419" s="79">
        <v>1</v>
      </c>
      <c r="AK419" s="142">
        <v>1</v>
      </c>
      <c r="AL419" s="142">
        <v>1</v>
      </c>
      <c r="AM419" s="142">
        <v>1</v>
      </c>
      <c r="AN419" s="142">
        <v>1</v>
      </c>
      <c r="AO419" s="142">
        <v>1</v>
      </c>
      <c r="AP419" s="79">
        <v>1</v>
      </c>
      <c r="AQ419" s="170"/>
      <c r="AR419" s="170"/>
      <c r="AS419" s="170"/>
      <c r="AT419" s="170"/>
      <c r="AU419" s="170"/>
      <c r="AV419" s="170"/>
      <c r="AW419" s="170"/>
      <c r="AX419" s="170"/>
      <c r="AY419" s="173">
        <f>((0/10)+(11/14)+(4/4)+(6/11)+(0/1)+(4/20))/6</f>
        <v>0.42186147186147188</v>
      </c>
      <c r="AZ419" s="692" t="s">
        <v>3500</v>
      </c>
      <c r="BA419" s="173">
        <f>8/8</f>
        <v>1</v>
      </c>
      <c r="BB419" s="317" t="s">
        <v>3501</v>
      </c>
      <c r="BC419" s="173">
        <f>4/8</f>
        <v>0.5</v>
      </c>
      <c r="BD419" s="317" t="s">
        <v>3502</v>
      </c>
      <c r="BE419" s="173">
        <f>1/6</f>
        <v>0.16666666666666666</v>
      </c>
      <c r="BF419" s="317" t="s">
        <v>3503</v>
      </c>
      <c r="BG419" s="173">
        <v>0</v>
      </c>
      <c r="BH419" s="170" t="s">
        <v>3286</v>
      </c>
      <c r="BI419" s="173">
        <f>+(BA419+BC419+BE419+BG419)/4</f>
        <v>0.41666666666666669</v>
      </c>
      <c r="BJ419" s="692"/>
      <c r="BK419" s="173">
        <v>0</v>
      </c>
      <c r="BL419" s="692" t="s">
        <v>3287</v>
      </c>
      <c r="BM419" s="712">
        <v>0.26850000000000002</v>
      </c>
      <c r="BN419" s="692" t="s">
        <v>3504</v>
      </c>
      <c r="BO419" s="712">
        <v>0.85</v>
      </c>
      <c r="BP419" s="692" t="s">
        <v>3505</v>
      </c>
      <c r="BQ419" s="170"/>
      <c r="BR419" s="170"/>
      <c r="BS419" s="83"/>
      <c r="BT419" s="170"/>
      <c r="BU419" s="170"/>
      <c r="BV419" s="170"/>
      <c r="BW419" s="170"/>
      <c r="BX419" s="170"/>
      <c r="BY419" s="170"/>
      <c r="BZ419" s="170"/>
      <c r="CA419" s="170"/>
      <c r="CB419" s="170"/>
      <c r="CC419" s="170"/>
      <c r="CD419" s="170"/>
      <c r="CE419" s="146"/>
      <c r="CF419" s="170"/>
      <c r="CG419" s="713">
        <f>SUM(DH419:DH432)</f>
        <v>1250000000</v>
      </c>
      <c r="CH419" s="515"/>
      <c r="CI419" s="515"/>
      <c r="CJ419" s="83">
        <f t="shared" si="113"/>
        <v>0</v>
      </c>
      <c r="CK419" s="83">
        <f t="shared" si="112"/>
        <v>0</v>
      </c>
      <c r="CL419" s="83" t="str">
        <f t="shared" si="107"/>
        <v>No se reportó avance</v>
      </c>
      <c r="CM419" s="89" t="str">
        <f t="shared" si="108"/>
        <v>No se reportó avance</v>
      </c>
      <c r="CN419" s="89" t="str">
        <f t="shared" si="109"/>
        <v>No se reportó avance</v>
      </c>
      <c r="CO419" s="145" t="s">
        <v>236</v>
      </c>
      <c r="CP419" s="693" t="s">
        <v>3506</v>
      </c>
      <c r="CQ419" s="145" t="s">
        <v>3507</v>
      </c>
      <c r="CR419" s="693" t="s">
        <v>3508</v>
      </c>
      <c r="CS419" s="693" t="s">
        <v>3509</v>
      </c>
      <c r="CT419" s="145" t="s">
        <v>953</v>
      </c>
      <c r="CU419" s="145" t="s">
        <v>233</v>
      </c>
      <c r="CV419" s="145">
        <v>0</v>
      </c>
      <c r="CW419" s="145" t="s">
        <v>234</v>
      </c>
      <c r="CX419" s="695">
        <v>46023</v>
      </c>
      <c r="CY419" s="695">
        <v>46387</v>
      </c>
      <c r="CZ419" s="145"/>
      <c r="DA419" s="145">
        <v>1</v>
      </c>
      <c r="DB419" s="145"/>
      <c r="DC419" s="145"/>
      <c r="DD419" s="145">
        <v>1</v>
      </c>
      <c r="DE419" s="665" t="s">
        <v>396</v>
      </c>
      <c r="DF419" s="665" t="s">
        <v>3510</v>
      </c>
      <c r="DG419" s="665" t="s">
        <v>3511</v>
      </c>
      <c r="DH419" s="631">
        <v>340000000</v>
      </c>
      <c r="DI419" s="665"/>
      <c r="DJ419" s="665"/>
      <c r="DK419" s="665"/>
      <c r="DL419" s="665" t="s">
        <v>279</v>
      </c>
      <c r="DM419" s="665" t="s">
        <v>3296</v>
      </c>
      <c r="DN419" s="665"/>
      <c r="DO419" s="716"/>
      <c r="DP419" s="665"/>
      <c r="DQ419" s="716"/>
      <c r="DR419" s="716"/>
      <c r="DS419" s="717"/>
      <c r="DT419" s="716"/>
      <c r="DU419" s="665"/>
      <c r="DV419" s="677"/>
      <c r="DW419" s="677"/>
      <c r="DX419" s="717"/>
      <c r="DY419" s="716"/>
      <c r="DZ419" s="665"/>
      <c r="EA419" s="677"/>
      <c r="EB419" s="677"/>
      <c r="EC419" s="665"/>
      <c r="ED419" s="665"/>
      <c r="EE419" s="665"/>
      <c r="EF419" s="665"/>
      <c r="EG419" s="665"/>
      <c r="EH419" s="665"/>
      <c r="EI419" s="170"/>
      <c r="EJ419" s="170"/>
      <c r="EK419" s="262"/>
      <c r="EL419" s="91" t="str">
        <f t="shared" si="110"/>
        <v>No aplica, no hay meta</v>
      </c>
      <c r="EM419" s="83" t="str">
        <f t="shared" si="111"/>
        <v>No se reportó avance</v>
      </c>
      <c r="EN419" s="697"/>
    </row>
    <row r="420" spans="1:144" ht="50.1" customHeight="1">
      <c r="A420" s="170" t="s">
        <v>4671</v>
      </c>
      <c r="B420" s="517" t="s">
        <v>3272</v>
      </c>
      <c r="C420" s="173" t="s">
        <v>3273</v>
      </c>
      <c r="D420" s="173" t="s">
        <v>3274</v>
      </c>
      <c r="E420" s="173" t="s">
        <v>3275</v>
      </c>
      <c r="F420" s="170" t="s">
        <v>280</v>
      </c>
      <c r="G420" s="170"/>
      <c r="H420" s="170" t="s">
        <v>3276</v>
      </c>
      <c r="I420" s="170" t="s">
        <v>3277</v>
      </c>
      <c r="J420" s="170" t="s">
        <v>3277</v>
      </c>
      <c r="K420" s="170" t="s">
        <v>3278</v>
      </c>
      <c r="L420" s="170">
        <v>3</v>
      </c>
      <c r="M420" s="84" t="s">
        <v>3498</v>
      </c>
      <c r="N420" s="84" t="s">
        <v>3499</v>
      </c>
      <c r="O420" s="84" t="s">
        <v>3281</v>
      </c>
      <c r="P420" s="84" t="s">
        <v>1161</v>
      </c>
      <c r="Q420" s="170" t="s">
        <v>162</v>
      </c>
      <c r="R420" s="84">
        <v>0</v>
      </c>
      <c r="S420" s="84" t="s">
        <v>163</v>
      </c>
      <c r="T420" s="90">
        <v>45108</v>
      </c>
      <c r="U420" s="90">
        <v>46357</v>
      </c>
      <c r="V420" s="518"/>
      <c r="W420" s="170"/>
      <c r="X420" s="170"/>
      <c r="Y420" s="519"/>
      <c r="Z420" s="85"/>
      <c r="AA420" s="85"/>
      <c r="AB420" s="85"/>
      <c r="AC420" s="85"/>
      <c r="AD420" s="85"/>
      <c r="AE420" s="85"/>
      <c r="AF420" s="85"/>
      <c r="AG420" s="85"/>
      <c r="AH420" s="85"/>
      <c r="AI420" s="85"/>
      <c r="AJ420" s="85"/>
      <c r="AK420" s="157"/>
      <c r="AL420" s="157"/>
      <c r="AM420" s="157"/>
      <c r="AN420" s="157"/>
      <c r="AO420" s="157"/>
      <c r="AP420" s="170"/>
      <c r="AQ420" s="170"/>
      <c r="AR420" s="170"/>
      <c r="AS420" s="170"/>
      <c r="AT420" s="170"/>
      <c r="AU420" s="170"/>
      <c r="AV420" s="170"/>
      <c r="AW420" s="170"/>
      <c r="AX420" s="170"/>
      <c r="AY420" s="170"/>
      <c r="AZ420" s="692"/>
      <c r="BA420" s="170"/>
      <c r="BB420" s="170"/>
      <c r="BC420" s="170"/>
      <c r="BD420" s="170"/>
      <c r="BE420" s="170"/>
      <c r="BF420" s="170"/>
      <c r="BG420" s="170"/>
      <c r="BH420" s="170"/>
      <c r="BI420" s="170"/>
      <c r="BJ420" s="692"/>
      <c r="BK420" s="170"/>
      <c r="BL420" s="692"/>
      <c r="BM420" s="170"/>
      <c r="BN420" s="692"/>
      <c r="BO420" s="170"/>
      <c r="BP420" s="692"/>
      <c r="BQ420" s="170"/>
      <c r="BR420" s="170"/>
      <c r="BS420" s="170"/>
      <c r="BT420" s="170"/>
      <c r="BU420" s="170"/>
      <c r="BV420" s="170"/>
      <c r="BW420" s="170"/>
      <c r="BX420" s="170"/>
      <c r="BY420" s="170"/>
      <c r="BZ420" s="170"/>
      <c r="CA420" s="170"/>
      <c r="CB420" s="170"/>
      <c r="CC420" s="170"/>
      <c r="CD420" s="170"/>
      <c r="CE420" s="170"/>
      <c r="CF420" s="170"/>
      <c r="CG420" s="665"/>
      <c r="CH420" s="256"/>
      <c r="CI420" s="170"/>
      <c r="CJ420" s="83" t="str">
        <f t="shared" si="113"/>
        <v>No aplica</v>
      </c>
      <c r="CK420" s="83" t="str">
        <f t="shared" si="112"/>
        <v>No aplica</v>
      </c>
      <c r="CL420" s="83" t="str">
        <f t="shared" si="107"/>
        <v>No requiere reporte</v>
      </c>
      <c r="CM420" s="89" t="str">
        <f t="shared" si="108"/>
        <v>No requiere reporte</v>
      </c>
      <c r="CN420" s="89" t="str">
        <f t="shared" si="109"/>
        <v>No requiere reporte</v>
      </c>
      <c r="CO420" s="145" t="s">
        <v>361</v>
      </c>
      <c r="CP420" s="693" t="s">
        <v>3512</v>
      </c>
      <c r="CQ420" s="145" t="s">
        <v>3513</v>
      </c>
      <c r="CR420" s="693" t="s">
        <v>3514</v>
      </c>
      <c r="CS420" s="693" t="s">
        <v>3515</v>
      </c>
      <c r="CT420" s="145" t="s">
        <v>161</v>
      </c>
      <c r="CU420" s="145" t="s">
        <v>233</v>
      </c>
      <c r="CV420" s="291">
        <v>0</v>
      </c>
      <c r="CW420" s="145" t="s">
        <v>163</v>
      </c>
      <c r="CX420" s="695">
        <v>46023</v>
      </c>
      <c r="CY420" s="695">
        <v>46387</v>
      </c>
      <c r="CZ420" s="157">
        <v>0</v>
      </c>
      <c r="DA420" s="157">
        <v>0.2</v>
      </c>
      <c r="DB420" s="157">
        <v>0.15</v>
      </c>
      <c r="DC420" s="157">
        <v>0.4</v>
      </c>
      <c r="DD420" s="157">
        <v>0.75</v>
      </c>
      <c r="DE420" s="665" t="s">
        <v>396</v>
      </c>
      <c r="DF420" s="665" t="s">
        <v>3510</v>
      </c>
      <c r="DG420" s="665" t="s">
        <v>3511</v>
      </c>
      <c r="DH420" s="631">
        <v>50000000</v>
      </c>
      <c r="DI420" s="665"/>
      <c r="DJ420" s="665"/>
      <c r="DK420" s="665"/>
      <c r="DL420" s="665" t="s">
        <v>279</v>
      </c>
      <c r="DM420" s="665" t="s">
        <v>3296</v>
      </c>
      <c r="DN420" s="665"/>
      <c r="DO420" s="716"/>
      <c r="DP420" s="665"/>
      <c r="DQ420" s="716"/>
      <c r="DR420" s="716"/>
      <c r="DS420" s="717"/>
      <c r="DT420" s="716"/>
      <c r="DU420" s="665"/>
      <c r="DV420" s="677"/>
      <c r="DW420" s="677"/>
      <c r="DX420" s="717"/>
      <c r="DY420" s="716"/>
      <c r="DZ420" s="665"/>
      <c r="EA420" s="677"/>
      <c r="EB420" s="677"/>
      <c r="EC420" s="665"/>
      <c r="ED420" s="665"/>
      <c r="EE420" s="665"/>
      <c r="EF420" s="665"/>
      <c r="EG420" s="665"/>
      <c r="EH420" s="666"/>
      <c r="EI420" s="170"/>
      <c r="EJ420" s="170"/>
      <c r="EK420" s="262"/>
      <c r="EL420" s="91" t="str">
        <f t="shared" si="110"/>
        <v>No aplica, no hay meta</v>
      </c>
      <c r="EM420" s="83" t="str">
        <f t="shared" si="111"/>
        <v>No se reportó avance</v>
      </c>
      <c r="EN420" s="697"/>
    </row>
    <row r="421" spans="1:144" ht="50.1" customHeight="1">
      <c r="A421" s="170" t="s">
        <v>4671</v>
      </c>
      <c r="B421" s="517" t="s">
        <v>3272</v>
      </c>
      <c r="C421" s="173" t="s">
        <v>3273</v>
      </c>
      <c r="D421" s="173" t="s">
        <v>3274</v>
      </c>
      <c r="E421" s="173" t="s">
        <v>3275</v>
      </c>
      <c r="F421" s="170" t="s">
        <v>280</v>
      </c>
      <c r="G421" s="170"/>
      <c r="H421" s="170" t="s">
        <v>3276</v>
      </c>
      <c r="I421" s="170" t="s">
        <v>3277</v>
      </c>
      <c r="J421" s="170" t="s">
        <v>3277</v>
      </c>
      <c r="K421" s="170" t="s">
        <v>3278</v>
      </c>
      <c r="L421" s="170">
        <v>3</v>
      </c>
      <c r="M421" s="84" t="s">
        <v>3498</v>
      </c>
      <c r="N421" s="84" t="s">
        <v>3499</v>
      </c>
      <c r="O421" s="84" t="s">
        <v>3281</v>
      </c>
      <c r="P421" s="84" t="s">
        <v>1161</v>
      </c>
      <c r="Q421" s="170" t="s">
        <v>162</v>
      </c>
      <c r="R421" s="84">
        <v>0</v>
      </c>
      <c r="S421" s="84" t="s">
        <v>163</v>
      </c>
      <c r="T421" s="90">
        <v>45108</v>
      </c>
      <c r="U421" s="90">
        <v>46357</v>
      </c>
      <c r="V421" s="518"/>
      <c r="W421" s="170"/>
      <c r="X421" s="170"/>
      <c r="Y421" s="519"/>
      <c r="Z421" s="85"/>
      <c r="AA421" s="85"/>
      <c r="AB421" s="85"/>
      <c r="AC421" s="85"/>
      <c r="AD421" s="85"/>
      <c r="AE421" s="85"/>
      <c r="AF421" s="85"/>
      <c r="AG421" s="85"/>
      <c r="AH421" s="85"/>
      <c r="AI421" s="85"/>
      <c r="AJ421" s="85"/>
      <c r="AK421" s="157"/>
      <c r="AL421" s="157"/>
      <c r="AM421" s="157"/>
      <c r="AN421" s="157"/>
      <c r="AO421" s="157"/>
      <c r="AP421" s="170"/>
      <c r="AQ421" s="170"/>
      <c r="AR421" s="170"/>
      <c r="AS421" s="170"/>
      <c r="AT421" s="170"/>
      <c r="AU421" s="170"/>
      <c r="AV421" s="170"/>
      <c r="AW421" s="170"/>
      <c r="AX421" s="170"/>
      <c r="AY421" s="170"/>
      <c r="AZ421" s="692"/>
      <c r="BA421" s="170"/>
      <c r="BB421" s="170"/>
      <c r="BC421" s="170"/>
      <c r="BD421" s="170"/>
      <c r="BE421" s="170"/>
      <c r="BF421" s="170"/>
      <c r="BG421" s="170"/>
      <c r="BH421" s="170"/>
      <c r="BI421" s="170"/>
      <c r="BJ421" s="692"/>
      <c r="BK421" s="170"/>
      <c r="BL421" s="692"/>
      <c r="BM421" s="170"/>
      <c r="BN421" s="692"/>
      <c r="BO421" s="170"/>
      <c r="BP421" s="692"/>
      <c r="BQ421" s="170"/>
      <c r="BR421" s="170"/>
      <c r="BS421" s="170"/>
      <c r="BT421" s="170"/>
      <c r="BU421" s="170"/>
      <c r="BV421" s="170"/>
      <c r="BW421" s="170"/>
      <c r="BX421" s="170"/>
      <c r="BY421" s="170"/>
      <c r="BZ421" s="170"/>
      <c r="CA421" s="170"/>
      <c r="CB421" s="170"/>
      <c r="CC421" s="170"/>
      <c r="CD421" s="170"/>
      <c r="CE421" s="170"/>
      <c r="CF421" s="170"/>
      <c r="CG421" s="665"/>
      <c r="CH421" s="256"/>
      <c r="CI421" s="170"/>
      <c r="CJ421" s="83" t="str">
        <f t="shared" si="113"/>
        <v>No aplica</v>
      </c>
      <c r="CK421" s="83" t="str">
        <f t="shared" si="112"/>
        <v>No aplica</v>
      </c>
      <c r="CL421" s="83" t="str">
        <f t="shared" si="107"/>
        <v>No requiere reporte</v>
      </c>
      <c r="CM421" s="89" t="str">
        <f t="shared" si="108"/>
        <v>No requiere reporte</v>
      </c>
      <c r="CN421" s="89" t="str">
        <f t="shared" si="109"/>
        <v>No requiere reporte</v>
      </c>
      <c r="CO421" s="145" t="s">
        <v>366</v>
      </c>
      <c r="CP421" s="693" t="s">
        <v>3516</v>
      </c>
      <c r="CQ421" s="145" t="s">
        <v>3517</v>
      </c>
      <c r="CR421" s="693" t="s">
        <v>3518</v>
      </c>
      <c r="CS421" s="693" t="s">
        <v>3519</v>
      </c>
      <c r="CT421" s="145" t="s">
        <v>200</v>
      </c>
      <c r="CU421" s="145" t="s">
        <v>233</v>
      </c>
      <c r="CV421" s="145">
        <v>0</v>
      </c>
      <c r="CW421" s="145" t="s">
        <v>234</v>
      </c>
      <c r="CX421" s="695">
        <v>46023</v>
      </c>
      <c r="CY421" s="695">
        <v>46387</v>
      </c>
      <c r="CZ421" s="145">
        <v>0</v>
      </c>
      <c r="DA421" s="145">
        <v>1</v>
      </c>
      <c r="DB421" s="145">
        <v>0</v>
      </c>
      <c r="DC421" s="145">
        <v>1</v>
      </c>
      <c r="DD421" s="145">
        <v>2</v>
      </c>
      <c r="DE421" s="665" t="s">
        <v>2951</v>
      </c>
      <c r="DF421" s="665" t="s">
        <v>3294</v>
      </c>
      <c r="DG421" s="665" t="s">
        <v>3295</v>
      </c>
      <c r="DH421" s="696">
        <f>350000000-100000000</f>
        <v>250000000</v>
      </c>
      <c r="DI421" s="665"/>
      <c r="DJ421" s="665"/>
      <c r="DK421" s="665"/>
      <c r="DL421" s="665" t="s">
        <v>279</v>
      </c>
      <c r="DM421" s="665" t="s">
        <v>3296</v>
      </c>
      <c r="DN421" s="665"/>
      <c r="DO421" s="716"/>
      <c r="DP421" s="665"/>
      <c r="DQ421" s="716"/>
      <c r="DR421" s="716"/>
      <c r="DS421" s="717"/>
      <c r="DT421" s="677"/>
      <c r="DU421" s="665"/>
      <c r="DV421" s="677"/>
      <c r="DW421" s="677"/>
      <c r="DX421" s="717"/>
      <c r="DY421" s="677"/>
      <c r="DZ421" s="665"/>
      <c r="EA421" s="677"/>
      <c r="EB421" s="677"/>
      <c r="EC421" s="665"/>
      <c r="ED421" s="665"/>
      <c r="EE421" s="665"/>
      <c r="EF421" s="665"/>
      <c r="EG421" s="665"/>
      <c r="EH421" s="665"/>
      <c r="EI421" s="170"/>
      <c r="EJ421" s="170"/>
      <c r="EK421" s="262"/>
      <c r="EL421" s="91" t="str">
        <f t="shared" si="110"/>
        <v>No aplica, no hay meta</v>
      </c>
      <c r="EM421" s="83" t="str">
        <f t="shared" si="111"/>
        <v>No se reportó avance</v>
      </c>
      <c r="EN421" s="697"/>
    </row>
    <row r="422" spans="1:144" ht="50.1" customHeight="1">
      <c r="A422" s="170" t="s">
        <v>4671</v>
      </c>
      <c r="B422" s="517" t="s">
        <v>3272</v>
      </c>
      <c r="C422" s="173" t="s">
        <v>3273</v>
      </c>
      <c r="D422" s="173" t="s">
        <v>3274</v>
      </c>
      <c r="E422" s="173" t="s">
        <v>3275</v>
      </c>
      <c r="F422" s="170" t="s">
        <v>280</v>
      </c>
      <c r="G422" s="170"/>
      <c r="H422" s="170" t="s">
        <v>3276</v>
      </c>
      <c r="I422" s="170" t="s">
        <v>3277</v>
      </c>
      <c r="J422" s="170" t="s">
        <v>3277</v>
      </c>
      <c r="K422" s="170" t="s">
        <v>3278</v>
      </c>
      <c r="L422" s="170">
        <v>3</v>
      </c>
      <c r="M422" s="84" t="s">
        <v>3498</v>
      </c>
      <c r="N422" s="84" t="s">
        <v>3499</v>
      </c>
      <c r="O422" s="84" t="s">
        <v>3281</v>
      </c>
      <c r="P422" s="84" t="s">
        <v>1161</v>
      </c>
      <c r="Q422" s="170" t="s">
        <v>162</v>
      </c>
      <c r="R422" s="84">
        <v>0</v>
      </c>
      <c r="S422" s="84" t="s">
        <v>163</v>
      </c>
      <c r="T422" s="90">
        <v>45108</v>
      </c>
      <c r="U422" s="90">
        <v>46357</v>
      </c>
      <c r="V422" s="518"/>
      <c r="W422" s="170"/>
      <c r="X422" s="170"/>
      <c r="Y422" s="519"/>
      <c r="Z422" s="85"/>
      <c r="AA422" s="85"/>
      <c r="AB422" s="85"/>
      <c r="AC422" s="85"/>
      <c r="AD422" s="85"/>
      <c r="AE422" s="85"/>
      <c r="AF422" s="85"/>
      <c r="AG422" s="85"/>
      <c r="AH422" s="85"/>
      <c r="AI422" s="85"/>
      <c r="AJ422" s="85"/>
      <c r="AK422" s="157"/>
      <c r="AL422" s="157"/>
      <c r="AM422" s="157"/>
      <c r="AN422" s="157"/>
      <c r="AO422" s="157"/>
      <c r="AP422" s="170"/>
      <c r="AQ422" s="170"/>
      <c r="AR422" s="170"/>
      <c r="AS422" s="170"/>
      <c r="AT422" s="170"/>
      <c r="AU422" s="170"/>
      <c r="AV422" s="170"/>
      <c r="AW422" s="170"/>
      <c r="AX422" s="170"/>
      <c r="AY422" s="170"/>
      <c r="AZ422" s="692"/>
      <c r="BA422" s="170"/>
      <c r="BB422" s="170"/>
      <c r="BC422" s="170"/>
      <c r="BD422" s="170"/>
      <c r="BE422" s="170"/>
      <c r="BF422" s="170"/>
      <c r="BG422" s="170"/>
      <c r="BH422" s="170"/>
      <c r="BI422" s="170"/>
      <c r="BJ422" s="692"/>
      <c r="BK422" s="170"/>
      <c r="BL422" s="692"/>
      <c r="BM422" s="170"/>
      <c r="BN422" s="692"/>
      <c r="BO422" s="170"/>
      <c r="BP422" s="692"/>
      <c r="BQ422" s="170"/>
      <c r="BR422" s="170"/>
      <c r="BS422" s="170"/>
      <c r="BT422" s="170"/>
      <c r="BU422" s="170"/>
      <c r="BV422" s="170"/>
      <c r="BW422" s="170"/>
      <c r="BX422" s="170"/>
      <c r="BY422" s="170"/>
      <c r="BZ422" s="170"/>
      <c r="CA422" s="170"/>
      <c r="CB422" s="170"/>
      <c r="CC422" s="170"/>
      <c r="CD422" s="170"/>
      <c r="CE422" s="170"/>
      <c r="CF422" s="170"/>
      <c r="CG422" s="665"/>
      <c r="CH422" s="256"/>
      <c r="CI422" s="170"/>
      <c r="CJ422" s="83" t="str">
        <f t="shared" si="113"/>
        <v>No aplica</v>
      </c>
      <c r="CK422" s="83" t="str">
        <f t="shared" si="112"/>
        <v>No aplica</v>
      </c>
      <c r="CL422" s="83" t="str">
        <f t="shared" si="107"/>
        <v>No requiere reporte</v>
      </c>
      <c r="CM422" s="89" t="str">
        <f t="shared" si="108"/>
        <v>No requiere reporte</v>
      </c>
      <c r="CN422" s="89" t="str">
        <f t="shared" si="109"/>
        <v>No requiere reporte</v>
      </c>
      <c r="CO422" s="145" t="s">
        <v>371</v>
      </c>
      <c r="CP422" s="693" t="s">
        <v>3520</v>
      </c>
      <c r="CQ422" s="145" t="s">
        <v>3521</v>
      </c>
      <c r="CR422" s="693" t="s">
        <v>3522</v>
      </c>
      <c r="CS422" s="693" t="s">
        <v>3523</v>
      </c>
      <c r="CT422" s="145" t="s">
        <v>161</v>
      </c>
      <c r="CU422" s="145" t="s">
        <v>233</v>
      </c>
      <c r="CV422" s="291">
        <v>0</v>
      </c>
      <c r="CW422" s="145" t="s">
        <v>163</v>
      </c>
      <c r="CX422" s="695">
        <v>46023</v>
      </c>
      <c r="CY422" s="695">
        <v>46387</v>
      </c>
      <c r="CZ422" s="157">
        <v>0</v>
      </c>
      <c r="DA422" s="157">
        <v>0.25</v>
      </c>
      <c r="DB422" s="157">
        <v>0</v>
      </c>
      <c r="DC422" s="157">
        <v>0.25</v>
      </c>
      <c r="DD422" s="157">
        <v>0.5</v>
      </c>
      <c r="DE422" s="665"/>
      <c r="DF422" s="665"/>
      <c r="DG422" s="665"/>
      <c r="DH422" s="696">
        <v>0</v>
      </c>
      <c r="DI422" s="665"/>
      <c r="DJ422" s="665"/>
      <c r="DK422" s="665"/>
      <c r="DL422" s="665" t="s">
        <v>279</v>
      </c>
      <c r="DM422" s="665" t="s">
        <v>3296</v>
      </c>
      <c r="DN422" s="665"/>
      <c r="DO422" s="716"/>
      <c r="DP422" s="665"/>
      <c r="DQ422" s="716"/>
      <c r="DR422" s="716"/>
      <c r="DS422" s="717"/>
      <c r="DT422" s="677"/>
      <c r="DU422" s="665"/>
      <c r="DV422" s="677"/>
      <c r="DW422" s="677"/>
      <c r="DX422" s="717"/>
      <c r="DY422" s="677"/>
      <c r="DZ422" s="665"/>
      <c r="EA422" s="677"/>
      <c r="EB422" s="677"/>
      <c r="EC422" s="665"/>
      <c r="ED422" s="665"/>
      <c r="EE422" s="665"/>
      <c r="EF422" s="665"/>
      <c r="EG422" s="665"/>
      <c r="EH422" s="666"/>
      <c r="EI422" s="170"/>
      <c r="EJ422" s="170"/>
      <c r="EK422" s="262"/>
      <c r="EL422" s="91" t="str">
        <f t="shared" si="110"/>
        <v>No aplica, no hay meta</v>
      </c>
      <c r="EM422" s="83" t="str">
        <f t="shared" si="111"/>
        <v>No se reportó avance</v>
      </c>
      <c r="EN422" s="697"/>
    </row>
    <row r="423" spans="1:144" ht="50.1" customHeight="1">
      <c r="A423" s="170" t="s">
        <v>4671</v>
      </c>
      <c r="B423" s="517" t="s">
        <v>3272</v>
      </c>
      <c r="C423" s="173" t="s">
        <v>3273</v>
      </c>
      <c r="D423" s="173" t="s">
        <v>3274</v>
      </c>
      <c r="E423" s="173" t="s">
        <v>3275</v>
      </c>
      <c r="F423" s="170" t="s">
        <v>280</v>
      </c>
      <c r="G423" s="170"/>
      <c r="H423" s="170" t="s">
        <v>3276</v>
      </c>
      <c r="I423" s="170" t="s">
        <v>3277</v>
      </c>
      <c r="J423" s="170" t="s">
        <v>3277</v>
      </c>
      <c r="K423" s="170" t="s">
        <v>3278</v>
      </c>
      <c r="L423" s="170">
        <v>3</v>
      </c>
      <c r="M423" s="84" t="s">
        <v>3498</v>
      </c>
      <c r="N423" s="84" t="s">
        <v>3499</v>
      </c>
      <c r="O423" s="84" t="s">
        <v>3281</v>
      </c>
      <c r="P423" s="84" t="s">
        <v>1161</v>
      </c>
      <c r="Q423" s="170" t="s">
        <v>162</v>
      </c>
      <c r="R423" s="84">
        <v>0</v>
      </c>
      <c r="S423" s="84" t="s">
        <v>163</v>
      </c>
      <c r="T423" s="90">
        <v>45108</v>
      </c>
      <c r="U423" s="90">
        <v>46357</v>
      </c>
      <c r="V423" s="518"/>
      <c r="W423" s="170"/>
      <c r="X423" s="170"/>
      <c r="Y423" s="519"/>
      <c r="Z423" s="85"/>
      <c r="AA423" s="85"/>
      <c r="AB423" s="85"/>
      <c r="AC423" s="85"/>
      <c r="AD423" s="85"/>
      <c r="AE423" s="85"/>
      <c r="AF423" s="85"/>
      <c r="AG423" s="85"/>
      <c r="AH423" s="85"/>
      <c r="AI423" s="85"/>
      <c r="AJ423" s="85"/>
      <c r="AK423" s="157"/>
      <c r="AL423" s="157"/>
      <c r="AM423" s="157"/>
      <c r="AN423" s="157"/>
      <c r="AO423" s="157"/>
      <c r="AP423" s="170"/>
      <c r="AQ423" s="170"/>
      <c r="AR423" s="170"/>
      <c r="AS423" s="170"/>
      <c r="AT423" s="170"/>
      <c r="AU423" s="170"/>
      <c r="AV423" s="170"/>
      <c r="AW423" s="170"/>
      <c r="AX423" s="170"/>
      <c r="AY423" s="170"/>
      <c r="AZ423" s="692"/>
      <c r="BA423" s="170"/>
      <c r="BB423" s="170"/>
      <c r="BC423" s="170"/>
      <c r="BD423" s="170"/>
      <c r="BE423" s="170"/>
      <c r="BF423" s="170"/>
      <c r="BG423" s="170"/>
      <c r="BH423" s="170"/>
      <c r="BI423" s="170"/>
      <c r="BJ423" s="692"/>
      <c r="BK423" s="170"/>
      <c r="BL423" s="692"/>
      <c r="BM423" s="170"/>
      <c r="BN423" s="692"/>
      <c r="BO423" s="170"/>
      <c r="BP423" s="692"/>
      <c r="BQ423" s="170"/>
      <c r="BR423" s="170"/>
      <c r="BS423" s="170"/>
      <c r="BT423" s="170"/>
      <c r="BU423" s="170"/>
      <c r="BV423" s="170"/>
      <c r="BW423" s="170"/>
      <c r="BX423" s="170"/>
      <c r="BY423" s="170"/>
      <c r="BZ423" s="170"/>
      <c r="CA423" s="170"/>
      <c r="CB423" s="170"/>
      <c r="CC423" s="170"/>
      <c r="CD423" s="170"/>
      <c r="CE423" s="170"/>
      <c r="CF423" s="170"/>
      <c r="CG423" s="665"/>
      <c r="CH423" s="256"/>
      <c r="CI423" s="170"/>
      <c r="CJ423" s="83" t="str">
        <f t="shared" si="113"/>
        <v>No aplica</v>
      </c>
      <c r="CK423" s="83" t="str">
        <f t="shared" si="112"/>
        <v>No aplica</v>
      </c>
      <c r="CL423" s="83" t="str">
        <f t="shared" si="107"/>
        <v>No requiere reporte</v>
      </c>
      <c r="CM423" s="89" t="str">
        <f t="shared" si="108"/>
        <v>No requiere reporte</v>
      </c>
      <c r="CN423" s="89" t="str">
        <f t="shared" si="109"/>
        <v>No requiere reporte</v>
      </c>
      <c r="CO423" s="145" t="s">
        <v>3180</v>
      </c>
      <c r="CP423" s="693" t="s">
        <v>3524</v>
      </c>
      <c r="CQ423" s="145" t="s">
        <v>3525</v>
      </c>
      <c r="CR423" s="693" t="s">
        <v>3526</v>
      </c>
      <c r="CS423" s="693" t="s">
        <v>3527</v>
      </c>
      <c r="CT423" s="145" t="s">
        <v>200</v>
      </c>
      <c r="CU423" s="145" t="s">
        <v>233</v>
      </c>
      <c r="CV423" s="145">
        <v>0</v>
      </c>
      <c r="CW423" s="145" t="s">
        <v>402</v>
      </c>
      <c r="CX423" s="695">
        <v>46023</v>
      </c>
      <c r="CY423" s="695">
        <v>46387</v>
      </c>
      <c r="CZ423" s="668">
        <v>0</v>
      </c>
      <c r="DA423" s="668">
        <v>1</v>
      </c>
      <c r="DB423" s="154">
        <v>2</v>
      </c>
      <c r="DC423" s="154">
        <v>2</v>
      </c>
      <c r="DD423" s="353">
        <v>5</v>
      </c>
      <c r="DE423" s="665" t="s">
        <v>2951</v>
      </c>
      <c r="DF423" s="665" t="s">
        <v>3294</v>
      </c>
      <c r="DG423" s="665" t="s">
        <v>3295</v>
      </c>
      <c r="DH423" s="696">
        <v>600000000</v>
      </c>
      <c r="DI423" s="665"/>
      <c r="DJ423" s="665"/>
      <c r="DK423" s="665"/>
      <c r="DL423" s="665" t="s">
        <v>279</v>
      </c>
      <c r="DM423" s="665" t="s">
        <v>3296</v>
      </c>
      <c r="DN423" s="665"/>
      <c r="DO423" s="716"/>
      <c r="DP423" s="665"/>
      <c r="DQ423" s="716"/>
      <c r="DR423" s="716"/>
      <c r="DS423" s="717"/>
      <c r="DT423" s="728"/>
      <c r="DU423" s="665"/>
      <c r="DV423" s="677"/>
      <c r="DW423" s="729"/>
      <c r="DX423" s="717"/>
      <c r="DY423" s="728"/>
      <c r="DZ423" s="665"/>
      <c r="EA423" s="677"/>
      <c r="EB423" s="729"/>
      <c r="EC423" s="665"/>
      <c r="ED423" s="665"/>
      <c r="EE423" s="665"/>
      <c r="EF423" s="665"/>
      <c r="EG423" s="665"/>
      <c r="EH423" s="665"/>
      <c r="EI423" s="170"/>
      <c r="EJ423" s="170"/>
      <c r="EK423" s="262"/>
      <c r="EL423" s="91" t="str">
        <f t="shared" si="110"/>
        <v>No aplica, no hay meta</v>
      </c>
      <c r="EM423" s="83" t="str">
        <f t="shared" si="111"/>
        <v>No se reportó avance</v>
      </c>
      <c r="EN423" s="697"/>
    </row>
    <row r="424" spans="1:144" ht="50.1" customHeight="1">
      <c r="A424" s="170" t="s">
        <v>4671</v>
      </c>
      <c r="B424" s="517" t="s">
        <v>3272</v>
      </c>
      <c r="C424" s="173" t="s">
        <v>3273</v>
      </c>
      <c r="D424" s="173" t="s">
        <v>3274</v>
      </c>
      <c r="E424" s="173" t="s">
        <v>3275</v>
      </c>
      <c r="F424" s="170" t="s">
        <v>280</v>
      </c>
      <c r="G424" s="170"/>
      <c r="H424" s="170" t="s">
        <v>3276</v>
      </c>
      <c r="I424" s="170" t="s">
        <v>3277</v>
      </c>
      <c r="J424" s="170" t="s">
        <v>3277</v>
      </c>
      <c r="K424" s="170" t="s">
        <v>3278</v>
      </c>
      <c r="L424" s="170">
        <v>3</v>
      </c>
      <c r="M424" s="84" t="s">
        <v>3498</v>
      </c>
      <c r="N424" s="84" t="s">
        <v>3499</v>
      </c>
      <c r="O424" s="84" t="s">
        <v>3281</v>
      </c>
      <c r="P424" s="84" t="s">
        <v>1161</v>
      </c>
      <c r="Q424" s="170" t="s">
        <v>162</v>
      </c>
      <c r="R424" s="84">
        <v>0</v>
      </c>
      <c r="S424" s="84" t="s">
        <v>163</v>
      </c>
      <c r="T424" s="90">
        <v>45108</v>
      </c>
      <c r="U424" s="90">
        <v>46357</v>
      </c>
      <c r="V424" s="518"/>
      <c r="W424" s="170"/>
      <c r="X424" s="170"/>
      <c r="Y424" s="519"/>
      <c r="Z424" s="85"/>
      <c r="AA424" s="85"/>
      <c r="AB424" s="85"/>
      <c r="AC424" s="85"/>
      <c r="AD424" s="85"/>
      <c r="AE424" s="85"/>
      <c r="AF424" s="85"/>
      <c r="AG424" s="85"/>
      <c r="AH424" s="85"/>
      <c r="AI424" s="85"/>
      <c r="AJ424" s="85"/>
      <c r="AK424" s="157"/>
      <c r="AL424" s="157"/>
      <c r="AM424" s="157"/>
      <c r="AN424" s="157"/>
      <c r="AO424" s="157"/>
      <c r="AP424" s="170"/>
      <c r="AQ424" s="170"/>
      <c r="AR424" s="170"/>
      <c r="AS424" s="170"/>
      <c r="AT424" s="170"/>
      <c r="AU424" s="170"/>
      <c r="AV424" s="170"/>
      <c r="AW424" s="170"/>
      <c r="AX424" s="170"/>
      <c r="AY424" s="170"/>
      <c r="AZ424" s="692"/>
      <c r="BA424" s="170"/>
      <c r="BB424" s="170"/>
      <c r="BC424" s="170"/>
      <c r="BD424" s="170"/>
      <c r="BE424" s="170"/>
      <c r="BF424" s="170"/>
      <c r="BG424" s="170"/>
      <c r="BH424" s="170"/>
      <c r="BI424" s="170"/>
      <c r="BJ424" s="692"/>
      <c r="BK424" s="170"/>
      <c r="BL424" s="692"/>
      <c r="BM424" s="170"/>
      <c r="BN424" s="692"/>
      <c r="BO424" s="170"/>
      <c r="BP424" s="692"/>
      <c r="BQ424" s="170"/>
      <c r="BR424" s="170"/>
      <c r="BS424" s="170"/>
      <c r="BT424" s="170"/>
      <c r="BU424" s="170"/>
      <c r="BV424" s="170"/>
      <c r="BW424" s="170"/>
      <c r="BX424" s="170"/>
      <c r="BY424" s="170"/>
      <c r="BZ424" s="170"/>
      <c r="CA424" s="170"/>
      <c r="CB424" s="170"/>
      <c r="CC424" s="170"/>
      <c r="CD424" s="170"/>
      <c r="CE424" s="170"/>
      <c r="CF424" s="170"/>
      <c r="CG424" s="665"/>
      <c r="CH424" s="256"/>
      <c r="CI424" s="170"/>
      <c r="CJ424" s="83" t="str">
        <f t="shared" si="113"/>
        <v>No aplica</v>
      </c>
      <c r="CK424" s="83" t="str">
        <f t="shared" si="112"/>
        <v>No aplica</v>
      </c>
      <c r="CL424" s="83" t="str">
        <f t="shared" si="107"/>
        <v>No requiere reporte</v>
      </c>
      <c r="CM424" s="89" t="str">
        <f t="shared" si="108"/>
        <v>No requiere reporte</v>
      </c>
      <c r="CN424" s="89" t="str">
        <f t="shared" si="109"/>
        <v>No requiere reporte</v>
      </c>
      <c r="CO424" s="145" t="s">
        <v>3184</v>
      </c>
      <c r="CP424" s="693" t="s">
        <v>3528</v>
      </c>
      <c r="CQ424" s="145" t="s">
        <v>3529</v>
      </c>
      <c r="CR424" s="693" t="s">
        <v>3530</v>
      </c>
      <c r="CS424" s="693" t="s">
        <v>3531</v>
      </c>
      <c r="CT424" s="145" t="s">
        <v>200</v>
      </c>
      <c r="CU424" s="145" t="s">
        <v>233</v>
      </c>
      <c r="CV424" s="145">
        <v>0</v>
      </c>
      <c r="CW424" s="145" t="s">
        <v>402</v>
      </c>
      <c r="CX424" s="695">
        <v>46023</v>
      </c>
      <c r="CY424" s="695">
        <v>46387</v>
      </c>
      <c r="CZ424" s="668">
        <v>0</v>
      </c>
      <c r="DA424" s="668">
        <v>0</v>
      </c>
      <c r="DB424" s="154">
        <v>1</v>
      </c>
      <c r="DC424" s="154">
        <v>0</v>
      </c>
      <c r="DD424" s="154">
        <v>1</v>
      </c>
      <c r="DE424" s="665"/>
      <c r="DF424" s="665"/>
      <c r="DG424" s="665"/>
      <c r="DH424" s="696">
        <v>0</v>
      </c>
      <c r="DI424" s="665"/>
      <c r="DJ424" s="665"/>
      <c r="DK424" s="665"/>
      <c r="DL424" s="665" t="s">
        <v>279</v>
      </c>
      <c r="DM424" s="665" t="s">
        <v>3296</v>
      </c>
      <c r="DN424" s="665"/>
      <c r="DO424" s="716"/>
      <c r="DP424" s="665"/>
      <c r="DQ424" s="716"/>
      <c r="DR424" s="716"/>
      <c r="DS424" s="717"/>
      <c r="DT424" s="716"/>
      <c r="DU424" s="665"/>
      <c r="DV424" s="728"/>
      <c r="DW424" s="677"/>
      <c r="DX424" s="717"/>
      <c r="DY424" s="716"/>
      <c r="DZ424" s="665"/>
      <c r="EA424" s="728"/>
      <c r="EB424" s="677"/>
      <c r="EC424" s="665"/>
      <c r="ED424" s="665"/>
      <c r="EE424" s="665"/>
      <c r="EF424" s="665"/>
      <c r="EG424" s="665"/>
      <c r="EH424" s="665"/>
      <c r="EI424" s="170"/>
      <c r="EJ424" s="170"/>
      <c r="EK424" s="262"/>
      <c r="EL424" s="91" t="str">
        <f t="shared" si="110"/>
        <v>No aplica, no hay meta</v>
      </c>
      <c r="EM424" s="83" t="str">
        <f t="shared" si="111"/>
        <v>No se reportó avance</v>
      </c>
      <c r="EN424" s="697"/>
    </row>
    <row r="425" spans="1:144" ht="50.1" customHeight="1">
      <c r="A425" s="170" t="s">
        <v>4671</v>
      </c>
      <c r="B425" s="517" t="s">
        <v>3272</v>
      </c>
      <c r="C425" s="173" t="s">
        <v>3273</v>
      </c>
      <c r="D425" s="173" t="s">
        <v>3274</v>
      </c>
      <c r="E425" s="173" t="s">
        <v>3275</v>
      </c>
      <c r="F425" s="170" t="s">
        <v>280</v>
      </c>
      <c r="G425" s="170"/>
      <c r="H425" s="170" t="s">
        <v>3276</v>
      </c>
      <c r="I425" s="170" t="s">
        <v>3277</v>
      </c>
      <c r="J425" s="170" t="s">
        <v>3277</v>
      </c>
      <c r="K425" s="170" t="s">
        <v>3278</v>
      </c>
      <c r="L425" s="170">
        <v>3</v>
      </c>
      <c r="M425" s="84" t="s">
        <v>3498</v>
      </c>
      <c r="N425" s="84" t="s">
        <v>3499</v>
      </c>
      <c r="O425" s="84" t="s">
        <v>3281</v>
      </c>
      <c r="P425" s="84" t="s">
        <v>1161</v>
      </c>
      <c r="Q425" s="170" t="s">
        <v>162</v>
      </c>
      <c r="R425" s="84">
        <v>0</v>
      </c>
      <c r="S425" s="84" t="s">
        <v>163</v>
      </c>
      <c r="T425" s="90">
        <v>45108</v>
      </c>
      <c r="U425" s="90">
        <v>46357</v>
      </c>
      <c r="V425" s="518"/>
      <c r="W425" s="170"/>
      <c r="X425" s="170"/>
      <c r="Y425" s="519"/>
      <c r="Z425" s="85"/>
      <c r="AA425" s="85"/>
      <c r="AB425" s="85"/>
      <c r="AC425" s="85"/>
      <c r="AD425" s="85"/>
      <c r="AE425" s="85"/>
      <c r="AF425" s="85"/>
      <c r="AG425" s="85"/>
      <c r="AH425" s="85"/>
      <c r="AI425" s="85"/>
      <c r="AJ425" s="85"/>
      <c r="AK425" s="157"/>
      <c r="AL425" s="157"/>
      <c r="AM425" s="157"/>
      <c r="AN425" s="157"/>
      <c r="AO425" s="157"/>
      <c r="AP425" s="170"/>
      <c r="AQ425" s="170"/>
      <c r="AR425" s="170"/>
      <c r="AS425" s="170"/>
      <c r="AT425" s="170"/>
      <c r="AU425" s="170"/>
      <c r="AV425" s="170"/>
      <c r="AW425" s="170"/>
      <c r="AX425" s="170"/>
      <c r="AY425" s="170"/>
      <c r="AZ425" s="692"/>
      <c r="BA425" s="170"/>
      <c r="BB425" s="170"/>
      <c r="BC425" s="170"/>
      <c r="BD425" s="170"/>
      <c r="BE425" s="170"/>
      <c r="BF425" s="170"/>
      <c r="BG425" s="170"/>
      <c r="BH425" s="170"/>
      <c r="BI425" s="170"/>
      <c r="BJ425" s="692"/>
      <c r="BK425" s="170"/>
      <c r="BL425" s="692"/>
      <c r="BM425" s="170"/>
      <c r="BN425" s="692"/>
      <c r="BO425" s="170"/>
      <c r="BP425" s="692"/>
      <c r="BQ425" s="170"/>
      <c r="BR425" s="170"/>
      <c r="BS425" s="170"/>
      <c r="BT425" s="170"/>
      <c r="BU425" s="170"/>
      <c r="BV425" s="170"/>
      <c r="BW425" s="170"/>
      <c r="BX425" s="170"/>
      <c r="BY425" s="170"/>
      <c r="BZ425" s="170"/>
      <c r="CA425" s="170"/>
      <c r="CB425" s="170"/>
      <c r="CC425" s="170"/>
      <c r="CD425" s="170"/>
      <c r="CE425" s="170"/>
      <c r="CF425" s="170"/>
      <c r="CG425" s="665"/>
      <c r="CH425" s="256"/>
      <c r="CI425" s="170"/>
      <c r="CJ425" s="83" t="str">
        <f t="shared" si="113"/>
        <v>No aplica</v>
      </c>
      <c r="CK425" s="83" t="str">
        <f t="shared" si="112"/>
        <v>No aplica</v>
      </c>
      <c r="CL425" s="83" t="str">
        <f t="shared" si="107"/>
        <v>No requiere reporte</v>
      </c>
      <c r="CM425" s="89" t="str">
        <f t="shared" si="108"/>
        <v>No requiere reporte</v>
      </c>
      <c r="CN425" s="89" t="str">
        <f t="shared" si="109"/>
        <v>No requiere reporte</v>
      </c>
      <c r="CO425" s="145" t="s">
        <v>3190</v>
      </c>
      <c r="CP425" s="693" t="s">
        <v>3532</v>
      </c>
      <c r="CQ425" s="145" t="s">
        <v>3533</v>
      </c>
      <c r="CR425" s="693" t="s">
        <v>3534</v>
      </c>
      <c r="CS425" s="693" t="s">
        <v>3535</v>
      </c>
      <c r="CT425" s="145" t="s">
        <v>200</v>
      </c>
      <c r="CU425" s="145" t="s">
        <v>233</v>
      </c>
      <c r="CV425" s="145">
        <v>0</v>
      </c>
      <c r="CW425" s="145" t="s">
        <v>402</v>
      </c>
      <c r="CX425" s="695">
        <v>46023</v>
      </c>
      <c r="CY425" s="695">
        <v>46387</v>
      </c>
      <c r="CZ425" s="668">
        <v>0</v>
      </c>
      <c r="DA425" s="154">
        <v>2</v>
      </c>
      <c r="DB425" s="154">
        <v>3</v>
      </c>
      <c r="DC425" s="154">
        <v>5</v>
      </c>
      <c r="DD425" s="353">
        <v>10</v>
      </c>
      <c r="DE425" s="665"/>
      <c r="DF425" s="665"/>
      <c r="DG425" s="665"/>
      <c r="DH425" s="696">
        <v>0</v>
      </c>
      <c r="DI425" s="665"/>
      <c r="DJ425" s="665"/>
      <c r="DK425" s="665"/>
      <c r="DL425" s="665" t="s">
        <v>279</v>
      </c>
      <c r="DM425" s="665" t="s">
        <v>3296</v>
      </c>
      <c r="DN425" s="665"/>
      <c r="DO425" s="716"/>
      <c r="DP425" s="665"/>
      <c r="DQ425" s="716"/>
      <c r="DR425" s="716"/>
      <c r="DS425" s="524"/>
      <c r="DT425" s="716"/>
      <c r="DU425" s="665"/>
      <c r="DV425" s="677"/>
      <c r="DW425" s="728"/>
      <c r="DX425" s="524"/>
      <c r="DY425" s="716"/>
      <c r="DZ425" s="665"/>
      <c r="EA425" s="677"/>
      <c r="EB425" s="728"/>
      <c r="EC425" s="665"/>
      <c r="ED425" s="665"/>
      <c r="EE425" s="665"/>
      <c r="EF425" s="665"/>
      <c r="EG425" s="665"/>
      <c r="EH425" s="730"/>
      <c r="EI425" s="170"/>
      <c r="EJ425" s="170"/>
      <c r="EK425" s="262"/>
      <c r="EL425" s="91" t="str">
        <f t="shared" si="110"/>
        <v>No aplica, no hay meta</v>
      </c>
      <c r="EM425" s="83" t="str">
        <f t="shared" si="111"/>
        <v>No se reportó avance</v>
      </c>
      <c r="EN425" s="697"/>
    </row>
    <row r="426" spans="1:144" ht="50.1" customHeight="1">
      <c r="A426" s="170" t="s">
        <v>4671</v>
      </c>
      <c r="B426" s="517" t="s">
        <v>3272</v>
      </c>
      <c r="C426" s="173" t="s">
        <v>3273</v>
      </c>
      <c r="D426" s="173" t="s">
        <v>3274</v>
      </c>
      <c r="E426" s="173" t="s">
        <v>3275</v>
      </c>
      <c r="F426" s="170" t="s">
        <v>280</v>
      </c>
      <c r="G426" s="170"/>
      <c r="H426" s="170" t="s">
        <v>3276</v>
      </c>
      <c r="I426" s="170" t="s">
        <v>3277</v>
      </c>
      <c r="J426" s="170" t="s">
        <v>3277</v>
      </c>
      <c r="K426" s="170" t="s">
        <v>3278</v>
      </c>
      <c r="L426" s="170">
        <v>3</v>
      </c>
      <c r="M426" s="84" t="s">
        <v>3498</v>
      </c>
      <c r="N426" s="84" t="s">
        <v>3499</v>
      </c>
      <c r="O426" s="84" t="s">
        <v>3281</v>
      </c>
      <c r="P426" s="84" t="s">
        <v>1161</v>
      </c>
      <c r="Q426" s="170" t="s">
        <v>162</v>
      </c>
      <c r="R426" s="84">
        <v>0</v>
      </c>
      <c r="S426" s="84" t="s">
        <v>163</v>
      </c>
      <c r="T426" s="90">
        <v>45108</v>
      </c>
      <c r="U426" s="90">
        <v>46357</v>
      </c>
      <c r="V426" s="518"/>
      <c r="W426" s="170"/>
      <c r="X426" s="170"/>
      <c r="Y426" s="519"/>
      <c r="Z426" s="85"/>
      <c r="AA426" s="85"/>
      <c r="AB426" s="85"/>
      <c r="AC426" s="85"/>
      <c r="AD426" s="85"/>
      <c r="AE426" s="85"/>
      <c r="AF426" s="85"/>
      <c r="AG426" s="85"/>
      <c r="AH426" s="85"/>
      <c r="AI426" s="85"/>
      <c r="AJ426" s="85"/>
      <c r="AK426" s="157"/>
      <c r="AL426" s="157"/>
      <c r="AM426" s="157"/>
      <c r="AN426" s="157"/>
      <c r="AO426" s="157"/>
      <c r="AP426" s="170"/>
      <c r="AQ426" s="170"/>
      <c r="AR426" s="170"/>
      <c r="AS426" s="170"/>
      <c r="AT426" s="170"/>
      <c r="AU426" s="170"/>
      <c r="AV426" s="170"/>
      <c r="AW426" s="170"/>
      <c r="AX426" s="170"/>
      <c r="AY426" s="170"/>
      <c r="AZ426" s="692"/>
      <c r="BA426" s="170"/>
      <c r="BB426" s="170"/>
      <c r="BC426" s="170"/>
      <c r="BD426" s="170"/>
      <c r="BE426" s="170"/>
      <c r="BF426" s="170"/>
      <c r="BG426" s="170"/>
      <c r="BH426" s="170"/>
      <c r="BI426" s="170"/>
      <c r="BJ426" s="692"/>
      <c r="BK426" s="170"/>
      <c r="BL426" s="692"/>
      <c r="BM426" s="170"/>
      <c r="BN426" s="692"/>
      <c r="BO426" s="170"/>
      <c r="BP426" s="692"/>
      <c r="BQ426" s="170"/>
      <c r="BR426" s="170"/>
      <c r="BS426" s="170"/>
      <c r="BT426" s="170"/>
      <c r="BU426" s="170"/>
      <c r="BV426" s="170"/>
      <c r="BW426" s="170"/>
      <c r="BX426" s="170"/>
      <c r="BY426" s="170"/>
      <c r="BZ426" s="170"/>
      <c r="CA426" s="170"/>
      <c r="CB426" s="170"/>
      <c r="CC426" s="170"/>
      <c r="CD426" s="170"/>
      <c r="CE426" s="170"/>
      <c r="CF426" s="170"/>
      <c r="CG426" s="665"/>
      <c r="CH426" s="256"/>
      <c r="CI426" s="170"/>
      <c r="CJ426" s="83" t="str">
        <f t="shared" si="113"/>
        <v>No aplica</v>
      </c>
      <c r="CK426" s="83" t="str">
        <f t="shared" si="112"/>
        <v>No aplica</v>
      </c>
      <c r="CL426" s="83" t="str">
        <f t="shared" si="107"/>
        <v>No requiere reporte</v>
      </c>
      <c r="CM426" s="89" t="str">
        <f t="shared" si="108"/>
        <v>No requiere reporte</v>
      </c>
      <c r="CN426" s="89" t="str">
        <f t="shared" si="109"/>
        <v>No requiere reporte</v>
      </c>
      <c r="CO426" s="145" t="s">
        <v>3194</v>
      </c>
      <c r="CP426" s="693" t="s">
        <v>3536</v>
      </c>
      <c r="CQ426" s="145" t="s">
        <v>3537</v>
      </c>
      <c r="CR426" s="693" t="s">
        <v>3538</v>
      </c>
      <c r="CS426" s="693" t="s">
        <v>3539</v>
      </c>
      <c r="CT426" s="145" t="s">
        <v>200</v>
      </c>
      <c r="CU426" s="714" t="s">
        <v>162</v>
      </c>
      <c r="CV426" s="291">
        <v>0</v>
      </c>
      <c r="CW426" s="145" t="s">
        <v>163</v>
      </c>
      <c r="CX426" s="695">
        <v>46023</v>
      </c>
      <c r="CY426" s="695">
        <v>46387</v>
      </c>
      <c r="CZ426" s="146">
        <v>1</v>
      </c>
      <c r="DA426" s="146">
        <v>1</v>
      </c>
      <c r="DB426" s="146">
        <v>1</v>
      </c>
      <c r="DC426" s="146">
        <v>1</v>
      </c>
      <c r="DD426" s="146">
        <v>1</v>
      </c>
      <c r="DE426" s="665" t="s">
        <v>396</v>
      </c>
      <c r="DF426" s="665" t="s">
        <v>3510</v>
      </c>
      <c r="DG426" s="665" t="s">
        <v>3511</v>
      </c>
      <c r="DH426" s="631">
        <v>10000000</v>
      </c>
      <c r="DI426" s="665"/>
      <c r="DJ426" s="665"/>
      <c r="DK426" s="665"/>
      <c r="DL426" s="665" t="s">
        <v>279</v>
      </c>
      <c r="DM426" s="665" t="s">
        <v>3296</v>
      </c>
      <c r="DN426" s="218"/>
      <c r="DO426" s="716"/>
      <c r="DP426" s="665"/>
      <c r="DQ426" s="716"/>
      <c r="DR426" s="716"/>
      <c r="DS426" s="218"/>
      <c r="DT426" s="716"/>
      <c r="DU426" s="665"/>
      <c r="DV426" s="677"/>
      <c r="DW426" s="677"/>
      <c r="DX426" s="218"/>
      <c r="DY426" s="716"/>
      <c r="DZ426" s="665"/>
      <c r="EA426" s="677"/>
      <c r="EB426" s="677"/>
      <c r="EC426" s="665"/>
      <c r="ED426" s="665"/>
      <c r="EE426" s="665"/>
      <c r="EF426" s="665"/>
      <c r="EG426" s="665"/>
      <c r="EH426" s="146"/>
      <c r="EI426" s="170"/>
      <c r="EJ426" s="170"/>
      <c r="EK426" s="262"/>
      <c r="EL426" s="91" t="str">
        <f t="shared" si="110"/>
        <v>No se reportó avance</v>
      </c>
      <c r="EM426" s="83" t="str">
        <f t="shared" si="111"/>
        <v>No se reportó avance</v>
      </c>
      <c r="EN426" s="697"/>
    </row>
    <row r="427" spans="1:144" ht="50.1" customHeight="1">
      <c r="A427" s="170" t="s">
        <v>4671</v>
      </c>
      <c r="B427" s="517" t="s">
        <v>3272</v>
      </c>
      <c r="C427" s="173" t="s">
        <v>3273</v>
      </c>
      <c r="D427" s="173" t="s">
        <v>3274</v>
      </c>
      <c r="E427" s="173" t="s">
        <v>3275</v>
      </c>
      <c r="F427" s="170" t="s">
        <v>280</v>
      </c>
      <c r="G427" s="170"/>
      <c r="H427" s="170" t="s">
        <v>3276</v>
      </c>
      <c r="I427" s="170" t="s">
        <v>3277</v>
      </c>
      <c r="J427" s="170" t="s">
        <v>3277</v>
      </c>
      <c r="K427" s="170" t="s">
        <v>3278</v>
      </c>
      <c r="L427" s="170">
        <v>3</v>
      </c>
      <c r="M427" s="84" t="s">
        <v>3498</v>
      </c>
      <c r="N427" s="84" t="s">
        <v>3499</v>
      </c>
      <c r="O427" s="84" t="s">
        <v>3281</v>
      </c>
      <c r="P427" s="84" t="s">
        <v>1161</v>
      </c>
      <c r="Q427" s="170" t="s">
        <v>162</v>
      </c>
      <c r="R427" s="84">
        <v>0</v>
      </c>
      <c r="S427" s="84" t="s">
        <v>163</v>
      </c>
      <c r="T427" s="90">
        <v>45108</v>
      </c>
      <c r="U427" s="90">
        <v>46357</v>
      </c>
      <c r="V427" s="518"/>
      <c r="W427" s="170"/>
      <c r="X427" s="170"/>
      <c r="Y427" s="519"/>
      <c r="Z427" s="85"/>
      <c r="AA427" s="85"/>
      <c r="AB427" s="85"/>
      <c r="AC427" s="85"/>
      <c r="AD427" s="85"/>
      <c r="AE427" s="85"/>
      <c r="AF427" s="85"/>
      <c r="AG427" s="85"/>
      <c r="AH427" s="85"/>
      <c r="AI427" s="85"/>
      <c r="AJ427" s="85"/>
      <c r="AK427" s="157"/>
      <c r="AL427" s="157"/>
      <c r="AM427" s="157"/>
      <c r="AN427" s="157"/>
      <c r="AO427" s="157"/>
      <c r="AP427" s="170"/>
      <c r="AQ427" s="170"/>
      <c r="AR427" s="170"/>
      <c r="AS427" s="170"/>
      <c r="AT427" s="170"/>
      <c r="AU427" s="170"/>
      <c r="AV427" s="170"/>
      <c r="AW427" s="170"/>
      <c r="AX427" s="170"/>
      <c r="AY427" s="170"/>
      <c r="AZ427" s="692"/>
      <c r="BA427" s="170"/>
      <c r="BB427" s="170"/>
      <c r="BC427" s="170"/>
      <c r="BD427" s="170"/>
      <c r="BE427" s="170"/>
      <c r="BF427" s="170"/>
      <c r="BG427" s="170"/>
      <c r="BH427" s="170"/>
      <c r="BI427" s="170"/>
      <c r="BJ427" s="692"/>
      <c r="BK427" s="170"/>
      <c r="BL427" s="692"/>
      <c r="BM427" s="170"/>
      <c r="BN427" s="692"/>
      <c r="BO427" s="170"/>
      <c r="BP427" s="692"/>
      <c r="BQ427" s="170"/>
      <c r="BR427" s="170"/>
      <c r="BS427" s="170"/>
      <c r="BT427" s="170"/>
      <c r="BU427" s="170"/>
      <c r="BV427" s="170"/>
      <c r="BW427" s="170"/>
      <c r="BX427" s="170"/>
      <c r="BY427" s="170"/>
      <c r="BZ427" s="170"/>
      <c r="CA427" s="170"/>
      <c r="CB427" s="170"/>
      <c r="CC427" s="170"/>
      <c r="CD427" s="170"/>
      <c r="CE427" s="170"/>
      <c r="CF427" s="170"/>
      <c r="CG427" s="717"/>
      <c r="CH427" s="256"/>
      <c r="CI427" s="170"/>
      <c r="CJ427" s="83" t="str">
        <f t="shared" si="113"/>
        <v>No aplica</v>
      </c>
      <c r="CK427" s="83" t="str">
        <f t="shared" si="112"/>
        <v>No aplica</v>
      </c>
      <c r="CL427" s="83" t="str">
        <f t="shared" si="107"/>
        <v>No requiere reporte</v>
      </c>
      <c r="CM427" s="89" t="str">
        <f t="shared" si="108"/>
        <v>No requiere reporte</v>
      </c>
      <c r="CN427" s="89" t="str">
        <f t="shared" si="109"/>
        <v>No requiere reporte</v>
      </c>
      <c r="CO427" s="145" t="s">
        <v>3540</v>
      </c>
      <c r="CP427" s="693" t="s">
        <v>3541</v>
      </c>
      <c r="CQ427" s="145" t="s">
        <v>3542</v>
      </c>
      <c r="CR427" s="693" t="s">
        <v>3543</v>
      </c>
      <c r="CS427" s="693" t="s">
        <v>3544</v>
      </c>
      <c r="CT427" s="145" t="s">
        <v>200</v>
      </c>
      <c r="CU427" s="145" t="s">
        <v>233</v>
      </c>
      <c r="CV427" s="145">
        <v>0</v>
      </c>
      <c r="CW427" s="145" t="s">
        <v>234</v>
      </c>
      <c r="CX427" s="695">
        <v>46023</v>
      </c>
      <c r="CY427" s="695">
        <v>46387</v>
      </c>
      <c r="CZ427" s="145"/>
      <c r="DA427" s="145">
        <v>1</v>
      </c>
      <c r="DB427" s="145"/>
      <c r="DC427" s="145"/>
      <c r="DD427" s="145">
        <v>1</v>
      </c>
      <c r="DE427" s="717"/>
      <c r="DF427" s="717"/>
      <c r="DG427" s="717"/>
      <c r="DH427" s="731">
        <v>0</v>
      </c>
      <c r="DI427" s="665"/>
      <c r="DJ427" s="665"/>
      <c r="DK427" s="665"/>
      <c r="DL427" s="665" t="s">
        <v>279</v>
      </c>
      <c r="DM427" s="665" t="s">
        <v>3296</v>
      </c>
      <c r="DN427" s="665"/>
      <c r="DO427" s="716"/>
      <c r="DP427" s="665"/>
      <c r="DQ427" s="716"/>
      <c r="DR427" s="716"/>
      <c r="DS427" s="717"/>
      <c r="DT427" s="716"/>
      <c r="DU427" s="665"/>
      <c r="DV427" s="677"/>
      <c r="DW427" s="729"/>
      <c r="DX427" s="717"/>
      <c r="DY427" s="716"/>
      <c r="DZ427" s="665"/>
      <c r="EA427" s="677"/>
      <c r="EB427" s="729"/>
      <c r="EC427" s="665"/>
      <c r="ED427" s="665"/>
      <c r="EE427" s="665"/>
      <c r="EF427" s="665"/>
      <c r="EG427" s="665"/>
      <c r="EH427" s="665"/>
      <c r="EI427" s="170"/>
      <c r="EJ427" s="170"/>
      <c r="EK427" s="262"/>
      <c r="EL427" s="91" t="str">
        <f t="shared" si="110"/>
        <v>No aplica, no hay meta</v>
      </c>
      <c r="EM427" s="83" t="str">
        <f t="shared" si="111"/>
        <v>No se reportó avance</v>
      </c>
      <c r="EN427" s="697"/>
    </row>
    <row r="428" spans="1:144" ht="50.1" customHeight="1">
      <c r="A428" s="170" t="s">
        <v>4671</v>
      </c>
      <c r="B428" s="517" t="s">
        <v>3272</v>
      </c>
      <c r="C428" s="173" t="s">
        <v>3273</v>
      </c>
      <c r="D428" s="173" t="s">
        <v>3274</v>
      </c>
      <c r="E428" s="173" t="s">
        <v>3275</v>
      </c>
      <c r="F428" s="170" t="s">
        <v>280</v>
      </c>
      <c r="G428" s="170"/>
      <c r="H428" s="170" t="s">
        <v>3276</v>
      </c>
      <c r="I428" s="170" t="s">
        <v>3277</v>
      </c>
      <c r="J428" s="170" t="s">
        <v>3277</v>
      </c>
      <c r="K428" s="170" t="s">
        <v>3278</v>
      </c>
      <c r="L428" s="170">
        <v>3</v>
      </c>
      <c r="M428" s="84" t="s">
        <v>3498</v>
      </c>
      <c r="N428" s="84" t="s">
        <v>3499</v>
      </c>
      <c r="O428" s="84" t="s">
        <v>3281</v>
      </c>
      <c r="P428" s="84" t="s">
        <v>1161</v>
      </c>
      <c r="Q428" s="170" t="s">
        <v>162</v>
      </c>
      <c r="R428" s="84">
        <v>0</v>
      </c>
      <c r="S428" s="84" t="s">
        <v>163</v>
      </c>
      <c r="T428" s="90">
        <v>45108</v>
      </c>
      <c r="U428" s="90">
        <v>46357</v>
      </c>
      <c r="V428" s="518"/>
      <c r="W428" s="170"/>
      <c r="X428" s="170"/>
      <c r="Y428" s="519"/>
      <c r="Z428" s="85"/>
      <c r="AA428" s="85"/>
      <c r="AB428" s="85"/>
      <c r="AC428" s="85"/>
      <c r="AD428" s="85"/>
      <c r="AE428" s="85"/>
      <c r="AF428" s="85"/>
      <c r="AG428" s="85"/>
      <c r="AH428" s="85"/>
      <c r="AI428" s="85"/>
      <c r="AJ428" s="85"/>
      <c r="AK428" s="157"/>
      <c r="AL428" s="157"/>
      <c r="AM428" s="157"/>
      <c r="AN428" s="157"/>
      <c r="AO428" s="157"/>
      <c r="AP428" s="170"/>
      <c r="AQ428" s="170"/>
      <c r="AR428" s="170"/>
      <c r="AS428" s="170"/>
      <c r="AT428" s="170"/>
      <c r="AU428" s="170"/>
      <c r="AV428" s="170"/>
      <c r="AW428" s="170"/>
      <c r="AX428" s="170"/>
      <c r="AY428" s="170"/>
      <c r="AZ428" s="692"/>
      <c r="BA428" s="170"/>
      <c r="BB428" s="170"/>
      <c r="BC428" s="170"/>
      <c r="BD428" s="170"/>
      <c r="BE428" s="170"/>
      <c r="BF428" s="170"/>
      <c r="BG428" s="170"/>
      <c r="BH428" s="170"/>
      <c r="BI428" s="170"/>
      <c r="BJ428" s="692"/>
      <c r="BK428" s="170"/>
      <c r="BL428" s="692"/>
      <c r="BM428" s="170"/>
      <c r="BN428" s="692"/>
      <c r="BO428" s="170"/>
      <c r="BP428" s="692"/>
      <c r="BQ428" s="170"/>
      <c r="BR428" s="170"/>
      <c r="BS428" s="170"/>
      <c r="BT428" s="170"/>
      <c r="BU428" s="170"/>
      <c r="BV428" s="170"/>
      <c r="BW428" s="170"/>
      <c r="BX428" s="170"/>
      <c r="BY428" s="170"/>
      <c r="BZ428" s="170"/>
      <c r="CA428" s="170"/>
      <c r="CB428" s="170"/>
      <c r="CC428" s="170"/>
      <c r="CD428" s="170"/>
      <c r="CE428" s="170"/>
      <c r="CF428" s="170"/>
      <c r="CG428" s="717"/>
      <c r="CH428" s="256"/>
      <c r="CI428" s="170"/>
      <c r="CJ428" s="83" t="str">
        <f t="shared" si="113"/>
        <v>No aplica</v>
      </c>
      <c r="CK428" s="83" t="str">
        <f t="shared" si="112"/>
        <v>No aplica</v>
      </c>
      <c r="CL428" s="83" t="str">
        <f t="shared" si="107"/>
        <v>No requiere reporte</v>
      </c>
      <c r="CM428" s="89" t="str">
        <f t="shared" si="108"/>
        <v>No requiere reporte</v>
      </c>
      <c r="CN428" s="89" t="str">
        <f t="shared" si="109"/>
        <v>No requiere reporte</v>
      </c>
      <c r="CO428" s="145" t="s">
        <v>3545</v>
      </c>
      <c r="CP428" s="732" t="s">
        <v>3546</v>
      </c>
      <c r="CQ428" s="145" t="s">
        <v>3547</v>
      </c>
      <c r="CR428" s="693" t="s">
        <v>3548</v>
      </c>
      <c r="CS428" s="693" t="s">
        <v>3549</v>
      </c>
      <c r="CT428" s="145" t="s">
        <v>200</v>
      </c>
      <c r="CU428" s="714" t="s">
        <v>162</v>
      </c>
      <c r="CV428" s="291">
        <v>0</v>
      </c>
      <c r="CW428" s="145" t="s">
        <v>163</v>
      </c>
      <c r="CX428" s="695">
        <v>46023</v>
      </c>
      <c r="CY428" s="695">
        <v>46387</v>
      </c>
      <c r="CZ428" s="157">
        <v>0</v>
      </c>
      <c r="DA428" s="146">
        <v>1</v>
      </c>
      <c r="DB428" s="146">
        <v>1</v>
      </c>
      <c r="DC428" s="146">
        <v>1</v>
      </c>
      <c r="DD428" s="146">
        <v>1</v>
      </c>
      <c r="DE428" s="665" t="s">
        <v>396</v>
      </c>
      <c r="DF428" s="665" t="s">
        <v>3510</v>
      </c>
      <c r="DG428" s="665" t="s">
        <v>3511</v>
      </c>
      <c r="DH428" s="631">
        <v>0</v>
      </c>
      <c r="DI428" s="665"/>
      <c r="DJ428" s="665"/>
      <c r="DK428" s="665"/>
      <c r="DL428" s="665" t="s">
        <v>279</v>
      </c>
      <c r="DM428" s="665" t="s">
        <v>3296</v>
      </c>
      <c r="DN428" s="218"/>
      <c r="DO428" s="716"/>
      <c r="DP428" s="665"/>
      <c r="DQ428" s="716"/>
      <c r="DR428" s="716"/>
      <c r="DS428" s="525"/>
      <c r="DT428" s="716"/>
      <c r="DU428" s="665"/>
      <c r="DV428" s="677"/>
      <c r="DW428" s="729"/>
      <c r="DX428" s="525"/>
      <c r="DY428" s="716"/>
      <c r="DZ428" s="665"/>
      <c r="EA428" s="677"/>
      <c r="EB428" s="729"/>
      <c r="EC428" s="665"/>
      <c r="ED428" s="665"/>
      <c r="EE428" s="665"/>
      <c r="EF428" s="665"/>
      <c r="EG428" s="665"/>
      <c r="EH428" s="666"/>
      <c r="EI428" s="170"/>
      <c r="EJ428" s="170"/>
      <c r="EK428" s="262"/>
      <c r="EL428" s="91" t="str">
        <f t="shared" si="110"/>
        <v>No aplica, no hay meta</v>
      </c>
      <c r="EM428" s="83" t="str">
        <f t="shared" si="111"/>
        <v>No se reportó avance</v>
      </c>
      <c r="EN428" s="697"/>
    </row>
    <row r="429" spans="1:144" ht="50.1" customHeight="1">
      <c r="A429" s="170" t="s">
        <v>4671</v>
      </c>
      <c r="B429" s="517" t="s">
        <v>3272</v>
      </c>
      <c r="C429" s="173" t="s">
        <v>3273</v>
      </c>
      <c r="D429" s="173" t="s">
        <v>3274</v>
      </c>
      <c r="E429" s="173" t="s">
        <v>3275</v>
      </c>
      <c r="F429" s="170" t="s">
        <v>280</v>
      </c>
      <c r="G429" s="170"/>
      <c r="H429" s="170" t="s">
        <v>3276</v>
      </c>
      <c r="I429" s="170" t="s">
        <v>3277</v>
      </c>
      <c r="J429" s="170" t="s">
        <v>3277</v>
      </c>
      <c r="K429" s="170" t="s">
        <v>3278</v>
      </c>
      <c r="L429" s="170">
        <v>3</v>
      </c>
      <c r="M429" s="84" t="s">
        <v>3498</v>
      </c>
      <c r="N429" s="84" t="s">
        <v>3499</v>
      </c>
      <c r="O429" s="84" t="s">
        <v>3281</v>
      </c>
      <c r="P429" s="84" t="s">
        <v>1161</v>
      </c>
      <c r="Q429" s="170" t="s">
        <v>162</v>
      </c>
      <c r="R429" s="84">
        <v>0</v>
      </c>
      <c r="S429" s="84" t="s">
        <v>163</v>
      </c>
      <c r="T429" s="90">
        <v>45108</v>
      </c>
      <c r="U429" s="90">
        <v>46357</v>
      </c>
      <c r="V429" s="518"/>
      <c r="W429" s="170"/>
      <c r="X429" s="170"/>
      <c r="Y429" s="519"/>
      <c r="Z429" s="85"/>
      <c r="AA429" s="85"/>
      <c r="AB429" s="85"/>
      <c r="AC429" s="85"/>
      <c r="AD429" s="85"/>
      <c r="AE429" s="85"/>
      <c r="AF429" s="85"/>
      <c r="AG429" s="85"/>
      <c r="AH429" s="85"/>
      <c r="AI429" s="85"/>
      <c r="AJ429" s="85"/>
      <c r="AK429" s="157"/>
      <c r="AL429" s="157"/>
      <c r="AM429" s="157"/>
      <c r="AN429" s="157"/>
      <c r="AO429" s="157"/>
      <c r="AP429" s="170"/>
      <c r="AQ429" s="170"/>
      <c r="AR429" s="170"/>
      <c r="AS429" s="170"/>
      <c r="AT429" s="170"/>
      <c r="AU429" s="170"/>
      <c r="AV429" s="170"/>
      <c r="AW429" s="170"/>
      <c r="AX429" s="170"/>
      <c r="AY429" s="170"/>
      <c r="AZ429" s="692"/>
      <c r="BA429" s="170"/>
      <c r="BB429" s="170"/>
      <c r="BC429" s="170"/>
      <c r="BD429" s="170"/>
      <c r="BE429" s="170"/>
      <c r="BF429" s="170"/>
      <c r="BG429" s="170"/>
      <c r="BH429" s="170"/>
      <c r="BI429" s="170"/>
      <c r="BJ429" s="692"/>
      <c r="BK429" s="170"/>
      <c r="BL429" s="692"/>
      <c r="BM429" s="170"/>
      <c r="BN429" s="692"/>
      <c r="BO429" s="170"/>
      <c r="BP429" s="692"/>
      <c r="BQ429" s="170"/>
      <c r="BR429" s="170"/>
      <c r="BS429" s="170"/>
      <c r="BT429" s="170"/>
      <c r="BU429" s="170"/>
      <c r="BV429" s="170"/>
      <c r="BW429" s="170"/>
      <c r="BX429" s="170"/>
      <c r="BY429" s="170"/>
      <c r="BZ429" s="170"/>
      <c r="CA429" s="170"/>
      <c r="CB429" s="170"/>
      <c r="CC429" s="170"/>
      <c r="CD429" s="170"/>
      <c r="CE429" s="170"/>
      <c r="CF429" s="170"/>
      <c r="CG429" s="717"/>
      <c r="CH429" s="256"/>
      <c r="CI429" s="170"/>
      <c r="CJ429" s="83" t="str">
        <f t="shared" si="113"/>
        <v>No aplica</v>
      </c>
      <c r="CK429" s="83" t="str">
        <f t="shared" si="112"/>
        <v>No aplica</v>
      </c>
      <c r="CL429" s="83" t="str">
        <f t="shared" si="107"/>
        <v>No requiere reporte</v>
      </c>
      <c r="CM429" s="89" t="str">
        <f t="shared" si="108"/>
        <v>No requiere reporte</v>
      </c>
      <c r="CN429" s="89" t="str">
        <f t="shared" si="109"/>
        <v>No requiere reporte</v>
      </c>
      <c r="CO429" s="145" t="s">
        <v>3550</v>
      </c>
      <c r="CP429" s="693" t="s">
        <v>3551</v>
      </c>
      <c r="CQ429" s="145" t="s">
        <v>3552</v>
      </c>
      <c r="CR429" s="693" t="s">
        <v>3553</v>
      </c>
      <c r="CS429" s="693" t="s">
        <v>3554</v>
      </c>
      <c r="CT429" s="145" t="s">
        <v>200</v>
      </c>
      <c r="CU429" s="145" t="s">
        <v>275</v>
      </c>
      <c r="CV429" s="291">
        <v>0</v>
      </c>
      <c r="CW429" s="145" t="s">
        <v>163</v>
      </c>
      <c r="CX429" s="695">
        <v>46023</v>
      </c>
      <c r="CY429" s="695">
        <v>46387</v>
      </c>
      <c r="CZ429" s="733"/>
      <c r="DA429" s="733">
        <v>0</v>
      </c>
      <c r="DB429" s="733">
        <v>0.75</v>
      </c>
      <c r="DC429" s="146">
        <v>1</v>
      </c>
      <c r="DD429" s="146">
        <v>1</v>
      </c>
      <c r="DE429" s="717"/>
      <c r="DF429" s="717"/>
      <c r="DG429" s="717"/>
      <c r="DH429" s="731">
        <v>0</v>
      </c>
      <c r="DI429" s="665"/>
      <c r="DJ429" s="665"/>
      <c r="DK429" s="665"/>
      <c r="DL429" s="665" t="s">
        <v>279</v>
      </c>
      <c r="DM429" s="665" t="s">
        <v>3296</v>
      </c>
      <c r="DN429" s="665"/>
      <c r="DO429" s="716"/>
      <c r="DP429" s="665"/>
      <c r="DQ429" s="716"/>
      <c r="DR429" s="716"/>
      <c r="DS429" s="717"/>
      <c r="DT429" s="716"/>
      <c r="DU429" s="665"/>
      <c r="DV429" s="677"/>
      <c r="DW429" s="729"/>
      <c r="DX429" s="717"/>
      <c r="DY429" s="716"/>
      <c r="DZ429" s="665"/>
      <c r="EA429" s="677"/>
      <c r="EB429" s="729"/>
      <c r="EC429" s="665"/>
      <c r="ED429" s="665"/>
      <c r="EE429" s="665"/>
      <c r="EF429" s="665"/>
      <c r="EG429" s="665"/>
      <c r="EH429" s="146"/>
      <c r="EI429" s="170"/>
      <c r="EJ429" s="170"/>
      <c r="EK429" s="262"/>
      <c r="EL429" s="91" t="str">
        <f t="shared" si="110"/>
        <v>No aplica, no hay meta</v>
      </c>
      <c r="EM429" s="83" t="str">
        <f t="shared" si="111"/>
        <v>No se reportó avance</v>
      </c>
      <c r="EN429" s="697"/>
    </row>
    <row r="430" spans="1:144" ht="50.1" customHeight="1">
      <c r="A430" s="170" t="s">
        <v>4671</v>
      </c>
      <c r="B430" s="517" t="s">
        <v>3272</v>
      </c>
      <c r="C430" s="173"/>
      <c r="D430" s="173"/>
      <c r="E430" s="173"/>
      <c r="F430" s="170"/>
      <c r="G430" s="170"/>
      <c r="H430" s="170"/>
      <c r="I430" s="170" t="s">
        <v>3277</v>
      </c>
      <c r="J430" s="170" t="s">
        <v>3277</v>
      </c>
      <c r="K430" s="170" t="s">
        <v>3278</v>
      </c>
      <c r="L430" s="170">
        <v>3</v>
      </c>
      <c r="M430" s="84" t="s">
        <v>3498</v>
      </c>
      <c r="N430" s="84" t="s">
        <v>3499</v>
      </c>
      <c r="O430" s="84" t="s">
        <v>3281</v>
      </c>
      <c r="P430" s="84" t="s">
        <v>1161</v>
      </c>
      <c r="Q430" s="170" t="s">
        <v>162</v>
      </c>
      <c r="R430" s="84">
        <v>0</v>
      </c>
      <c r="S430" s="84" t="s">
        <v>163</v>
      </c>
      <c r="T430" s="90">
        <v>45108</v>
      </c>
      <c r="U430" s="90">
        <v>46357</v>
      </c>
      <c r="V430" s="518"/>
      <c r="W430" s="170"/>
      <c r="X430" s="170"/>
      <c r="Y430" s="519"/>
      <c r="Z430" s="85"/>
      <c r="AA430" s="85"/>
      <c r="AB430" s="85"/>
      <c r="AC430" s="85"/>
      <c r="AD430" s="85"/>
      <c r="AE430" s="85"/>
      <c r="AF430" s="85"/>
      <c r="AG430" s="85"/>
      <c r="AH430" s="85"/>
      <c r="AI430" s="85"/>
      <c r="AJ430" s="85"/>
      <c r="AK430" s="157"/>
      <c r="AL430" s="157"/>
      <c r="AM430" s="157"/>
      <c r="AN430" s="157"/>
      <c r="AO430" s="157"/>
      <c r="AP430" s="170"/>
      <c r="AQ430" s="170"/>
      <c r="AR430" s="170"/>
      <c r="AS430" s="170"/>
      <c r="AT430" s="170"/>
      <c r="AU430" s="170"/>
      <c r="AV430" s="170"/>
      <c r="AW430" s="170"/>
      <c r="AX430" s="170"/>
      <c r="AY430" s="170"/>
      <c r="AZ430" s="692"/>
      <c r="BA430" s="170"/>
      <c r="BB430" s="170"/>
      <c r="BC430" s="170"/>
      <c r="BD430" s="170"/>
      <c r="BE430" s="170"/>
      <c r="BF430" s="170"/>
      <c r="BG430" s="170"/>
      <c r="BH430" s="170"/>
      <c r="BI430" s="170"/>
      <c r="BJ430" s="692"/>
      <c r="BK430" s="170"/>
      <c r="BL430" s="692"/>
      <c r="BM430" s="170"/>
      <c r="BN430" s="692"/>
      <c r="BO430" s="170"/>
      <c r="BP430" s="692"/>
      <c r="BQ430" s="170"/>
      <c r="BR430" s="170"/>
      <c r="BS430" s="170"/>
      <c r="BT430" s="170"/>
      <c r="BU430" s="170"/>
      <c r="BV430" s="170"/>
      <c r="BW430" s="170"/>
      <c r="BX430" s="170"/>
      <c r="BY430" s="170"/>
      <c r="BZ430" s="170"/>
      <c r="CA430" s="170"/>
      <c r="CB430" s="170"/>
      <c r="CC430" s="170"/>
      <c r="CD430" s="170"/>
      <c r="CE430" s="170"/>
      <c r="CF430" s="170"/>
      <c r="CG430" s="717"/>
      <c r="CH430" s="256"/>
      <c r="CI430" s="170"/>
      <c r="CJ430" s="83" t="str">
        <f t="shared" si="113"/>
        <v>No aplica</v>
      </c>
      <c r="CK430" s="83" t="str">
        <f t="shared" si="112"/>
        <v>No aplica</v>
      </c>
      <c r="CL430" s="83" t="str">
        <f t="shared" si="107"/>
        <v>No requiere reporte</v>
      </c>
      <c r="CM430" s="89" t="str">
        <f t="shared" si="108"/>
        <v>No requiere reporte</v>
      </c>
      <c r="CN430" s="89" t="str">
        <f t="shared" si="109"/>
        <v>No requiere reporte</v>
      </c>
      <c r="CO430" s="145" t="s">
        <v>3555</v>
      </c>
      <c r="CP430" s="693" t="s">
        <v>3556</v>
      </c>
      <c r="CQ430" s="145" t="s">
        <v>3557</v>
      </c>
      <c r="CR430" s="693" t="s">
        <v>3558</v>
      </c>
      <c r="CS430" s="693" t="s">
        <v>3559</v>
      </c>
      <c r="CT430" s="145" t="s">
        <v>200</v>
      </c>
      <c r="CU430" s="714" t="s">
        <v>162</v>
      </c>
      <c r="CV430" s="291">
        <v>0</v>
      </c>
      <c r="CW430" s="145" t="s">
        <v>163</v>
      </c>
      <c r="CX430" s="695">
        <v>46023</v>
      </c>
      <c r="CY430" s="695">
        <v>46387</v>
      </c>
      <c r="CZ430" s="146">
        <v>1</v>
      </c>
      <c r="DA430" s="146">
        <v>1</v>
      </c>
      <c r="DB430" s="146">
        <v>1</v>
      </c>
      <c r="DC430" s="146">
        <v>1</v>
      </c>
      <c r="DD430" s="146">
        <v>1</v>
      </c>
      <c r="DE430" s="665" t="s">
        <v>396</v>
      </c>
      <c r="DF430" s="665" t="s">
        <v>3510</v>
      </c>
      <c r="DG430" s="665" t="s">
        <v>3511</v>
      </c>
      <c r="DH430" s="631">
        <v>0</v>
      </c>
      <c r="DI430" s="665"/>
      <c r="DJ430" s="665"/>
      <c r="DK430" s="665"/>
      <c r="DL430" s="665" t="s">
        <v>279</v>
      </c>
      <c r="DM430" s="665"/>
      <c r="DN430" s="665"/>
      <c r="DO430" s="716"/>
      <c r="DP430" s="665"/>
      <c r="DQ430" s="716"/>
      <c r="DR430" s="716"/>
      <c r="DS430" s="146"/>
      <c r="DT430" s="677"/>
      <c r="DU430" s="665"/>
      <c r="DV430" s="729"/>
      <c r="DW430" s="729"/>
      <c r="DX430" s="146"/>
      <c r="DY430" s="677"/>
      <c r="DZ430" s="665"/>
      <c r="EA430" s="729"/>
      <c r="EB430" s="729"/>
      <c r="EC430" s="665"/>
      <c r="ED430" s="665"/>
      <c r="EE430" s="665"/>
      <c r="EF430" s="665"/>
      <c r="EG430" s="665"/>
      <c r="EH430" s="666"/>
      <c r="EI430" s="170"/>
      <c r="EJ430" s="170"/>
      <c r="EK430" s="262"/>
      <c r="EL430" s="91" t="str">
        <f t="shared" si="110"/>
        <v>No se reportó avance</v>
      </c>
      <c r="EM430" s="83" t="str">
        <f t="shared" si="111"/>
        <v>No se reportó avance</v>
      </c>
      <c r="EN430" s="697"/>
    </row>
    <row r="431" spans="1:144" ht="50.1" customHeight="1">
      <c r="A431" s="170" t="s">
        <v>4671</v>
      </c>
      <c r="B431" s="517" t="s">
        <v>3272</v>
      </c>
      <c r="C431" s="173"/>
      <c r="D431" s="173"/>
      <c r="E431" s="173"/>
      <c r="F431" s="170"/>
      <c r="G431" s="170"/>
      <c r="H431" s="170"/>
      <c r="I431" s="170" t="s">
        <v>3277</v>
      </c>
      <c r="J431" s="170" t="s">
        <v>3277</v>
      </c>
      <c r="K431" s="170" t="s">
        <v>3278</v>
      </c>
      <c r="L431" s="170">
        <v>3</v>
      </c>
      <c r="M431" s="84" t="s">
        <v>3498</v>
      </c>
      <c r="N431" s="84" t="s">
        <v>3499</v>
      </c>
      <c r="O431" s="84" t="s">
        <v>3281</v>
      </c>
      <c r="P431" s="84" t="s">
        <v>1161</v>
      </c>
      <c r="Q431" s="170" t="s">
        <v>162</v>
      </c>
      <c r="R431" s="84">
        <v>0</v>
      </c>
      <c r="S431" s="84" t="s">
        <v>163</v>
      </c>
      <c r="T431" s="90">
        <v>45108</v>
      </c>
      <c r="U431" s="90">
        <v>46357</v>
      </c>
      <c r="V431" s="518"/>
      <c r="W431" s="170"/>
      <c r="X431" s="170"/>
      <c r="Y431" s="519"/>
      <c r="Z431" s="85"/>
      <c r="AA431" s="85"/>
      <c r="AB431" s="85"/>
      <c r="AC431" s="85"/>
      <c r="AD431" s="85"/>
      <c r="AE431" s="85"/>
      <c r="AF431" s="85"/>
      <c r="AG431" s="85"/>
      <c r="AH431" s="85"/>
      <c r="AI431" s="85"/>
      <c r="AJ431" s="85"/>
      <c r="AK431" s="157"/>
      <c r="AL431" s="157"/>
      <c r="AM431" s="157"/>
      <c r="AN431" s="157"/>
      <c r="AO431" s="157"/>
      <c r="AP431" s="170"/>
      <c r="AQ431" s="170"/>
      <c r="AR431" s="170"/>
      <c r="AS431" s="170"/>
      <c r="AT431" s="170"/>
      <c r="AU431" s="170"/>
      <c r="AV431" s="170"/>
      <c r="AW431" s="170"/>
      <c r="AX431" s="170"/>
      <c r="AY431" s="170"/>
      <c r="AZ431" s="692"/>
      <c r="BA431" s="170"/>
      <c r="BB431" s="170"/>
      <c r="BC431" s="170"/>
      <c r="BD431" s="170"/>
      <c r="BE431" s="170"/>
      <c r="BF431" s="170"/>
      <c r="BG431" s="170"/>
      <c r="BH431" s="170"/>
      <c r="BI431" s="170"/>
      <c r="BJ431" s="692"/>
      <c r="BK431" s="170"/>
      <c r="BL431" s="692"/>
      <c r="BM431" s="170"/>
      <c r="BN431" s="692"/>
      <c r="BO431" s="170"/>
      <c r="BP431" s="692"/>
      <c r="BQ431" s="170"/>
      <c r="BR431" s="170"/>
      <c r="BS431" s="170"/>
      <c r="BT431" s="170"/>
      <c r="BU431" s="170"/>
      <c r="BV431" s="170"/>
      <c r="BW431" s="170"/>
      <c r="BX431" s="170"/>
      <c r="BY431" s="170"/>
      <c r="BZ431" s="170"/>
      <c r="CA431" s="170"/>
      <c r="CB431" s="170"/>
      <c r="CC431" s="170"/>
      <c r="CD431" s="170"/>
      <c r="CE431" s="170"/>
      <c r="CF431" s="170"/>
      <c r="CG431" s="717"/>
      <c r="CH431" s="256"/>
      <c r="CI431" s="170"/>
      <c r="CJ431" s="83" t="str">
        <f t="shared" si="113"/>
        <v>No aplica</v>
      </c>
      <c r="CK431" s="83" t="str">
        <f t="shared" si="112"/>
        <v>No aplica</v>
      </c>
      <c r="CL431" s="83" t="str">
        <f t="shared" si="107"/>
        <v>No requiere reporte</v>
      </c>
      <c r="CM431" s="89" t="str">
        <f t="shared" si="108"/>
        <v>No requiere reporte</v>
      </c>
      <c r="CN431" s="89" t="str">
        <f t="shared" si="109"/>
        <v>No requiere reporte</v>
      </c>
      <c r="CO431" s="145" t="s">
        <v>3560</v>
      </c>
      <c r="CP431" s="693" t="s">
        <v>3561</v>
      </c>
      <c r="CQ431" s="145" t="s">
        <v>3542</v>
      </c>
      <c r="CR431" s="693" t="s">
        <v>3543</v>
      </c>
      <c r="CS431" s="693" t="s">
        <v>3544</v>
      </c>
      <c r="CT431" s="145" t="s">
        <v>200</v>
      </c>
      <c r="CU431" s="145" t="s">
        <v>233</v>
      </c>
      <c r="CV431" s="145">
        <v>0</v>
      </c>
      <c r="CW431" s="145" t="s">
        <v>234</v>
      </c>
      <c r="CX431" s="695">
        <v>46023</v>
      </c>
      <c r="CY431" s="695">
        <v>46387</v>
      </c>
      <c r="CZ431" s="178"/>
      <c r="DA431" s="178">
        <v>1</v>
      </c>
      <c r="DB431" s="178"/>
      <c r="DC431" s="178"/>
      <c r="DD431" s="178">
        <v>1</v>
      </c>
      <c r="DE431" s="665" t="s">
        <v>396</v>
      </c>
      <c r="DF431" s="665" t="s">
        <v>3510</v>
      </c>
      <c r="DG431" s="665" t="s">
        <v>3511</v>
      </c>
      <c r="DH431" s="631">
        <v>0</v>
      </c>
      <c r="DI431" s="665"/>
      <c r="DJ431" s="665"/>
      <c r="DK431" s="665"/>
      <c r="DL431" s="665" t="s">
        <v>279</v>
      </c>
      <c r="DM431" s="665"/>
      <c r="DN431" s="665"/>
      <c r="DO431" s="716"/>
      <c r="DP431" s="665"/>
      <c r="DQ431" s="716"/>
      <c r="DR431" s="716"/>
      <c r="DS431" s="665"/>
      <c r="DT431" s="716"/>
      <c r="DU431" s="665"/>
      <c r="DV431" s="729"/>
      <c r="DW431" s="729"/>
      <c r="DX431" s="665"/>
      <c r="DY431" s="716"/>
      <c r="DZ431" s="665"/>
      <c r="EA431" s="729"/>
      <c r="EB431" s="729"/>
      <c r="EC431" s="665"/>
      <c r="ED431" s="665"/>
      <c r="EE431" s="665"/>
      <c r="EF431" s="665"/>
      <c r="EG431" s="665"/>
      <c r="EH431" s="665"/>
      <c r="EI431" s="170"/>
      <c r="EJ431" s="170"/>
      <c r="EK431" s="262"/>
      <c r="EL431" s="91" t="str">
        <f t="shared" si="110"/>
        <v>No aplica, no hay meta</v>
      </c>
      <c r="EM431" s="83" t="str">
        <f t="shared" si="111"/>
        <v>No se reportó avance</v>
      </c>
      <c r="EN431" s="697"/>
    </row>
    <row r="432" spans="1:144" ht="50.1" customHeight="1">
      <c r="A432" s="170" t="s">
        <v>4671</v>
      </c>
      <c r="B432" s="517" t="s">
        <v>3272</v>
      </c>
      <c r="C432" s="173"/>
      <c r="D432" s="173"/>
      <c r="E432" s="173"/>
      <c r="F432" s="170"/>
      <c r="G432" s="170"/>
      <c r="H432" s="170"/>
      <c r="I432" s="170" t="s">
        <v>3277</v>
      </c>
      <c r="J432" s="170" t="s">
        <v>3277</v>
      </c>
      <c r="K432" s="170" t="s">
        <v>3278</v>
      </c>
      <c r="L432" s="170">
        <v>3</v>
      </c>
      <c r="M432" s="84" t="s">
        <v>3498</v>
      </c>
      <c r="N432" s="84" t="s">
        <v>3499</v>
      </c>
      <c r="O432" s="84" t="s">
        <v>3281</v>
      </c>
      <c r="P432" s="84" t="s">
        <v>1161</v>
      </c>
      <c r="Q432" s="170" t="s">
        <v>162</v>
      </c>
      <c r="R432" s="84">
        <v>0</v>
      </c>
      <c r="S432" s="84" t="s">
        <v>163</v>
      </c>
      <c r="T432" s="90">
        <v>45108</v>
      </c>
      <c r="U432" s="90">
        <v>46357</v>
      </c>
      <c r="V432" s="518"/>
      <c r="W432" s="170"/>
      <c r="X432" s="170"/>
      <c r="Y432" s="519"/>
      <c r="Z432" s="85"/>
      <c r="AA432" s="85"/>
      <c r="AB432" s="85"/>
      <c r="AC432" s="85"/>
      <c r="AD432" s="85"/>
      <c r="AE432" s="85"/>
      <c r="AF432" s="85"/>
      <c r="AG432" s="85"/>
      <c r="AH432" s="85"/>
      <c r="AI432" s="85"/>
      <c r="AJ432" s="85"/>
      <c r="AK432" s="157"/>
      <c r="AL432" s="157"/>
      <c r="AM432" s="157"/>
      <c r="AN432" s="157"/>
      <c r="AO432" s="157"/>
      <c r="AP432" s="170"/>
      <c r="AQ432" s="170"/>
      <c r="AR432" s="170"/>
      <c r="AS432" s="170"/>
      <c r="AT432" s="170"/>
      <c r="AU432" s="170"/>
      <c r="AV432" s="170"/>
      <c r="AW432" s="170"/>
      <c r="AX432" s="170"/>
      <c r="AY432" s="170"/>
      <c r="AZ432" s="692"/>
      <c r="BA432" s="170"/>
      <c r="BB432" s="170"/>
      <c r="BC432" s="170"/>
      <c r="BD432" s="170"/>
      <c r="BE432" s="170"/>
      <c r="BF432" s="170"/>
      <c r="BG432" s="170"/>
      <c r="BH432" s="170"/>
      <c r="BI432" s="170"/>
      <c r="BJ432" s="692"/>
      <c r="BK432" s="170"/>
      <c r="BL432" s="692"/>
      <c r="BM432" s="170"/>
      <c r="BN432" s="692"/>
      <c r="BO432" s="170"/>
      <c r="BP432" s="692"/>
      <c r="BQ432" s="170"/>
      <c r="BR432" s="170"/>
      <c r="BS432" s="170"/>
      <c r="BT432" s="170"/>
      <c r="BU432" s="170"/>
      <c r="BV432" s="170"/>
      <c r="BW432" s="170"/>
      <c r="BX432" s="170"/>
      <c r="BY432" s="170"/>
      <c r="BZ432" s="170"/>
      <c r="CA432" s="170"/>
      <c r="CB432" s="170"/>
      <c r="CC432" s="170"/>
      <c r="CD432" s="170"/>
      <c r="CE432" s="170"/>
      <c r="CF432" s="170"/>
      <c r="CG432" s="717"/>
      <c r="CH432" s="256"/>
      <c r="CI432" s="170"/>
      <c r="CJ432" s="83" t="str">
        <f t="shared" si="113"/>
        <v>No aplica</v>
      </c>
      <c r="CK432" s="83" t="str">
        <f t="shared" si="112"/>
        <v>No aplica</v>
      </c>
      <c r="CL432" s="83" t="str">
        <f t="shared" si="107"/>
        <v>No requiere reporte</v>
      </c>
      <c r="CM432" s="89" t="str">
        <f t="shared" si="108"/>
        <v>No requiere reporte</v>
      </c>
      <c r="CN432" s="89" t="str">
        <f t="shared" si="109"/>
        <v>No requiere reporte</v>
      </c>
      <c r="CO432" s="145" t="s">
        <v>3562</v>
      </c>
      <c r="CP432" s="693" t="s">
        <v>3563</v>
      </c>
      <c r="CQ432" s="145" t="s">
        <v>3517</v>
      </c>
      <c r="CR432" s="693" t="s">
        <v>3518</v>
      </c>
      <c r="CS432" s="693" t="s">
        <v>3564</v>
      </c>
      <c r="CT432" s="145" t="s">
        <v>200</v>
      </c>
      <c r="CU432" s="145" t="s">
        <v>233</v>
      </c>
      <c r="CV432" s="145">
        <v>0</v>
      </c>
      <c r="CW432" s="145" t="s">
        <v>234</v>
      </c>
      <c r="CX432" s="695">
        <v>46023</v>
      </c>
      <c r="CY432" s="695">
        <v>46387</v>
      </c>
      <c r="CZ432" s="667">
        <v>0</v>
      </c>
      <c r="DA432" s="667">
        <v>0</v>
      </c>
      <c r="DB432" s="667">
        <v>0</v>
      </c>
      <c r="DC432" s="353">
        <v>1</v>
      </c>
      <c r="DD432" s="353">
        <v>1</v>
      </c>
      <c r="DE432" s="665" t="s">
        <v>396</v>
      </c>
      <c r="DF432" s="665" t="s">
        <v>3510</v>
      </c>
      <c r="DG432" s="665" t="s">
        <v>3511</v>
      </c>
      <c r="DH432" s="631">
        <v>0</v>
      </c>
      <c r="DI432" s="665"/>
      <c r="DJ432" s="665"/>
      <c r="DK432" s="665"/>
      <c r="DL432" s="665" t="s">
        <v>279</v>
      </c>
      <c r="DM432" s="665"/>
      <c r="DN432" s="665"/>
      <c r="DO432" s="716"/>
      <c r="DP432" s="665"/>
      <c r="DQ432" s="716"/>
      <c r="DR432" s="716"/>
      <c r="DS432" s="665"/>
      <c r="DT432" s="716"/>
      <c r="DU432" s="665"/>
      <c r="DV432" s="677"/>
      <c r="DW432" s="716"/>
      <c r="DX432" s="665"/>
      <c r="DY432" s="716"/>
      <c r="DZ432" s="665"/>
      <c r="EA432" s="677"/>
      <c r="EB432" s="716"/>
      <c r="EC432" s="665"/>
      <c r="ED432" s="665"/>
      <c r="EE432" s="665"/>
      <c r="EF432" s="665"/>
      <c r="EG432" s="665"/>
      <c r="EH432" s="665"/>
      <c r="EI432" s="170"/>
      <c r="EJ432" s="170"/>
      <c r="EK432" s="262"/>
      <c r="EL432" s="91" t="str">
        <f t="shared" si="110"/>
        <v>No aplica, no hay meta</v>
      </c>
      <c r="EM432" s="83" t="str">
        <f t="shared" si="111"/>
        <v>No se reportó avance</v>
      </c>
      <c r="EN432" s="697"/>
    </row>
    <row r="433" spans="1:144" ht="50.1" customHeight="1">
      <c r="A433" s="203" t="s">
        <v>4671</v>
      </c>
      <c r="B433" s="505" t="s">
        <v>3272</v>
      </c>
      <c r="C433" s="202" t="s">
        <v>3273</v>
      </c>
      <c r="D433" s="202" t="s">
        <v>3274</v>
      </c>
      <c r="E433" s="202" t="s">
        <v>3275</v>
      </c>
      <c r="F433" s="203" t="s">
        <v>280</v>
      </c>
      <c r="G433" s="203"/>
      <c r="H433" s="203" t="s">
        <v>3565</v>
      </c>
      <c r="I433" s="203" t="s">
        <v>3277</v>
      </c>
      <c r="J433" s="203" t="s">
        <v>3277</v>
      </c>
      <c r="K433" s="203" t="s">
        <v>3278</v>
      </c>
      <c r="L433" s="255">
        <v>4</v>
      </c>
      <c r="M433" s="78" t="s">
        <v>3566</v>
      </c>
      <c r="N433" s="78" t="s">
        <v>3567</v>
      </c>
      <c r="O433" s="78" t="s">
        <v>3281</v>
      </c>
      <c r="P433" s="78" t="s">
        <v>1161</v>
      </c>
      <c r="Q433" s="255" t="s">
        <v>162</v>
      </c>
      <c r="R433" s="638">
        <v>0</v>
      </c>
      <c r="S433" s="78" t="s">
        <v>163</v>
      </c>
      <c r="T433" s="80">
        <v>45108</v>
      </c>
      <c r="U433" s="80">
        <v>46357</v>
      </c>
      <c r="V433" s="522"/>
      <c r="W433" s="203"/>
      <c r="X433" s="203"/>
      <c r="Y433" s="523"/>
      <c r="Z433" s="79">
        <v>1</v>
      </c>
      <c r="AA433" s="75">
        <v>1</v>
      </c>
      <c r="AB433" s="75">
        <v>1</v>
      </c>
      <c r="AC433" s="75">
        <v>1</v>
      </c>
      <c r="AD433" s="75">
        <v>1</v>
      </c>
      <c r="AE433" s="79">
        <v>1</v>
      </c>
      <c r="AF433" s="79">
        <v>1</v>
      </c>
      <c r="AG433" s="79">
        <v>1</v>
      </c>
      <c r="AH433" s="79">
        <v>1</v>
      </c>
      <c r="AI433" s="79">
        <v>1</v>
      </c>
      <c r="AJ433" s="79">
        <v>1</v>
      </c>
      <c r="AK433" s="142">
        <v>1</v>
      </c>
      <c r="AL433" s="142">
        <v>1</v>
      </c>
      <c r="AM433" s="142">
        <v>1</v>
      </c>
      <c r="AN433" s="142">
        <v>1</v>
      </c>
      <c r="AO433" s="142">
        <v>1</v>
      </c>
      <c r="AP433" s="79">
        <v>1</v>
      </c>
      <c r="AQ433" s="170"/>
      <c r="AR433" s="170"/>
      <c r="AS433" s="170"/>
      <c r="AT433" s="170"/>
      <c r="AU433" s="170"/>
      <c r="AV433" s="170"/>
      <c r="AW433" s="170"/>
      <c r="AX433" s="170"/>
      <c r="AY433" s="173" t="s">
        <v>201</v>
      </c>
      <c r="AZ433" s="692" t="s">
        <v>201</v>
      </c>
      <c r="BA433" s="173" t="s">
        <v>201</v>
      </c>
      <c r="BB433" s="170" t="s">
        <v>201</v>
      </c>
      <c r="BC433" s="173" t="s">
        <v>201</v>
      </c>
      <c r="BD433" s="170" t="s">
        <v>201</v>
      </c>
      <c r="BE433" s="173">
        <v>0</v>
      </c>
      <c r="BF433" s="170" t="s">
        <v>3568</v>
      </c>
      <c r="BG433" s="173">
        <v>0</v>
      </c>
      <c r="BH433" s="170" t="s">
        <v>3286</v>
      </c>
      <c r="BI433" s="173">
        <f>+(BE433+BG433)/2</f>
        <v>0</v>
      </c>
      <c r="BJ433" s="692"/>
      <c r="BK433" s="173">
        <v>0</v>
      </c>
      <c r="BL433" s="692" t="s">
        <v>3287</v>
      </c>
      <c r="BM433" s="173">
        <v>0</v>
      </c>
      <c r="BN433" s="692" t="s">
        <v>3287</v>
      </c>
      <c r="BO433" s="173">
        <v>0</v>
      </c>
      <c r="BP433" s="692" t="s">
        <v>3287</v>
      </c>
      <c r="BQ433" s="170"/>
      <c r="BR433" s="170"/>
      <c r="BS433" s="83"/>
      <c r="BT433" s="170"/>
      <c r="BU433" s="170"/>
      <c r="BV433" s="170"/>
      <c r="BW433" s="170"/>
      <c r="BX433" s="170"/>
      <c r="BY433" s="170"/>
      <c r="BZ433" s="170"/>
      <c r="CA433" s="170"/>
      <c r="CB433" s="170"/>
      <c r="CC433" s="170"/>
      <c r="CD433" s="170"/>
      <c r="CE433" s="157"/>
      <c r="CF433" s="170"/>
      <c r="CG433" s="713">
        <f>SUBTOTAL(9,DH433:DH439)</f>
        <v>5650000000</v>
      </c>
      <c r="CH433" s="515"/>
      <c r="CI433" s="515"/>
      <c r="CJ433" s="83">
        <f t="shared" si="113"/>
        <v>0</v>
      </c>
      <c r="CK433" s="83">
        <f t="shared" si="112"/>
        <v>0</v>
      </c>
      <c r="CL433" s="83" t="str">
        <f t="shared" si="107"/>
        <v>No se reportó avance</v>
      </c>
      <c r="CM433" s="89" t="str">
        <f t="shared" si="108"/>
        <v>No se reportó avance</v>
      </c>
      <c r="CN433" s="89" t="str">
        <f t="shared" si="109"/>
        <v>No se reportó avance</v>
      </c>
      <c r="CO433" s="145" t="s">
        <v>391</v>
      </c>
      <c r="CP433" s="693" t="s">
        <v>3569</v>
      </c>
      <c r="CQ433" s="145" t="s">
        <v>3570</v>
      </c>
      <c r="CR433" s="693" t="s">
        <v>3571</v>
      </c>
      <c r="CS433" s="693" t="s">
        <v>3572</v>
      </c>
      <c r="CT433" s="145" t="s">
        <v>161</v>
      </c>
      <c r="CU433" s="145" t="s">
        <v>233</v>
      </c>
      <c r="CV433" s="291">
        <v>0</v>
      </c>
      <c r="CW433" s="145" t="s">
        <v>163</v>
      </c>
      <c r="CX433" s="695">
        <v>46023</v>
      </c>
      <c r="CY433" s="695">
        <v>46387</v>
      </c>
      <c r="CZ433" s="157">
        <v>0</v>
      </c>
      <c r="DA433" s="157">
        <v>0.1</v>
      </c>
      <c r="DB433" s="157">
        <v>0.15</v>
      </c>
      <c r="DC433" s="157">
        <v>0.4</v>
      </c>
      <c r="DD433" s="157">
        <f>+DA433+DB433+DC433</f>
        <v>0.65</v>
      </c>
      <c r="DE433" s="665" t="s">
        <v>396</v>
      </c>
      <c r="DF433" s="665" t="s">
        <v>3337</v>
      </c>
      <c r="DG433" s="665" t="s">
        <v>3338</v>
      </c>
      <c r="DH433" s="696">
        <v>1000000000</v>
      </c>
      <c r="DI433" s="665"/>
      <c r="DJ433" s="665"/>
      <c r="DK433" s="665"/>
      <c r="DL433" s="665" t="s">
        <v>279</v>
      </c>
      <c r="DM433" s="665" t="s">
        <v>3296</v>
      </c>
      <c r="DN433" s="665"/>
      <c r="DO433" s="716"/>
      <c r="DP433" s="665"/>
      <c r="DQ433" s="716"/>
      <c r="DR433" s="716"/>
      <c r="DS433" s="665"/>
      <c r="DT433" s="716"/>
      <c r="DU433" s="665"/>
      <c r="DV433" s="716"/>
      <c r="DW433" s="716"/>
      <c r="DX433" s="665"/>
      <c r="DY433" s="716"/>
      <c r="DZ433" s="665"/>
      <c r="EA433" s="716"/>
      <c r="EB433" s="716"/>
      <c r="EC433" s="665"/>
      <c r="ED433" s="665"/>
      <c r="EE433" s="665"/>
      <c r="EF433" s="665"/>
      <c r="EG433" s="665"/>
      <c r="EH433" s="666"/>
      <c r="EI433" s="170"/>
      <c r="EJ433" s="170"/>
      <c r="EK433" s="262"/>
      <c r="EL433" s="91" t="str">
        <f t="shared" si="110"/>
        <v>No aplica, no hay meta</v>
      </c>
      <c r="EM433" s="83" t="str">
        <f t="shared" si="111"/>
        <v>No se reportó avance</v>
      </c>
      <c r="EN433" s="697"/>
    </row>
    <row r="434" spans="1:144" ht="50.1" customHeight="1">
      <c r="A434" s="170" t="s">
        <v>4671</v>
      </c>
      <c r="B434" s="517" t="s">
        <v>3272</v>
      </c>
      <c r="C434" s="173" t="s">
        <v>3273</v>
      </c>
      <c r="D434" s="173" t="s">
        <v>3274</v>
      </c>
      <c r="E434" s="173" t="s">
        <v>3275</v>
      </c>
      <c r="F434" s="170" t="s">
        <v>280</v>
      </c>
      <c r="G434" s="170"/>
      <c r="H434" s="170" t="s">
        <v>3276</v>
      </c>
      <c r="I434" s="170" t="s">
        <v>3277</v>
      </c>
      <c r="J434" s="170" t="s">
        <v>3277</v>
      </c>
      <c r="K434" s="170" t="s">
        <v>3278</v>
      </c>
      <c r="L434" s="170">
        <v>4</v>
      </c>
      <c r="M434" s="84" t="s">
        <v>3566</v>
      </c>
      <c r="N434" s="84" t="s">
        <v>3567</v>
      </c>
      <c r="O434" s="84" t="s">
        <v>3281</v>
      </c>
      <c r="P434" s="84" t="s">
        <v>1161</v>
      </c>
      <c r="Q434" s="170" t="s">
        <v>162</v>
      </c>
      <c r="R434" s="84">
        <v>0</v>
      </c>
      <c r="S434" s="84" t="s">
        <v>163</v>
      </c>
      <c r="T434" s="90">
        <v>45108</v>
      </c>
      <c r="U434" s="90">
        <v>46357</v>
      </c>
      <c r="V434" s="518"/>
      <c r="W434" s="170"/>
      <c r="X434" s="170"/>
      <c r="Y434" s="519"/>
      <c r="Z434" s="85"/>
      <c r="AA434" s="85"/>
      <c r="AB434" s="85"/>
      <c r="AC434" s="85"/>
      <c r="AD434" s="85"/>
      <c r="AE434" s="85"/>
      <c r="AF434" s="85"/>
      <c r="AG434" s="85"/>
      <c r="AH434" s="85"/>
      <c r="AI434" s="85"/>
      <c r="AJ434" s="85"/>
      <c r="AK434" s="157"/>
      <c r="AL434" s="157"/>
      <c r="AM434" s="157"/>
      <c r="AN434" s="157"/>
      <c r="AO434" s="157"/>
      <c r="AP434" s="170"/>
      <c r="AQ434" s="170"/>
      <c r="AR434" s="170"/>
      <c r="AS434" s="170"/>
      <c r="AT434" s="170"/>
      <c r="AU434" s="170"/>
      <c r="AV434" s="170"/>
      <c r="AW434" s="170"/>
      <c r="AX434" s="170"/>
      <c r="AY434" s="170"/>
      <c r="AZ434" s="692"/>
      <c r="BA434" s="170"/>
      <c r="BB434" s="170"/>
      <c r="BC434" s="170"/>
      <c r="BD434" s="170"/>
      <c r="BE434" s="170"/>
      <c r="BF434" s="170"/>
      <c r="BG434" s="170"/>
      <c r="BH434" s="170"/>
      <c r="BI434" s="170"/>
      <c r="BJ434" s="692"/>
      <c r="BK434" s="170"/>
      <c r="BL434" s="692"/>
      <c r="BM434" s="170"/>
      <c r="BN434" s="692"/>
      <c r="BO434" s="170"/>
      <c r="BP434" s="692"/>
      <c r="BQ434" s="170"/>
      <c r="BR434" s="170"/>
      <c r="BS434" s="170"/>
      <c r="BT434" s="170"/>
      <c r="BU434" s="170"/>
      <c r="BV434" s="170"/>
      <c r="BW434" s="170"/>
      <c r="BX434" s="170"/>
      <c r="BY434" s="170"/>
      <c r="BZ434" s="170"/>
      <c r="CA434" s="170"/>
      <c r="CB434" s="170"/>
      <c r="CC434" s="170"/>
      <c r="CD434" s="170"/>
      <c r="CE434" s="170"/>
      <c r="CF434" s="170"/>
      <c r="CG434" s="717"/>
      <c r="CH434" s="256"/>
      <c r="CI434" s="170"/>
      <c r="CJ434" s="83" t="str">
        <f t="shared" si="113"/>
        <v>No aplica</v>
      </c>
      <c r="CK434" s="83" t="str">
        <f t="shared" si="112"/>
        <v>No aplica</v>
      </c>
      <c r="CL434" s="83" t="str">
        <f t="shared" si="107"/>
        <v>No requiere reporte</v>
      </c>
      <c r="CM434" s="89" t="str">
        <f t="shared" si="108"/>
        <v>No requiere reporte</v>
      </c>
      <c r="CN434" s="89" t="str">
        <f t="shared" si="109"/>
        <v>No requiere reporte</v>
      </c>
      <c r="CO434" s="145" t="s">
        <v>403</v>
      </c>
      <c r="CP434" s="693" t="s">
        <v>3573</v>
      </c>
      <c r="CQ434" s="145" t="s">
        <v>3574</v>
      </c>
      <c r="CR434" s="693" t="s">
        <v>3575</v>
      </c>
      <c r="CS434" s="693" t="s">
        <v>3576</v>
      </c>
      <c r="CT434" s="722" t="s">
        <v>200</v>
      </c>
      <c r="CU434" s="145" t="s">
        <v>233</v>
      </c>
      <c r="CV434" s="291">
        <v>0</v>
      </c>
      <c r="CW434" s="145" t="s">
        <v>163</v>
      </c>
      <c r="CX434" s="695">
        <v>46023</v>
      </c>
      <c r="CY434" s="695">
        <v>46387</v>
      </c>
      <c r="CZ434" s="157">
        <v>0</v>
      </c>
      <c r="DA434" s="157">
        <v>0</v>
      </c>
      <c r="DB434" s="157">
        <v>0.1</v>
      </c>
      <c r="DC434" s="157">
        <v>0.55000000000000004</v>
      </c>
      <c r="DD434" s="157">
        <f>+DB434+DC434</f>
        <v>0.65</v>
      </c>
      <c r="DE434" s="665" t="s">
        <v>2951</v>
      </c>
      <c r="DF434" s="665" t="s">
        <v>3294</v>
      </c>
      <c r="DG434" s="665" t="s">
        <v>3295</v>
      </c>
      <c r="DH434" s="696">
        <f>3700000000-1500000000</f>
        <v>2200000000</v>
      </c>
      <c r="DI434" s="665"/>
      <c r="DJ434" s="665"/>
      <c r="DK434" s="665"/>
      <c r="DL434" s="665" t="s">
        <v>279</v>
      </c>
      <c r="DM434" s="665" t="s">
        <v>3296</v>
      </c>
      <c r="DN434" s="665"/>
      <c r="DO434" s="716"/>
      <c r="DP434" s="665"/>
      <c r="DQ434" s="716"/>
      <c r="DR434" s="716"/>
      <c r="DS434" s="665"/>
      <c r="DT434" s="716"/>
      <c r="DU434" s="665"/>
      <c r="DV434" s="716"/>
      <c r="DW434" s="716"/>
      <c r="DX434" s="665"/>
      <c r="DY434" s="716"/>
      <c r="DZ434" s="665"/>
      <c r="EA434" s="716"/>
      <c r="EB434" s="716"/>
      <c r="EC434" s="665"/>
      <c r="ED434" s="665"/>
      <c r="EE434" s="665"/>
      <c r="EF434" s="665"/>
      <c r="EG434" s="665"/>
      <c r="EH434" s="666"/>
      <c r="EI434" s="170"/>
      <c r="EJ434" s="170"/>
      <c r="EK434" s="262"/>
      <c r="EL434" s="91" t="str">
        <f t="shared" si="110"/>
        <v>No aplica, no hay meta</v>
      </c>
      <c r="EM434" s="83" t="str">
        <f t="shared" si="111"/>
        <v>No se reportó avance</v>
      </c>
      <c r="EN434" s="697"/>
    </row>
    <row r="435" spans="1:144" ht="50.1" customHeight="1">
      <c r="A435" s="170" t="s">
        <v>4671</v>
      </c>
      <c r="B435" s="517" t="s">
        <v>3272</v>
      </c>
      <c r="C435" s="173" t="s">
        <v>3273</v>
      </c>
      <c r="D435" s="173" t="s">
        <v>3274</v>
      </c>
      <c r="E435" s="173" t="s">
        <v>3275</v>
      </c>
      <c r="F435" s="170" t="s">
        <v>280</v>
      </c>
      <c r="G435" s="170"/>
      <c r="H435" s="170" t="s">
        <v>3577</v>
      </c>
      <c r="I435" s="170" t="s">
        <v>3277</v>
      </c>
      <c r="J435" s="170" t="s">
        <v>3277</v>
      </c>
      <c r="K435" s="170" t="s">
        <v>3278</v>
      </c>
      <c r="L435" s="170">
        <v>4</v>
      </c>
      <c r="M435" s="84" t="s">
        <v>3566</v>
      </c>
      <c r="N435" s="84" t="s">
        <v>3567</v>
      </c>
      <c r="O435" s="84" t="s">
        <v>3281</v>
      </c>
      <c r="P435" s="84" t="s">
        <v>1161</v>
      </c>
      <c r="Q435" s="170" t="s">
        <v>162</v>
      </c>
      <c r="R435" s="84">
        <v>0</v>
      </c>
      <c r="S435" s="84" t="s">
        <v>163</v>
      </c>
      <c r="T435" s="90">
        <v>45108</v>
      </c>
      <c r="U435" s="90">
        <v>46357</v>
      </c>
      <c r="V435" s="518"/>
      <c r="W435" s="170"/>
      <c r="X435" s="170"/>
      <c r="Y435" s="519"/>
      <c r="Z435" s="85"/>
      <c r="AA435" s="85"/>
      <c r="AB435" s="85"/>
      <c r="AC435" s="85"/>
      <c r="AD435" s="85"/>
      <c r="AE435" s="85"/>
      <c r="AF435" s="85"/>
      <c r="AG435" s="85"/>
      <c r="AH435" s="85"/>
      <c r="AI435" s="85"/>
      <c r="AJ435" s="85"/>
      <c r="AK435" s="157"/>
      <c r="AL435" s="157"/>
      <c r="AM435" s="157"/>
      <c r="AN435" s="157"/>
      <c r="AO435" s="157"/>
      <c r="AP435" s="170"/>
      <c r="AQ435" s="170"/>
      <c r="AR435" s="170"/>
      <c r="AS435" s="170"/>
      <c r="AT435" s="170"/>
      <c r="AU435" s="170"/>
      <c r="AV435" s="170"/>
      <c r="AW435" s="170"/>
      <c r="AX435" s="170"/>
      <c r="AY435" s="170"/>
      <c r="AZ435" s="692"/>
      <c r="BA435" s="170"/>
      <c r="BB435" s="170"/>
      <c r="BC435" s="170"/>
      <c r="BD435" s="170"/>
      <c r="BE435" s="170"/>
      <c r="BF435" s="170"/>
      <c r="BG435" s="170"/>
      <c r="BH435" s="170"/>
      <c r="BI435" s="170"/>
      <c r="BJ435" s="692"/>
      <c r="BK435" s="170"/>
      <c r="BL435" s="692"/>
      <c r="BM435" s="170"/>
      <c r="BN435" s="692"/>
      <c r="BO435" s="170"/>
      <c r="BP435" s="692"/>
      <c r="BQ435" s="170"/>
      <c r="BR435" s="170"/>
      <c r="BS435" s="170"/>
      <c r="BT435" s="170"/>
      <c r="BU435" s="170"/>
      <c r="BV435" s="170"/>
      <c r="BW435" s="170"/>
      <c r="BX435" s="170"/>
      <c r="BY435" s="170"/>
      <c r="BZ435" s="170"/>
      <c r="CA435" s="170"/>
      <c r="CB435" s="170"/>
      <c r="CC435" s="170"/>
      <c r="CD435" s="170"/>
      <c r="CE435" s="170"/>
      <c r="CF435" s="170"/>
      <c r="CG435" s="717"/>
      <c r="CH435" s="256"/>
      <c r="CI435" s="170"/>
      <c r="CJ435" s="83" t="str">
        <f t="shared" si="113"/>
        <v>No aplica</v>
      </c>
      <c r="CK435" s="83" t="str">
        <f t="shared" si="112"/>
        <v>No aplica</v>
      </c>
      <c r="CL435" s="83" t="str">
        <f t="shared" si="107"/>
        <v>No requiere reporte</v>
      </c>
      <c r="CM435" s="89" t="str">
        <f t="shared" si="108"/>
        <v>No requiere reporte</v>
      </c>
      <c r="CN435" s="89" t="str">
        <f t="shared" si="109"/>
        <v>No requiere reporte</v>
      </c>
      <c r="CO435" s="145" t="s">
        <v>408</v>
      </c>
      <c r="CP435" s="693" t="s">
        <v>3578</v>
      </c>
      <c r="CQ435" s="145" t="s">
        <v>3579</v>
      </c>
      <c r="CR435" s="693" t="s">
        <v>3580</v>
      </c>
      <c r="CS435" s="693" t="s">
        <v>3581</v>
      </c>
      <c r="CT435" s="145" t="s">
        <v>953</v>
      </c>
      <c r="CU435" s="714" t="s">
        <v>162</v>
      </c>
      <c r="CV435" s="291">
        <v>0</v>
      </c>
      <c r="CW435" s="145" t="s">
        <v>163</v>
      </c>
      <c r="CX435" s="695">
        <v>46023</v>
      </c>
      <c r="CY435" s="695">
        <v>46387</v>
      </c>
      <c r="CZ435" s="157"/>
      <c r="DA435" s="157"/>
      <c r="DB435" s="146">
        <v>1</v>
      </c>
      <c r="DC435" s="146">
        <v>1</v>
      </c>
      <c r="DD435" s="146">
        <v>1</v>
      </c>
      <c r="DE435" s="665" t="s">
        <v>2951</v>
      </c>
      <c r="DF435" s="665" t="s">
        <v>3294</v>
      </c>
      <c r="DG435" s="665" t="s">
        <v>3295</v>
      </c>
      <c r="DH435" s="696">
        <v>0</v>
      </c>
      <c r="DI435" s="665"/>
      <c r="DJ435" s="665"/>
      <c r="DK435" s="665"/>
      <c r="DL435" s="665" t="s">
        <v>279</v>
      </c>
      <c r="DM435" s="665" t="s">
        <v>3296</v>
      </c>
      <c r="DN435" s="218"/>
      <c r="DO435" s="716"/>
      <c r="DP435" s="665"/>
      <c r="DQ435" s="716"/>
      <c r="DR435" s="716"/>
      <c r="DS435" s="218"/>
      <c r="DT435" s="716"/>
      <c r="DU435" s="665"/>
      <c r="DV435" s="716"/>
      <c r="DW435" s="716"/>
      <c r="DX435" s="218"/>
      <c r="DY435" s="716"/>
      <c r="DZ435" s="665"/>
      <c r="EA435" s="716"/>
      <c r="EB435" s="716"/>
      <c r="EC435" s="665"/>
      <c r="ED435" s="665"/>
      <c r="EE435" s="665"/>
      <c r="EF435" s="665"/>
      <c r="EG435" s="665"/>
      <c r="EH435" s="666"/>
      <c r="EI435" s="170"/>
      <c r="EJ435" s="170"/>
      <c r="EK435" s="262"/>
      <c r="EL435" s="91" t="str">
        <f t="shared" si="110"/>
        <v>No aplica, no hay meta</v>
      </c>
      <c r="EM435" s="83" t="str">
        <f t="shared" si="111"/>
        <v>No se reportó avance</v>
      </c>
      <c r="EN435" s="697"/>
    </row>
    <row r="436" spans="1:144" ht="50.1" customHeight="1">
      <c r="A436" s="170" t="s">
        <v>4671</v>
      </c>
      <c r="B436" s="517" t="s">
        <v>3272</v>
      </c>
      <c r="C436" s="173" t="s">
        <v>3273</v>
      </c>
      <c r="D436" s="173" t="s">
        <v>3274</v>
      </c>
      <c r="E436" s="173" t="s">
        <v>3275</v>
      </c>
      <c r="F436" s="170" t="s">
        <v>280</v>
      </c>
      <c r="G436" s="170"/>
      <c r="H436" s="170" t="s">
        <v>3577</v>
      </c>
      <c r="I436" s="170" t="s">
        <v>3277</v>
      </c>
      <c r="J436" s="170" t="s">
        <v>3277</v>
      </c>
      <c r="K436" s="170" t="s">
        <v>3278</v>
      </c>
      <c r="L436" s="170">
        <v>4</v>
      </c>
      <c r="M436" s="84" t="s">
        <v>3566</v>
      </c>
      <c r="N436" s="84" t="s">
        <v>3567</v>
      </c>
      <c r="O436" s="84" t="s">
        <v>3281</v>
      </c>
      <c r="P436" s="84" t="s">
        <v>1161</v>
      </c>
      <c r="Q436" s="170" t="s">
        <v>162</v>
      </c>
      <c r="R436" s="84">
        <v>0</v>
      </c>
      <c r="S436" s="84" t="s">
        <v>163</v>
      </c>
      <c r="T436" s="90">
        <v>45108</v>
      </c>
      <c r="U436" s="90">
        <v>46357</v>
      </c>
      <c r="V436" s="518"/>
      <c r="W436" s="170"/>
      <c r="X436" s="170"/>
      <c r="Y436" s="519"/>
      <c r="Z436" s="85"/>
      <c r="AA436" s="85"/>
      <c r="AB436" s="85"/>
      <c r="AC436" s="85"/>
      <c r="AD436" s="85"/>
      <c r="AE436" s="85"/>
      <c r="AF436" s="85"/>
      <c r="AG436" s="85"/>
      <c r="AH436" s="85"/>
      <c r="AI436" s="85"/>
      <c r="AJ436" s="85"/>
      <c r="AK436" s="157"/>
      <c r="AL436" s="157"/>
      <c r="AM436" s="157"/>
      <c r="AN436" s="157"/>
      <c r="AO436" s="157"/>
      <c r="AP436" s="170"/>
      <c r="AQ436" s="170"/>
      <c r="AR436" s="170"/>
      <c r="AS436" s="170"/>
      <c r="AT436" s="170"/>
      <c r="AU436" s="170"/>
      <c r="AV436" s="170"/>
      <c r="AW436" s="170"/>
      <c r="AX436" s="170"/>
      <c r="AY436" s="170"/>
      <c r="AZ436" s="692"/>
      <c r="BA436" s="170"/>
      <c r="BB436" s="170"/>
      <c r="BC436" s="170"/>
      <c r="BD436" s="170"/>
      <c r="BE436" s="170"/>
      <c r="BF436" s="170"/>
      <c r="BG436" s="170"/>
      <c r="BH436" s="170"/>
      <c r="BI436" s="170"/>
      <c r="BJ436" s="692"/>
      <c r="BK436" s="170"/>
      <c r="BL436" s="692"/>
      <c r="BM436" s="170"/>
      <c r="BN436" s="692"/>
      <c r="BO436" s="170"/>
      <c r="BP436" s="692"/>
      <c r="BQ436" s="170"/>
      <c r="BR436" s="170"/>
      <c r="BS436" s="170"/>
      <c r="BT436" s="170"/>
      <c r="BU436" s="170"/>
      <c r="BV436" s="170"/>
      <c r="BW436" s="170"/>
      <c r="BX436" s="170"/>
      <c r="BY436" s="170"/>
      <c r="BZ436" s="170"/>
      <c r="CA436" s="170"/>
      <c r="CB436" s="170"/>
      <c r="CC436" s="170"/>
      <c r="CD436" s="170"/>
      <c r="CE436" s="170"/>
      <c r="CF436" s="170"/>
      <c r="CG436" s="717"/>
      <c r="CH436" s="256"/>
      <c r="CI436" s="170"/>
      <c r="CJ436" s="83" t="str">
        <f t="shared" si="113"/>
        <v>No aplica</v>
      </c>
      <c r="CK436" s="83" t="str">
        <f t="shared" si="112"/>
        <v>No aplica</v>
      </c>
      <c r="CL436" s="83" t="str">
        <f t="shared" si="107"/>
        <v>No requiere reporte</v>
      </c>
      <c r="CM436" s="89" t="str">
        <f t="shared" si="108"/>
        <v>No requiere reporte</v>
      </c>
      <c r="CN436" s="89" t="str">
        <f t="shared" si="109"/>
        <v>No requiere reporte</v>
      </c>
      <c r="CO436" s="145" t="s">
        <v>413</v>
      </c>
      <c r="CP436" s="693" t="s">
        <v>3582</v>
      </c>
      <c r="CQ436" s="145" t="s">
        <v>3583</v>
      </c>
      <c r="CR436" s="693" t="s">
        <v>3584</v>
      </c>
      <c r="CS436" s="693" t="s">
        <v>3585</v>
      </c>
      <c r="CT436" s="145" t="s">
        <v>200</v>
      </c>
      <c r="CU436" s="145" t="s">
        <v>233</v>
      </c>
      <c r="CV436" s="291">
        <v>0</v>
      </c>
      <c r="CW436" s="145" t="s">
        <v>163</v>
      </c>
      <c r="CX436" s="695">
        <v>46023</v>
      </c>
      <c r="CY436" s="695">
        <v>46387</v>
      </c>
      <c r="CZ436" s="157">
        <v>0.1</v>
      </c>
      <c r="DA436" s="157">
        <v>0.1</v>
      </c>
      <c r="DB436" s="157">
        <v>0.1</v>
      </c>
      <c r="DC436" s="157">
        <v>0.5</v>
      </c>
      <c r="DD436" s="157">
        <v>0.8</v>
      </c>
      <c r="DE436" s="665" t="s">
        <v>2951</v>
      </c>
      <c r="DF436" s="665" t="s">
        <v>3294</v>
      </c>
      <c r="DG436" s="665" t="s">
        <v>3295</v>
      </c>
      <c r="DH436" s="696">
        <v>700000000</v>
      </c>
      <c r="DI436" s="665"/>
      <c r="DJ436" s="665"/>
      <c r="DK436" s="665"/>
      <c r="DL436" s="665" t="s">
        <v>279</v>
      </c>
      <c r="DM436" s="665" t="s">
        <v>3296</v>
      </c>
      <c r="DN436" s="665"/>
      <c r="DO436" s="716"/>
      <c r="DP436" s="665"/>
      <c r="DQ436" s="716"/>
      <c r="DR436" s="716"/>
      <c r="DS436" s="665"/>
      <c r="DT436" s="716"/>
      <c r="DU436" s="665"/>
      <c r="DV436" s="716"/>
      <c r="DW436" s="716"/>
      <c r="DX436" s="665"/>
      <c r="DY436" s="716"/>
      <c r="DZ436" s="665"/>
      <c r="EA436" s="716"/>
      <c r="EB436" s="716"/>
      <c r="EC436" s="665"/>
      <c r="ED436" s="665"/>
      <c r="EE436" s="665"/>
      <c r="EF436" s="665"/>
      <c r="EG436" s="665"/>
      <c r="EH436" s="666"/>
      <c r="EI436" s="170"/>
      <c r="EJ436" s="170"/>
      <c r="EK436" s="262"/>
      <c r="EL436" s="91" t="str">
        <f t="shared" si="110"/>
        <v>No se reportó avance</v>
      </c>
      <c r="EM436" s="83" t="str">
        <f t="shared" si="111"/>
        <v>No se reportó avance</v>
      </c>
      <c r="EN436" s="697"/>
    </row>
    <row r="437" spans="1:144" ht="50.1" customHeight="1">
      <c r="A437" s="170" t="s">
        <v>4671</v>
      </c>
      <c r="B437" s="517" t="s">
        <v>3272</v>
      </c>
      <c r="C437" s="173" t="s">
        <v>3273</v>
      </c>
      <c r="D437" s="173" t="s">
        <v>3274</v>
      </c>
      <c r="E437" s="173" t="s">
        <v>3275</v>
      </c>
      <c r="F437" s="170" t="s">
        <v>280</v>
      </c>
      <c r="G437" s="170"/>
      <c r="H437" s="170" t="s">
        <v>3577</v>
      </c>
      <c r="I437" s="170" t="s">
        <v>3277</v>
      </c>
      <c r="J437" s="170" t="s">
        <v>3277</v>
      </c>
      <c r="K437" s="170" t="s">
        <v>3278</v>
      </c>
      <c r="L437" s="170">
        <v>4</v>
      </c>
      <c r="M437" s="84" t="s">
        <v>3566</v>
      </c>
      <c r="N437" s="84" t="s">
        <v>3567</v>
      </c>
      <c r="O437" s="84" t="s">
        <v>3281</v>
      </c>
      <c r="P437" s="84" t="s">
        <v>1161</v>
      </c>
      <c r="Q437" s="170" t="s">
        <v>162</v>
      </c>
      <c r="R437" s="84">
        <v>0</v>
      </c>
      <c r="S437" s="84" t="s">
        <v>163</v>
      </c>
      <c r="T437" s="90">
        <v>45108</v>
      </c>
      <c r="U437" s="90">
        <v>46357</v>
      </c>
      <c r="V437" s="518"/>
      <c r="W437" s="170"/>
      <c r="X437" s="170"/>
      <c r="Y437" s="519"/>
      <c r="Z437" s="85"/>
      <c r="AA437" s="85"/>
      <c r="AB437" s="85"/>
      <c r="AC437" s="85"/>
      <c r="AD437" s="85"/>
      <c r="AE437" s="85"/>
      <c r="AF437" s="85"/>
      <c r="AG437" s="85"/>
      <c r="AH437" s="85"/>
      <c r="AI437" s="85"/>
      <c r="AJ437" s="85"/>
      <c r="AK437" s="157"/>
      <c r="AL437" s="157"/>
      <c r="AM437" s="157"/>
      <c r="AN437" s="157"/>
      <c r="AO437" s="157"/>
      <c r="AP437" s="170"/>
      <c r="AQ437" s="170"/>
      <c r="AR437" s="170"/>
      <c r="AS437" s="170"/>
      <c r="AT437" s="170"/>
      <c r="AU437" s="170"/>
      <c r="AV437" s="170"/>
      <c r="AW437" s="170"/>
      <c r="AX437" s="170"/>
      <c r="AY437" s="170"/>
      <c r="AZ437" s="692"/>
      <c r="BA437" s="170"/>
      <c r="BB437" s="170"/>
      <c r="BC437" s="170"/>
      <c r="BD437" s="170"/>
      <c r="BE437" s="170"/>
      <c r="BF437" s="170"/>
      <c r="BG437" s="170"/>
      <c r="BH437" s="170"/>
      <c r="BI437" s="170"/>
      <c r="BJ437" s="692"/>
      <c r="BK437" s="170"/>
      <c r="BL437" s="692"/>
      <c r="BM437" s="170"/>
      <c r="BN437" s="692"/>
      <c r="BO437" s="170"/>
      <c r="BP437" s="692"/>
      <c r="BQ437" s="170"/>
      <c r="BR437" s="170"/>
      <c r="BS437" s="170"/>
      <c r="BT437" s="170"/>
      <c r="BU437" s="170"/>
      <c r="BV437" s="170"/>
      <c r="BW437" s="170"/>
      <c r="BX437" s="170"/>
      <c r="BY437" s="170"/>
      <c r="BZ437" s="170"/>
      <c r="CA437" s="170"/>
      <c r="CB437" s="170"/>
      <c r="CC437" s="170"/>
      <c r="CD437" s="170"/>
      <c r="CE437" s="170"/>
      <c r="CF437" s="170"/>
      <c r="CG437" s="717"/>
      <c r="CH437" s="170"/>
      <c r="CI437" s="170"/>
      <c r="CJ437" s="83" t="str">
        <f t="shared" si="113"/>
        <v>No aplica</v>
      </c>
      <c r="CK437" s="83" t="str">
        <f t="shared" si="112"/>
        <v>No aplica</v>
      </c>
      <c r="CL437" s="83" t="str">
        <f t="shared" si="107"/>
        <v>No requiere reporte</v>
      </c>
      <c r="CM437" s="89" t="str">
        <f t="shared" si="108"/>
        <v>No requiere reporte</v>
      </c>
      <c r="CN437" s="89" t="str">
        <f t="shared" si="109"/>
        <v>No requiere reporte</v>
      </c>
      <c r="CO437" s="145" t="s">
        <v>417</v>
      </c>
      <c r="CP437" s="693" t="s">
        <v>3586</v>
      </c>
      <c r="CQ437" s="145" t="s">
        <v>3574</v>
      </c>
      <c r="CR437" s="693" t="s">
        <v>3587</v>
      </c>
      <c r="CS437" s="693" t="s">
        <v>3588</v>
      </c>
      <c r="CT437" s="145" t="s">
        <v>161</v>
      </c>
      <c r="CU437" s="145" t="s">
        <v>233</v>
      </c>
      <c r="CV437" s="291">
        <v>0</v>
      </c>
      <c r="CW437" s="145" t="s">
        <v>163</v>
      </c>
      <c r="CX437" s="695">
        <v>46023</v>
      </c>
      <c r="CY437" s="695">
        <v>46387</v>
      </c>
      <c r="CZ437" s="157"/>
      <c r="DA437" s="157">
        <v>0.35</v>
      </c>
      <c r="DB437" s="157">
        <v>0.25</v>
      </c>
      <c r="DC437" s="157">
        <v>0.25</v>
      </c>
      <c r="DD437" s="689">
        <f>+CZ437+DA437+DB437+DC437</f>
        <v>0.85</v>
      </c>
      <c r="DE437" s="665" t="s">
        <v>2951</v>
      </c>
      <c r="DF437" s="665" t="s">
        <v>3294</v>
      </c>
      <c r="DG437" s="665" t="s">
        <v>3295</v>
      </c>
      <c r="DH437" s="696">
        <v>1300000000</v>
      </c>
      <c r="DI437" s="665"/>
      <c r="DJ437" s="665"/>
      <c r="DK437" s="665"/>
      <c r="DL437" s="665" t="s">
        <v>279</v>
      </c>
      <c r="DM437" s="665" t="s">
        <v>3296</v>
      </c>
      <c r="DN437" s="665"/>
      <c r="DO437" s="716"/>
      <c r="DP437" s="665"/>
      <c r="DQ437" s="716"/>
      <c r="DR437" s="716"/>
      <c r="DS437" s="665"/>
      <c r="DT437" s="716"/>
      <c r="DU437" s="665"/>
      <c r="DV437" s="716"/>
      <c r="DW437" s="716"/>
      <c r="DX437" s="665"/>
      <c r="DY437" s="716"/>
      <c r="DZ437" s="665"/>
      <c r="EA437" s="716"/>
      <c r="EB437" s="716"/>
      <c r="EC437" s="665"/>
      <c r="ED437" s="665"/>
      <c r="EE437" s="665"/>
      <c r="EF437" s="665"/>
      <c r="EG437" s="665"/>
      <c r="EH437" s="666"/>
      <c r="EI437" s="170"/>
      <c r="EJ437" s="170"/>
      <c r="EK437" s="262"/>
      <c r="EL437" s="91" t="str">
        <f t="shared" si="110"/>
        <v>No aplica, no hay meta</v>
      </c>
      <c r="EM437" s="83" t="str">
        <f t="shared" si="111"/>
        <v>No se reportó avance</v>
      </c>
      <c r="EN437" s="697"/>
    </row>
    <row r="438" spans="1:144" ht="50.1" customHeight="1">
      <c r="A438" s="170" t="s">
        <v>4671</v>
      </c>
      <c r="B438" s="517" t="s">
        <v>3272</v>
      </c>
      <c r="C438" s="173" t="s">
        <v>3273</v>
      </c>
      <c r="D438" s="173" t="s">
        <v>3274</v>
      </c>
      <c r="E438" s="173" t="s">
        <v>3275</v>
      </c>
      <c r="F438" s="170" t="s">
        <v>280</v>
      </c>
      <c r="G438" s="170"/>
      <c r="H438" s="170" t="s">
        <v>3577</v>
      </c>
      <c r="I438" s="170" t="s">
        <v>3277</v>
      </c>
      <c r="J438" s="170" t="s">
        <v>3277</v>
      </c>
      <c r="K438" s="170" t="s">
        <v>3278</v>
      </c>
      <c r="L438" s="170">
        <v>4</v>
      </c>
      <c r="M438" s="84" t="s">
        <v>3566</v>
      </c>
      <c r="N438" s="84" t="s">
        <v>3567</v>
      </c>
      <c r="O438" s="84" t="s">
        <v>3281</v>
      </c>
      <c r="P438" s="84" t="s">
        <v>1161</v>
      </c>
      <c r="Q438" s="170" t="s">
        <v>162</v>
      </c>
      <c r="R438" s="84">
        <v>0</v>
      </c>
      <c r="S438" s="84" t="s">
        <v>163</v>
      </c>
      <c r="T438" s="90">
        <v>45108</v>
      </c>
      <c r="U438" s="90">
        <v>46357</v>
      </c>
      <c r="V438" s="518"/>
      <c r="W438" s="170"/>
      <c r="X438" s="170"/>
      <c r="Y438" s="519"/>
      <c r="Z438" s="85"/>
      <c r="AA438" s="85"/>
      <c r="AB438" s="85"/>
      <c r="AC438" s="85"/>
      <c r="AD438" s="85"/>
      <c r="AE438" s="85"/>
      <c r="AF438" s="85"/>
      <c r="AG438" s="85"/>
      <c r="AH438" s="85"/>
      <c r="AI438" s="85"/>
      <c r="AJ438" s="85"/>
      <c r="AK438" s="157"/>
      <c r="AL438" s="157"/>
      <c r="AM438" s="157"/>
      <c r="AN438" s="157"/>
      <c r="AO438" s="157"/>
      <c r="AP438" s="170"/>
      <c r="AQ438" s="170"/>
      <c r="AR438" s="170"/>
      <c r="AS438" s="170"/>
      <c r="AT438" s="170"/>
      <c r="AU438" s="170"/>
      <c r="AV438" s="170"/>
      <c r="AW438" s="170"/>
      <c r="AX438" s="170"/>
      <c r="AY438" s="170"/>
      <c r="AZ438" s="692"/>
      <c r="BA438" s="170"/>
      <c r="BB438" s="170"/>
      <c r="BC438" s="170"/>
      <c r="BD438" s="170"/>
      <c r="BE438" s="170"/>
      <c r="BF438" s="170"/>
      <c r="BG438" s="170"/>
      <c r="BH438" s="170"/>
      <c r="BI438" s="170"/>
      <c r="BJ438" s="692"/>
      <c r="BK438" s="170"/>
      <c r="BL438" s="692"/>
      <c r="BM438" s="170"/>
      <c r="BN438" s="692"/>
      <c r="BO438" s="170"/>
      <c r="BP438" s="692"/>
      <c r="BQ438" s="170"/>
      <c r="BR438" s="170"/>
      <c r="BS438" s="170"/>
      <c r="BT438" s="170"/>
      <c r="BU438" s="170"/>
      <c r="BV438" s="170"/>
      <c r="BW438" s="170"/>
      <c r="BX438" s="170"/>
      <c r="BY438" s="170"/>
      <c r="BZ438" s="170"/>
      <c r="CA438" s="170"/>
      <c r="CB438" s="170"/>
      <c r="CC438" s="170"/>
      <c r="CD438" s="170"/>
      <c r="CE438" s="170"/>
      <c r="CF438" s="170"/>
      <c r="CG438" s="717"/>
      <c r="CH438" s="256"/>
      <c r="CI438" s="170"/>
      <c r="CJ438" s="83" t="str">
        <f t="shared" si="113"/>
        <v>No aplica</v>
      </c>
      <c r="CK438" s="83" t="str">
        <f t="shared" si="112"/>
        <v>No aplica</v>
      </c>
      <c r="CL438" s="83" t="str">
        <f t="shared" si="107"/>
        <v>No requiere reporte</v>
      </c>
      <c r="CM438" s="89" t="str">
        <f t="shared" si="108"/>
        <v>No requiere reporte</v>
      </c>
      <c r="CN438" s="89" t="str">
        <f t="shared" si="109"/>
        <v>No requiere reporte</v>
      </c>
      <c r="CO438" s="145" t="s">
        <v>422</v>
      </c>
      <c r="CP438" s="694" t="s">
        <v>3589</v>
      </c>
      <c r="CQ438" s="178" t="s">
        <v>3590</v>
      </c>
      <c r="CR438" s="694" t="s">
        <v>3591</v>
      </c>
      <c r="CS438" s="694" t="s">
        <v>3592</v>
      </c>
      <c r="CT438" s="178" t="s">
        <v>953</v>
      </c>
      <c r="CU438" s="178" t="s">
        <v>233</v>
      </c>
      <c r="CV438" s="291">
        <v>0</v>
      </c>
      <c r="CW438" s="178" t="s">
        <v>163</v>
      </c>
      <c r="CX438" s="695">
        <v>46023</v>
      </c>
      <c r="CY438" s="695">
        <v>46387</v>
      </c>
      <c r="CZ438" s="157">
        <v>0</v>
      </c>
      <c r="DA438" s="157">
        <v>0.2</v>
      </c>
      <c r="DB438" s="157">
        <v>0.2</v>
      </c>
      <c r="DC438" s="157">
        <v>0.4</v>
      </c>
      <c r="DD438" s="157">
        <v>0.8</v>
      </c>
      <c r="DE438" s="665" t="s">
        <v>396</v>
      </c>
      <c r="DF438" s="665" t="s">
        <v>3337</v>
      </c>
      <c r="DG438" s="665" t="s">
        <v>3338</v>
      </c>
      <c r="DH438" s="696">
        <v>200000000</v>
      </c>
      <c r="DI438" s="665"/>
      <c r="DJ438" s="665"/>
      <c r="DK438" s="665"/>
      <c r="DL438" s="665" t="s">
        <v>279</v>
      </c>
      <c r="DM438" s="665" t="s">
        <v>3296</v>
      </c>
      <c r="DN438" s="665"/>
      <c r="DO438" s="716"/>
      <c r="DP438" s="665"/>
      <c r="DQ438" s="716"/>
      <c r="DR438" s="716"/>
      <c r="DS438" s="665"/>
      <c r="DT438" s="716"/>
      <c r="DU438" s="665"/>
      <c r="DV438" s="716"/>
      <c r="DW438" s="716"/>
      <c r="DX438" s="665"/>
      <c r="DY438" s="716"/>
      <c r="DZ438" s="665"/>
      <c r="EA438" s="716"/>
      <c r="EB438" s="716"/>
      <c r="EC438" s="665"/>
      <c r="ED438" s="665"/>
      <c r="EE438" s="665"/>
      <c r="EF438" s="665"/>
      <c r="EG438" s="665"/>
      <c r="EH438" s="666"/>
      <c r="EI438" s="170"/>
      <c r="EJ438" s="170"/>
      <c r="EK438" s="262"/>
      <c r="EL438" s="91" t="str">
        <f t="shared" si="110"/>
        <v>No aplica, no hay meta</v>
      </c>
      <c r="EM438" s="83" t="str">
        <f t="shared" si="111"/>
        <v>No se reportó avance</v>
      </c>
      <c r="EN438" s="697"/>
    </row>
    <row r="439" spans="1:144" ht="50.1" customHeight="1">
      <c r="A439" s="170" t="s">
        <v>4671</v>
      </c>
      <c r="B439" s="517" t="s">
        <v>3272</v>
      </c>
      <c r="C439" s="173" t="s">
        <v>3273</v>
      </c>
      <c r="D439" s="173" t="s">
        <v>3274</v>
      </c>
      <c r="E439" s="173" t="s">
        <v>3275</v>
      </c>
      <c r="F439" s="170" t="s">
        <v>280</v>
      </c>
      <c r="G439" s="170"/>
      <c r="H439" s="170" t="s">
        <v>3577</v>
      </c>
      <c r="I439" s="170" t="s">
        <v>3277</v>
      </c>
      <c r="J439" s="170" t="s">
        <v>3277</v>
      </c>
      <c r="K439" s="170" t="s">
        <v>3278</v>
      </c>
      <c r="L439" s="170">
        <v>4</v>
      </c>
      <c r="M439" s="84" t="s">
        <v>3566</v>
      </c>
      <c r="N439" s="84" t="s">
        <v>3567</v>
      </c>
      <c r="O439" s="84" t="s">
        <v>3281</v>
      </c>
      <c r="P439" s="84" t="s">
        <v>1161</v>
      </c>
      <c r="Q439" s="170" t="s">
        <v>162</v>
      </c>
      <c r="R439" s="84">
        <v>0</v>
      </c>
      <c r="S439" s="84" t="s">
        <v>163</v>
      </c>
      <c r="T439" s="90">
        <v>45108</v>
      </c>
      <c r="U439" s="90">
        <v>46357</v>
      </c>
      <c r="V439" s="518"/>
      <c r="W439" s="170"/>
      <c r="X439" s="170"/>
      <c r="Y439" s="519"/>
      <c r="Z439" s="85"/>
      <c r="AA439" s="85"/>
      <c r="AB439" s="85"/>
      <c r="AC439" s="85"/>
      <c r="AD439" s="85"/>
      <c r="AE439" s="85"/>
      <c r="AF439" s="85"/>
      <c r="AG439" s="85"/>
      <c r="AH439" s="85"/>
      <c r="AI439" s="85"/>
      <c r="AJ439" s="85"/>
      <c r="AK439" s="157"/>
      <c r="AL439" s="157"/>
      <c r="AM439" s="157"/>
      <c r="AN439" s="157"/>
      <c r="AO439" s="157"/>
      <c r="AP439" s="170"/>
      <c r="AQ439" s="170"/>
      <c r="AR439" s="170"/>
      <c r="AS439" s="170"/>
      <c r="AT439" s="170"/>
      <c r="AU439" s="170"/>
      <c r="AV439" s="170"/>
      <c r="AW439" s="170"/>
      <c r="AX439" s="170"/>
      <c r="AY439" s="170"/>
      <c r="AZ439" s="692"/>
      <c r="BA439" s="170"/>
      <c r="BB439" s="170"/>
      <c r="BC439" s="170"/>
      <c r="BD439" s="170"/>
      <c r="BE439" s="170"/>
      <c r="BF439" s="170"/>
      <c r="BG439" s="170"/>
      <c r="BH439" s="170"/>
      <c r="BI439" s="170"/>
      <c r="BJ439" s="692"/>
      <c r="BK439" s="170"/>
      <c r="BL439" s="692"/>
      <c r="BM439" s="170"/>
      <c r="BN439" s="692"/>
      <c r="BO439" s="170"/>
      <c r="BP439" s="692"/>
      <c r="BQ439" s="170"/>
      <c r="BR439" s="170"/>
      <c r="BS439" s="170"/>
      <c r="BT439" s="170"/>
      <c r="BU439" s="170"/>
      <c r="BV439" s="170"/>
      <c r="BW439" s="170"/>
      <c r="BX439" s="170"/>
      <c r="BY439" s="170"/>
      <c r="BZ439" s="170"/>
      <c r="CA439" s="170"/>
      <c r="CB439" s="170"/>
      <c r="CC439" s="170"/>
      <c r="CD439" s="170"/>
      <c r="CE439" s="170"/>
      <c r="CF439" s="170"/>
      <c r="CG439" s="717"/>
      <c r="CH439" s="170"/>
      <c r="CI439" s="170"/>
      <c r="CJ439" s="83" t="str">
        <f t="shared" si="113"/>
        <v>No aplica</v>
      </c>
      <c r="CK439" s="83" t="str">
        <f t="shared" si="112"/>
        <v>No aplica</v>
      </c>
      <c r="CL439" s="83" t="str">
        <f t="shared" si="107"/>
        <v>No requiere reporte</v>
      </c>
      <c r="CM439" s="89" t="str">
        <f t="shared" si="108"/>
        <v>No requiere reporte</v>
      </c>
      <c r="CN439" s="89" t="str">
        <f t="shared" si="109"/>
        <v>No requiere reporte</v>
      </c>
      <c r="CO439" s="145" t="s">
        <v>427</v>
      </c>
      <c r="CP439" s="677" t="s">
        <v>3593</v>
      </c>
      <c r="CQ439" s="145" t="s">
        <v>3594</v>
      </c>
      <c r="CR439" s="677" t="s">
        <v>3595</v>
      </c>
      <c r="CS439" s="693" t="s">
        <v>3596</v>
      </c>
      <c r="CT439" s="178" t="s">
        <v>953</v>
      </c>
      <c r="CU439" s="714" t="s">
        <v>162</v>
      </c>
      <c r="CV439" s="291">
        <v>0</v>
      </c>
      <c r="CW439" s="178" t="s">
        <v>163</v>
      </c>
      <c r="CX439" s="695">
        <v>46023</v>
      </c>
      <c r="CY439" s="695">
        <v>46387</v>
      </c>
      <c r="CZ439" s="157">
        <v>0</v>
      </c>
      <c r="DA439" s="146">
        <v>1</v>
      </c>
      <c r="DB439" s="146">
        <v>1</v>
      </c>
      <c r="DC439" s="146">
        <v>1</v>
      </c>
      <c r="DD439" s="146">
        <v>1</v>
      </c>
      <c r="DE439" s="665" t="s">
        <v>2951</v>
      </c>
      <c r="DF439" s="665" t="s">
        <v>3294</v>
      </c>
      <c r="DG439" s="665" t="s">
        <v>3295</v>
      </c>
      <c r="DH439" s="696">
        <v>250000000</v>
      </c>
      <c r="DI439" s="665"/>
      <c r="DJ439" s="665"/>
      <c r="DK439" s="665"/>
      <c r="DL439" s="665" t="s">
        <v>279</v>
      </c>
      <c r="DM439" s="665" t="s">
        <v>3296</v>
      </c>
      <c r="DN439" s="218"/>
      <c r="DO439" s="716"/>
      <c r="DP439" s="665"/>
      <c r="DQ439" s="716"/>
      <c r="DR439" s="716"/>
      <c r="DS439" s="218"/>
      <c r="DT439" s="716"/>
      <c r="DU439" s="665"/>
      <c r="DV439" s="716"/>
      <c r="DW439" s="716"/>
      <c r="DX439" s="218"/>
      <c r="DY439" s="716"/>
      <c r="DZ439" s="665"/>
      <c r="EA439" s="716"/>
      <c r="EB439" s="716"/>
      <c r="EC439" s="665"/>
      <c r="ED439" s="665"/>
      <c r="EE439" s="665"/>
      <c r="EF439" s="665"/>
      <c r="EG439" s="665"/>
      <c r="EH439" s="666"/>
      <c r="EI439" s="170"/>
      <c r="EJ439" s="170"/>
      <c r="EK439" s="262"/>
      <c r="EL439" s="91" t="str">
        <f t="shared" si="110"/>
        <v>No aplica, no hay meta</v>
      </c>
      <c r="EM439" s="83" t="str">
        <f t="shared" si="111"/>
        <v>No se reportó avance</v>
      </c>
      <c r="EN439" s="697"/>
    </row>
    <row r="440" spans="1:144" ht="50.1" customHeight="1">
      <c r="A440" s="203" t="s">
        <v>4671</v>
      </c>
      <c r="B440" s="505" t="s">
        <v>3272</v>
      </c>
      <c r="C440" s="202" t="s">
        <v>3273</v>
      </c>
      <c r="D440" s="202" t="s">
        <v>3274</v>
      </c>
      <c r="E440" s="202" t="s">
        <v>3275</v>
      </c>
      <c r="F440" s="203" t="s">
        <v>280</v>
      </c>
      <c r="G440" s="203"/>
      <c r="H440" s="203" t="s">
        <v>3597</v>
      </c>
      <c r="I440" s="203" t="s">
        <v>3277</v>
      </c>
      <c r="J440" s="203" t="s">
        <v>3277</v>
      </c>
      <c r="K440" s="203" t="s">
        <v>3278</v>
      </c>
      <c r="L440" s="260">
        <v>5</v>
      </c>
      <c r="M440" s="78" t="s">
        <v>3598</v>
      </c>
      <c r="N440" s="78" t="s">
        <v>3599</v>
      </c>
      <c r="O440" s="78" t="s">
        <v>3281</v>
      </c>
      <c r="P440" s="78" t="s">
        <v>1161</v>
      </c>
      <c r="Q440" s="255" t="s">
        <v>162</v>
      </c>
      <c r="R440" s="638">
        <v>0</v>
      </c>
      <c r="S440" s="78" t="s">
        <v>163</v>
      </c>
      <c r="T440" s="80">
        <v>45108</v>
      </c>
      <c r="U440" s="80">
        <v>46357</v>
      </c>
      <c r="V440" s="522"/>
      <c r="W440" s="203"/>
      <c r="X440" s="203"/>
      <c r="Y440" s="523"/>
      <c r="Z440" s="79">
        <v>1</v>
      </c>
      <c r="AA440" s="75">
        <v>1</v>
      </c>
      <c r="AB440" s="75">
        <v>1</v>
      </c>
      <c r="AC440" s="75">
        <v>1</v>
      </c>
      <c r="AD440" s="75">
        <v>1</v>
      </c>
      <c r="AE440" s="79">
        <v>1</v>
      </c>
      <c r="AF440" s="79">
        <v>1</v>
      </c>
      <c r="AG440" s="79">
        <v>1</v>
      </c>
      <c r="AH440" s="79">
        <v>1</v>
      </c>
      <c r="AI440" s="79">
        <v>1</v>
      </c>
      <c r="AJ440" s="79">
        <v>1</v>
      </c>
      <c r="AK440" s="142">
        <v>1</v>
      </c>
      <c r="AL440" s="142">
        <v>1</v>
      </c>
      <c r="AM440" s="142">
        <v>1</v>
      </c>
      <c r="AN440" s="142">
        <v>1</v>
      </c>
      <c r="AO440" s="142">
        <v>1</v>
      </c>
      <c r="AP440" s="79">
        <v>1</v>
      </c>
      <c r="AQ440" s="170"/>
      <c r="AR440" s="170"/>
      <c r="AS440" s="170"/>
      <c r="AT440" s="170"/>
      <c r="AU440" s="170"/>
      <c r="AV440" s="170"/>
      <c r="AW440" s="170"/>
      <c r="AX440" s="170"/>
      <c r="AY440" s="173" t="s">
        <v>201</v>
      </c>
      <c r="AZ440" s="692" t="s">
        <v>201</v>
      </c>
      <c r="BA440" s="173" t="s">
        <v>201</v>
      </c>
      <c r="BB440" s="170" t="s">
        <v>201</v>
      </c>
      <c r="BC440" s="173" t="s">
        <v>201</v>
      </c>
      <c r="BD440" s="170" t="s">
        <v>201</v>
      </c>
      <c r="BE440" s="170" t="s">
        <v>201</v>
      </c>
      <c r="BF440" s="170" t="s">
        <v>201</v>
      </c>
      <c r="BG440" s="173">
        <v>0</v>
      </c>
      <c r="BH440" s="170" t="s">
        <v>3286</v>
      </c>
      <c r="BI440" s="173">
        <f>+BG440</f>
        <v>0</v>
      </c>
      <c r="BJ440" s="692"/>
      <c r="BK440" s="173">
        <v>0</v>
      </c>
      <c r="BL440" s="692" t="s">
        <v>3287</v>
      </c>
      <c r="BM440" s="173">
        <v>0</v>
      </c>
      <c r="BN440" s="692" t="s">
        <v>3287</v>
      </c>
      <c r="BO440" s="173">
        <v>0.19</v>
      </c>
      <c r="BP440" s="692" t="s">
        <v>3600</v>
      </c>
      <c r="BQ440" s="170"/>
      <c r="BR440" s="170"/>
      <c r="BS440" s="83"/>
      <c r="BT440" s="170"/>
      <c r="BU440" s="170"/>
      <c r="BV440" s="170"/>
      <c r="BW440" s="170"/>
      <c r="BX440" s="170"/>
      <c r="BY440" s="170"/>
      <c r="BZ440" s="170"/>
      <c r="CA440" s="170"/>
      <c r="CB440" s="170"/>
      <c r="CC440" s="170"/>
      <c r="CD440" s="170"/>
      <c r="CE440" s="157"/>
      <c r="CF440" s="170"/>
      <c r="CG440" s="713">
        <f>SUBTOTAL(9,DH440:DH446)</f>
        <v>8100000000</v>
      </c>
      <c r="CH440" s="515"/>
      <c r="CI440" s="515"/>
      <c r="CJ440" s="83">
        <f t="shared" si="113"/>
        <v>0</v>
      </c>
      <c r="CK440" s="83">
        <f t="shared" si="112"/>
        <v>0</v>
      </c>
      <c r="CL440" s="83" t="str">
        <f t="shared" si="107"/>
        <v>No se reportó avance</v>
      </c>
      <c r="CM440" s="89" t="str">
        <f t="shared" si="108"/>
        <v>No se reportó avance</v>
      </c>
      <c r="CN440" s="89" t="str">
        <f t="shared" si="109"/>
        <v>No se reportó avance</v>
      </c>
      <c r="CO440" s="145" t="s">
        <v>583</v>
      </c>
      <c r="CP440" s="693" t="s">
        <v>3601</v>
      </c>
      <c r="CQ440" s="145" t="s">
        <v>3602</v>
      </c>
      <c r="CR440" s="693" t="s">
        <v>3603</v>
      </c>
      <c r="CS440" s="693" t="s">
        <v>3604</v>
      </c>
      <c r="CT440" s="145" t="s">
        <v>161</v>
      </c>
      <c r="CU440" s="714" t="s">
        <v>162</v>
      </c>
      <c r="CV440" s="291">
        <v>0</v>
      </c>
      <c r="CW440" s="145" t="s">
        <v>163</v>
      </c>
      <c r="CX440" s="695">
        <v>46023</v>
      </c>
      <c r="CY440" s="695">
        <v>46387</v>
      </c>
      <c r="CZ440" s="723">
        <v>0</v>
      </c>
      <c r="DA440" s="146">
        <v>1</v>
      </c>
      <c r="DB440" s="146">
        <v>1</v>
      </c>
      <c r="DC440" s="146">
        <v>1</v>
      </c>
      <c r="DD440" s="146">
        <v>1</v>
      </c>
      <c r="DE440" s="686" t="s">
        <v>2951</v>
      </c>
      <c r="DF440" s="686" t="s">
        <v>3294</v>
      </c>
      <c r="DG440" s="686" t="s">
        <v>3295</v>
      </c>
      <c r="DH440" s="696">
        <v>2200000000</v>
      </c>
      <c r="DI440" s="665"/>
      <c r="DJ440" s="665"/>
      <c r="DK440" s="665"/>
      <c r="DL440" s="665" t="s">
        <v>279</v>
      </c>
      <c r="DM440" s="665" t="s">
        <v>3296</v>
      </c>
      <c r="DN440" s="218"/>
      <c r="DO440" s="716"/>
      <c r="DP440" s="665"/>
      <c r="DQ440" s="716"/>
      <c r="DR440" s="716"/>
      <c r="DS440" s="218"/>
      <c r="DT440" s="716"/>
      <c r="DU440" s="665"/>
      <c r="DV440" s="716"/>
      <c r="DW440" s="716"/>
      <c r="DX440" s="218"/>
      <c r="DY440" s="716"/>
      <c r="DZ440" s="665"/>
      <c r="EA440" s="716"/>
      <c r="EB440" s="716"/>
      <c r="EC440" s="665"/>
      <c r="ED440" s="665"/>
      <c r="EE440" s="665"/>
      <c r="EF440" s="665"/>
      <c r="EG440" s="665"/>
      <c r="EH440" s="666"/>
      <c r="EI440" s="170"/>
      <c r="EJ440" s="170"/>
      <c r="EK440" s="262"/>
      <c r="EL440" s="91" t="str">
        <f t="shared" si="110"/>
        <v>No aplica, no hay meta</v>
      </c>
      <c r="EM440" s="83" t="str">
        <f t="shared" si="111"/>
        <v>No se reportó avance</v>
      </c>
      <c r="EN440" s="697"/>
    </row>
    <row r="441" spans="1:144" ht="50.1" customHeight="1">
      <c r="A441" s="170" t="s">
        <v>4671</v>
      </c>
      <c r="B441" s="517" t="s">
        <v>3272</v>
      </c>
      <c r="C441" s="173" t="s">
        <v>3273</v>
      </c>
      <c r="D441" s="173" t="s">
        <v>3274</v>
      </c>
      <c r="E441" s="173" t="s">
        <v>3275</v>
      </c>
      <c r="F441" s="526" t="s">
        <v>280</v>
      </c>
      <c r="G441" s="526"/>
      <c r="H441" s="526" t="s">
        <v>3597</v>
      </c>
      <c r="I441" s="526" t="s">
        <v>3277</v>
      </c>
      <c r="J441" s="526" t="s">
        <v>3277</v>
      </c>
      <c r="K441" s="526" t="s">
        <v>3278</v>
      </c>
      <c r="L441" s="527">
        <v>5</v>
      </c>
      <c r="M441" s="133" t="s">
        <v>3598</v>
      </c>
      <c r="N441" s="133" t="s">
        <v>3599</v>
      </c>
      <c r="O441" s="133" t="s">
        <v>3281</v>
      </c>
      <c r="P441" s="133" t="s">
        <v>1161</v>
      </c>
      <c r="Q441" s="526" t="s">
        <v>162</v>
      </c>
      <c r="R441" s="133">
        <v>0</v>
      </c>
      <c r="S441" s="133" t="s">
        <v>163</v>
      </c>
      <c r="T441" s="136">
        <v>45108</v>
      </c>
      <c r="U441" s="136">
        <v>46357</v>
      </c>
      <c r="V441" s="528"/>
      <c r="W441" s="526"/>
      <c r="X441" s="526"/>
      <c r="Y441" s="529"/>
      <c r="Z441" s="134"/>
      <c r="AA441" s="134"/>
      <c r="AB441" s="134"/>
      <c r="AC441" s="134"/>
      <c r="AD441" s="134"/>
      <c r="AE441" s="85"/>
      <c r="AF441" s="85"/>
      <c r="AG441" s="85"/>
      <c r="AH441" s="85"/>
      <c r="AI441" s="85"/>
      <c r="AJ441" s="85"/>
      <c r="AK441" s="530"/>
      <c r="AL441" s="530"/>
      <c r="AM441" s="530"/>
      <c r="AN441" s="530"/>
      <c r="AO441" s="530"/>
      <c r="AP441" s="170"/>
      <c r="AQ441" s="170"/>
      <c r="AR441" s="170"/>
      <c r="AS441" s="170"/>
      <c r="AT441" s="170"/>
      <c r="AU441" s="170"/>
      <c r="AV441" s="170"/>
      <c r="AW441" s="170"/>
      <c r="AX441" s="170"/>
      <c r="AY441" s="170"/>
      <c r="AZ441" s="692"/>
      <c r="BA441" s="170"/>
      <c r="BB441" s="170"/>
      <c r="BC441" s="170"/>
      <c r="BD441" s="170"/>
      <c r="BE441" s="170"/>
      <c r="BF441" s="170"/>
      <c r="BG441" s="170"/>
      <c r="BH441" s="170"/>
      <c r="BI441" s="170"/>
      <c r="BJ441" s="692"/>
      <c r="BK441" s="170"/>
      <c r="BL441" s="692"/>
      <c r="BM441" s="170"/>
      <c r="BN441" s="692"/>
      <c r="BO441" s="170"/>
      <c r="BP441" s="692"/>
      <c r="BQ441" s="170"/>
      <c r="BR441" s="170"/>
      <c r="BS441" s="170"/>
      <c r="BT441" s="170"/>
      <c r="BU441" s="170"/>
      <c r="BV441" s="170"/>
      <c r="BW441" s="170"/>
      <c r="BX441" s="170"/>
      <c r="BY441" s="170"/>
      <c r="BZ441" s="170"/>
      <c r="CA441" s="170"/>
      <c r="CB441" s="170"/>
      <c r="CC441" s="170"/>
      <c r="CD441" s="170"/>
      <c r="CE441" s="170"/>
      <c r="CF441" s="170"/>
      <c r="CG441" s="717"/>
      <c r="CH441" s="170"/>
      <c r="CI441" s="170"/>
      <c r="CJ441" s="83" t="str">
        <f t="shared" si="113"/>
        <v>No aplica</v>
      </c>
      <c r="CK441" s="83" t="str">
        <f t="shared" si="112"/>
        <v>No aplica</v>
      </c>
      <c r="CL441" s="83" t="str">
        <f t="shared" si="107"/>
        <v>No requiere reporte</v>
      </c>
      <c r="CM441" s="89" t="str">
        <f t="shared" si="108"/>
        <v>No requiere reporte</v>
      </c>
      <c r="CN441" s="89" t="str">
        <f t="shared" si="109"/>
        <v>No requiere reporte</v>
      </c>
      <c r="CO441" s="145" t="s">
        <v>3605</v>
      </c>
      <c r="CP441" s="693" t="s">
        <v>3601</v>
      </c>
      <c r="CQ441" s="145" t="s">
        <v>3602</v>
      </c>
      <c r="CR441" s="693" t="s">
        <v>3603</v>
      </c>
      <c r="CS441" s="693" t="s">
        <v>3604</v>
      </c>
      <c r="CT441" s="145" t="s">
        <v>161</v>
      </c>
      <c r="CU441" s="714" t="s">
        <v>162</v>
      </c>
      <c r="CV441" s="291">
        <v>0</v>
      </c>
      <c r="CW441" s="145" t="s">
        <v>163</v>
      </c>
      <c r="CX441" s="695">
        <v>46023</v>
      </c>
      <c r="CY441" s="695">
        <v>46387</v>
      </c>
      <c r="CZ441" s="723">
        <v>0</v>
      </c>
      <c r="DA441" s="146">
        <v>1</v>
      </c>
      <c r="DB441" s="146">
        <v>1</v>
      </c>
      <c r="DC441" s="146">
        <v>1</v>
      </c>
      <c r="DD441" s="146">
        <v>1</v>
      </c>
      <c r="DE441" s="686" t="s">
        <v>396</v>
      </c>
      <c r="DF441" s="686" t="s">
        <v>3606</v>
      </c>
      <c r="DG441" s="686" t="s">
        <v>3607</v>
      </c>
      <c r="DH441" s="696">
        <v>300000000</v>
      </c>
      <c r="DI441" s="665"/>
      <c r="DJ441" s="665"/>
      <c r="DK441" s="665"/>
      <c r="DL441" s="665" t="s">
        <v>279</v>
      </c>
      <c r="DM441" s="665" t="s">
        <v>3296</v>
      </c>
      <c r="DN441" s="218"/>
      <c r="DO441" s="716"/>
      <c r="DP441" s="665"/>
      <c r="DQ441" s="716"/>
      <c r="DR441" s="716"/>
      <c r="DS441" s="218"/>
      <c r="DT441" s="716"/>
      <c r="DU441" s="665"/>
      <c r="DV441" s="716"/>
      <c r="DW441" s="716"/>
      <c r="DX441" s="218"/>
      <c r="DY441" s="716"/>
      <c r="DZ441" s="665"/>
      <c r="EA441" s="716"/>
      <c r="EB441" s="716"/>
      <c r="EC441" s="665"/>
      <c r="ED441" s="665"/>
      <c r="EE441" s="665"/>
      <c r="EF441" s="665"/>
      <c r="EG441" s="665"/>
      <c r="EH441" s="666"/>
      <c r="EI441" s="170"/>
      <c r="EJ441" s="170"/>
      <c r="EK441" s="262"/>
      <c r="EL441" s="91" t="str">
        <f t="shared" si="110"/>
        <v>No requiere reporte</v>
      </c>
      <c r="EM441" s="83" t="str">
        <f t="shared" si="111"/>
        <v>No requiere reporte</v>
      </c>
      <c r="EN441" s="697"/>
    </row>
    <row r="442" spans="1:144" ht="50.1" customHeight="1">
      <c r="A442" s="170" t="s">
        <v>4671</v>
      </c>
      <c r="B442" s="517" t="s">
        <v>3272</v>
      </c>
      <c r="C442" s="173" t="s">
        <v>3273</v>
      </c>
      <c r="D442" s="173" t="s">
        <v>3274</v>
      </c>
      <c r="E442" s="173" t="s">
        <v>3275</v>
      </c>
      <c r="F442" s="170" t="s">
        <v>280</v>
      </c>
      <c r="G442" s="170"/>
      <c r="H442" s="170" t="s">
        <v>3597</v>
      </c>
      <c r="I442" s="170" t="s">
        <v>3277</v>
      </c>
      <c r="J442" s="170" t="s">
        <v>3277</v>
      </c>
      <c r="K442" s="170" t="s">
        <v>3278</v>
      </c>
      <c r="L442" s="262">
        <v>5</v>
      </c>
      <c r="M442" s="84" t="s">
        <v>3598</v>
      </c>
      <c r="N442" s="84" t="s">
        <v>3599</v>
      </c>
      <c r="O442" s="84" t="s">
        <v>3281</v>
      </c>
      <c r="P442" s="84" t="s">
        <v>1161</v>
      </c>
      <c r="Q442" s="170" t="s">
        <v>162</v>
      </c>
      <c r="R442" s="84">
        <v>0</v>
      </c>
      <c r="S442" s="84" t="s">
        <v>163</v>
      </c>
      <c r="T442" s="90">
        <v>45108</v>
      </c>
      <c r="U442" s="90">
        <v>46357</v>
      </c>
      <c r="V442" s="262"/>
      <c r="W442" s="262"/>
      <c r="X442" s="262"/>
      <c r="Y442" s="262"/>
      <c r="Z442" s="85"/>
      <c r="AA442" s="85"/>
      <c r="AB442" s="85"/>
      <c r="AC442" s="85"/>
      <c r="AD442" s="85"/>
      <c r="AE442" s="85"/>
      <c r="AF442" s="85"/>
      <c r="AG442" s="85"/>
      <c r="AH442" s="85"/>
      <c r="AI442" s="85"/>
      <c r="AJ442" s="85"/>
      <c r="AK442" s="157"/>
      <c r="AL442" s="157"/>
      <c r="AM442" s="157"/>
      <c r="AN442" s="157"/>
      <c r="AO442" s="157"/>
      <c r="AP442" s="262"/>
      <c r="AQ442" s="262"/>
      <c r="AR442" s="262"/>
      <c r="AS442" s="262"/>
      <c r="AT442" s="262"/>
      <c r="AU442" s="262"/>
      <c r="AV442" s="262"/>
      <c r="AW442" s="262"/>
      <c r="AX442" s="262"/>
      <c r="AY442" s="262"/>
      <c r="AZ442" s="697"/>
      <c r="BA442" s="262"/>
      <c r="BB442" s="262"/>
      <c r="BC442" s="262"/>
      <c r="BD442" s="262"/>
      <c r="BE442" s="262"/>
      <c r="BF442" s="262"/>
      <c r="BG442" s="262"/>
      <c r="BH442" s="262"/>
      <c r="BI442" s="262"/>
      <c r="BJ442" s="697"/>
      <c r="BK442" s="262"/>
      <c r="BL442" s="697"/>
      <c r="BM442" s="262"/>
      <c r="BN442" s="697"/>
      <c r="BO442" s="262"/>
      <c r="BP442" s="697"/>
      <c r="BQ442" s="262"/>
      <c r="BR442" s="262"/>
      <c r="BS442" s="262"/>
      <c r="BT442" s="262"/>
      <c r="BU442" s="262"/>
      <c r="BV442" s="262"/>
      <c r="BW442" s="262"/>
      <c r="BX442" s="262"/>
      <c r="BY442" s="262"/>
      <c r="BZ442" s="262"/>
      <c r="CA442" s="262"/>
      <c r="CB442" s="262"/>
      <c r="CC442" s="262"/>
      <c r="CD442" s="262"/>
      <c r="CE442" s="262"/>
      <c r="CF442" s="262"/>
      <c r="CG442" s="717"/>
      <c r="CH442" s="262"/>
      <c r="CI442" s="262"/>
      <c r="CJ442" s="83" t="str">
        <f t="shared" si="113"/>
        <v>No aplica</v>
      </c>
      <c r="CK442" s="83" t="str">
        <f t="shared" si="112"/>
        <v>No aplica</v>
      </c>
      <c r="CL442" s="83" t="str">
        <f t="shared" si="107"/>
        <v>No requiere reporte</v>
      </c>
      <c r="CM442" s="89" t="str">
        <f t="shared" si="108"/>
        <v>No requiere reporte</v>
      </c>
      <c r="CN442" s="89" t="str">
        <f t="shared" si="109"/>
        <v>No requiere reporte</v>
      </c>
      <c r="CO442" s="145" t="s">
        <v>589</v>
      </c>
      <c r="CP442" s="693" t="s">
        <v>3608</v>
      </c>
      <c r="CQ442" s="145" t="s">
        <v>3609</v>
      </c>
      <c r="CR442" s="693" t="s">
        <v>3610</v>
      </c>
      <c r="CS442" s="693" t="s">
        <v>3611</v>
      </c>
      <c r="CT442" s="145" t="s">
        <v>953</v>
      </c>
      <c r="CU442" s="714" t="s">
        <v>162</v>
      </c>
      <c r="CV442" s="291">
        <v>0</v>
      </c>
      <c r="CW442" s="145" t="s">
        <v>163</v>
      </c>
      <c r="CX442" s="695">
        <v>46023</v>
      </c>
      <c r="CY442" s="695">
        <v>46387</v>
      </c>
      <c r="CZ442" s="157">
        <v>0</v>
      </c>
      <c r="DA442" s="146">
        <v>1</v>
      </c>
      <c r="DB442" s="146">
        <v>1</v>
      </c>
      <c r="DC442" s="146">
        <v>1</v>
      </c>
      <c r="DD442" s="146">
        <v>1</v>
      </c>
      <c r="DE442" s="665" t="s">
        <v>2951</v>
      </c>
      <c r="DF442" s="665" t="s">
        <v>3294</v>
      </c>
      <c r="DG442" s="665" t="s">
        <v>3295</v>
      </c>
      <c r="DH442" s="696">
        <v>2300000000</v>
      </c>
      <c r="DI442" s="717"/>
      <c r="DJ442" s="717"/>
      <c r="DK442" s="717"/>
      <c r="DL442" s="665" t="s">
        <v>279</v>
      </c>
      <c r="DM442" s="665" t="s">
        <v>3296</v>
      </c>
      <c r="DN442" s="218"/>
      <c r="DO442" s="716"/>
      <c r="DP442" s="665"/>
      <c r="DQ442" s="716"/>
      <c r="DR442" s="716"/>
      <c r="DS442" s="218"/>
      <c r="DT442" s="716"/>
      <c r="DU442" s="665"/>
      <c r="DV442" s="716"/>
      <c r="DW442" s="716"/>
      <c r="DX442" s="218"/>
      <c r="DY442" s="716"/>
      <c r="DZ442" s="665"/>
      <c r="EA442" s="716"/>
      <c r="EB442" s="716"/>
      <c r="EC442" s="665"/>
      <c r="ED442" s="665"/>
      <c r="EE442" s="665"/>
      <c r="EF442" s="665"/>
      <c r="EG442" s="665"/>
      <c r="EH442" s="666"/>
      <c r="EI442" s="170"/>
      <c r="EJ442" s="170"/>
      <c r="EK442" s="262"/>
      <c r="EL442" s="91" t="str">
        <f t="shared" si="110"/>
        <v>No aplica, no hay meta</v>
      </c>
      <c r="EM442" s="83" t="str">
        <f t="shared" si="111"/>
        <v>No se reportó avance</v>
      </c>
      <c r="EN442" s="697"/>
    </row>
    <row r="443" spans="1:144" ht="50.1" customHeight="1">
      <c r="A443" s="170" t="s">
        <v>4671</v>
      </c>
      <c r="B443" s="517" t="s">
        <v>3272</v>
      </c>
      <c r="C443" s="173" t="s">
        <v>3273</v>
      </c>
      <c r="D443" s="173" t="s">
        <v>3274</v>
      </c>
      <c r="E443" s="173" t="s">
        <v>3275</v>
      </c>
      <c r="F443" s="170" t="s">
        <v>280</v>
      </c>
      <c r="G443" s="170"/>
      <c r="H443" s="170" t="s">
        <v>3597</v>
      </c>
      <c r="I443" s="170" t="s">
        <v>3277</v>
      </c>
      <c r="J443" s="170" t="s">
        <v>3277</v>
      </c>
      <c r="K443" s="170" t="s">
        <v>3278</v>
      </c>
      <c r="L443" s="262">
        <v>5</v>
      </c>
      <c r="M443" s="84" t="s">
        <v>3598</v>
      </c>
      <c r="N443" s="84" t="s">
        <v>3599</v>
      </c>
      <c r="O443" s="84" t="s">
        <v>3281</v>
      </c>
      <c r="P443" s="84" t="s">
        <v>1161</v>
      </c>
      <c r="Q443" s="170" t="s">
        <v>162</v>
      </c>
      <c r="R443" s="84">
        <v>0</v>
      </c>
      <c r="S443" s="84" t="s">
        <v>163</v>
      </c>
      <c r="T443" s="90">
        <v>45108</v>
      </c>
      <c r="U443" s="90">
        <v>46357</v>
      </c>
      <c r="V443" s="262"/>
      <c r="W443" s="262"/>
      <c r="X443" s="262"/>
      <c r="Y443" s="262"/>
      <c r="Z443" s="85"/>
      <c r="AA443" s="85"/>
      <c r="AB443" s="85"/>
      <c r="AC443" s="85"/>
      <c r="AD443" s="85"/>
      <c r="AE443" s="85"/>
      <c r="AF443" s="85"/>
      <c r="AG443" s="85"/>
      <c r="AH443" s="85"/>
      <c r="AI443" s="85"/>
      <c r="AJ443" s="85"/>
      <c r="AK443" s="157"/>
      <c r="AL443" s="157"/>
      <c r="AM443" s="157"/>
      <c r="AN443" s="157"/>
      <c r="AO443" s="157"/>
      <c r="AP443" s="262"/>
      <c r="AQ443" s="262"/>
      <c r="AR443" s="262"/>
      <c r="AS443" s="262"/>
      <c r="AT443" s="262"/>
      <c r="AU443" s="262"/>
      <c r="AV443" s="262"/>
      <c r="AW443" s="262"/>
      <c r="AX443" s="262"/>
      <c r="AY443" s="262"/>
      <c r="AZ443" s="697"/>
      <c r="BA443" s="262"/>
      <c r="BB443" s="262"/>
      <c r="BC443" s="262"/>
      <c r="BD443" s="262"/>
      <c r="BE443" s="262"/>
      <c r="BF443" s="262"/>
      <c r="BG443" s="262"/>
      <c r="BH443" s="262"/>
      <c r="BI443" s="262"/>
      <c r="BJ443" s="697"/>
      <c r="BK443" s="262"/>
      <c r="BL443" s="697"/>
      <c r="BM443" s="262"/>
      <c r="BN443" s="697"/>
      <c r="BO443" s="262"/>
      <c r="BP443" s="697"/>
      <c r="BQ443" s="262"/>
      <c r="BR443" s="262"/>
      <c r="BS443" s="262"/>
      <c r="BT443" s="262"/>
      <c r="BU443" s="262"/>
      <c r="BV443" s="262"/>
      <c r="BW443" s="262"/>
      <c r="BX443" s="262"/>
      <c r="BY443" s="262"/>
      <c r="BZ443" s="262"/>
      <c r="CA443" s="262"/>
      <c r="CB443" s="262"/>
      <c r="CC443" s="262"/>
      <c r="CD443" s="262"/>
      <c r="CE443" s="262"/>
      <c r="CF443" s="262"/>
      <c r="CG443" s="717"/>
      <c r="CH443" s="262"/>
      <c r="CI443" s="262"/>
      <c r="CJ443" s="83" t="str">
        <f t="shared" si="113"/>
        <v>No aplica</v>
      </c>
      <c r="CK443" s="83" t="str">
        <f t="shared" si="112"/>
        <v>No aplica</v>
      </c>
      <c r="CL443" s="83" t="str">
        <f t="shared" si="107"/>
        <v>No requiere reporte</v>
      </c>
      <c r="CM443" s="89" t="str">
        <f t="shared" si="108"/>
        <v>No requiere reporte</v>
      </c>
      <c r="CN443" s="89" t="str">
        <f t="shared" si="109"/>
        <v>No requiere reporte</v>
      </c>
      <c r="CO443" s="145" t="s">
        <v>592</v>
      </c>
      <c r="CP443" s="693" t="s">
        <v>3612</v>
      </c>
      <c r="CQ443" s="145" t="s">
        <v>3613</v>
      </c>
      <c r="CR443" s="693" t="s">
        <v>3614</v>
      </c>
      <c r="CS443" s="693" t="s">
        <v>3615</v>
      </c>
      <c r="CT443" s="145" t="s">
        <v>161</v>
      </c>
      <c r="CU443" s="145" t="s">
        <v>233</v>
      </c>
      <c r="CV443" s="291">
        <v>0</v>
      </c>
      <c r="CW443" s="145" t="s">
        <v>163</v>
      </c>
      <c r="CX443" s="695">
        <v>46023</v>
      </c>
      <c r="CY443" s="695">
        <v>46387</v>
      </c>
      <c r="CZ443" s="157">
        <v>0</v>
      </c>
      <c r="DA443" s="157">
        <v>0.3</v>
      </c>
      <c r="DB443" s="157">
        <v>0.2</v>
      </c>
      <c r="DC443" s="157">
        <v>0.4</v>
      </c>
      <c r="DD443" s="157">
        <f>SUM(CZ443:DC443)</f>
        <v>0.9</v>
      </c>
      <c r="DE443" s="665" t="s">
        <v>2951</v>
      </c>
      <c r="DF443" s="665" t="s">
        <v>3294</v>
      </c>
      <c r="DG443" s="665" t="s">
        <v>3295</v>
      </c>
      <c r="DH443" s="696">
        <v>1000000000</v>
      </c>
      <c r="DI443" s="717"/>
      <c r="DJ443" s="717"/>
      <c r="DK443" s="717"/>
      <c r="DL443" s="665" t="s">
        <v>279</v>
      </c>
      <c r="DM443" s="665" t="s">
        <v>3296</v>
      </c>
      <c r="DN443" s="665"/>
      <c r="DO443" s="716"/>
      <c r="DP443" s="665"/>
      <c r="DQ443" s="716"/>
      <c r="DR443" s="716"/>
      <c r="DS443" s="665"/>
      <c r="DT443" s="716"/>
      <c r="DU443" s="665"/>
      <c r="DV443" s="716"/>
      <c r="DW443" s="716"/>
      <c r="DX443" s="665"/>
      <c r="DY443" s="716"/>
      <c r="DZ443" s="665"/>
      <c r="EA443" s="716"/>
      <c r="EB443" s="716"/>
      <c r="EC443" s="665"/>
      <c r="ED443" s="665"/>
      <c r="EE443" s="665"/>
      <c r="EF443" s="665"/>
      <c r="EG443" s="665"/>
      <c r="EH443" s="666"/>
      <c r="EI443" s="170"/>
      <c r="EJ443" s="170"/>
      <c r="EK443" s="262"/>
      <c r="EL443" s="91" t="str">
        <f t="shared" si="110"/>
        <v>No aplica, no hay meta</v>
      </c>
      <c r="EM443" s="83" t="str">
        <f t="shared" si="111"/>
        <v>No se reportó avance</v>
      </c>
      <c r="EN443" s="697"/>
    </row>
    <row r="444" spans="1:144" ht="50.1" customHeight="1">
      <c r="A444" s="170" t="s">
        <v>4671</v>
      </c>
      <c r="B444" s="517" t="s">
        <v>3272</v>
      </c>
      <c r="C444" s="173" t="s">
        <v>3273</v>
      </c>
      <c r="D444" s="173" t="s">
        <v>3274</v>
      </c>
      <c r="E444" s="173" t="s">
        <v>3275</v>
      </c>
      <c r="F444" s="170" t="s">
        <v>280</v>
      </c>
      <c r="G444" s="170"/>
      <c r="H444" s="170" t="s">
        <v>3597</v>
      </c>
      <c r="I444" s="170" t="s">
        <v>3277</v>
      </c>
      <c r="J444" s="170" t="s">
        <v>3277</v>
      </c>
      <c r="K444" s="170" t="s">
        <v>3278</v>
      </c>
      <c r="L444" s="262">
        <v>5</v>
      </c>
      <c r="M444" s="84" t="s">
        <v>3598</v>
      </c>
      <c r="N444" s="84" t="s">
        <v>3599</v>
      </c>
      <c r="O444" s="84" t="s">
        <v>3281</v>
      </c>
      <c r="P444" s="84" t="s">
        <v>1161</v>
      </c>
      <c r="Q444" s="170" t="s">
        <v>162</v>
      </c>
      <c r="R444" s="84">
        <v>0</v>
      </c>
      <c r="S444" s="84" t="s">
        <v>163</v>
      </c>
      <c r="T444" s="90">
        <v>45108</v>
      </c>
      <c r="U444" s="90">
        <v>46357</v>
      </c>
      <c r="V444" s="262"/>
      <c r="W444" s="262"/>
      <c r="X444" s="262"/>
      <c r="Y444" s="262"/>
      <c r="Z444" s="85"/>
      <c r="AA444" s="85"/>
      <c r="AB444" s="85"/>
      <c r="AC444" s="85"/>
      <c r="AD444" s="85"/>
      <c r="AE444" s="85"/>
      <c r="AF444" s="85"/>
      <c r="AG444" s="85"/>
      <c r="AH444" s="85"/>
      <c r="AI444" s="85"/>
      <c r="AJ444" s="85"/>
      <c r="AK444" s="157"/>
      <c r="AL444" s="157"/>
      <c r="AM444" s="157"/>
      <c r="AN444" s="157"/>
      <c r="AO444" s="157"/>
      <c r="AP444" s="262"/>
      <c r="AQ444" s="262"/>
      <c r="AR444" s="262"/>
      <c r="AS444" s="262"/>
      <c r="AT444" s="262"/>
      <c r="AU444" s="262"/>
      <c r="AV444" s="262"/>
      <c r="AW444" s="262"/>
      <c r="AX444" s="262"/>
      <c r="AY444" s="262"/>
      <c r="AZ444" s="697"/>
      <c r="BA444" s="262"/>
      <c r="BB444" s="262"/>
      <c r="BC444" s="262"/>
      <c r="BD444" s="262"/>
      <c r="BE444" s="262"/>
      <c r="BF444" s="262"/>
      <c r="BG444" s="262"/>
      <c r="BH444" s="262"/>
      <c r="BI444" s="262"/>
      <c r="BJ444" s="697"/>
      <c r="BK444" s="262"/>
      <c r="BL444" s="697"/>
      <c r="BM444" s="262"/>
      <c r="BN444" s="697"/>
      <c r="BO444" s="262"/>
      <c r="BP444" s="697"/>
      <c r="BQ444" s="262"/>
      <c r="BR444" s="262"/>
      <c r="BS444" s="262"/>
      <c r="BT444" s="262"/>
      <c r="BU444" s="262"/>
      <c r="BV444" s="262"/>
      <c r="BW444" s="262"/>
      <c r="BX444" s="262"/>
      <c r="BY444" s="262"/>
      <c r="BZ444" s="262"/>
      <c r="CA444" s="262"/>
      <c r="CB444" s="262"/>
      <c r="CC444" s="262"/>
      <c r="CD444" s="262"/>
      <c r="CE444" s="262"/>
      <c r="CF444" s="262"/>
      <c r="CG444" s="717"/>
      <c r="CH444" s="262"/>
      <c r="CI444" s="262"/>
      <c r="CJ444" s="83" t="str">
        <f t="shared" si="113"/>
        <v>No aplica</v>
      </c>
      <c r="CK444" s="83" t="str">
        <f t="shared" si="112"/>
        <v>No aplica</v>
      </c>
      <c r="CL444" s="83" t="str">
        <f t="shared" si="107"/>
        <v>No requiere reporte</v>
      </c>
      <c r="CM444" s="89" t="str">
        <f t="shared" si="108"/>
        <v>No requiere reporte</v>
      </c>
      <c r="CN444" s="89" t="str">
        <f t="shared" si="109"/>
        <v>No requiere reporte</v>
      </c>
      <c r="CO444" s="145" t="s">
        <v>595</v>
      </c>
      <c r="CP444" s="693" t="s">
        <v>3616</v>
      </c>
      <c r="CQ444" s="145" t="s">
        <v>3617</v>
      </c>
      <c r="CR444" s="693" t="s">
        <v>3618</v>
      </c>
      <c r="CS444" s="693" t="s">
        <v>3619</v>
      </c>
      <c r="CT444" s="145" t="s">
        <v>161</v>
      </c>
      <c r="CU444" s="145" t="s">
        <v>233</v>
      </c>
      <c r="CV444" s="291">
        <v>0</v>
      </c>
      <c r="CW444" s="145" t="s">
        <v>163</v>
      </c>
      <c r="CX444" s="695">
        <v>46023</v>
      </c>
      <c r="CY444" s="695">
        <v>46387</v>
      </c>
      <c r="CZ444" s="157"/>
      <c r="DA444" s="157">
        <f>15%+25%</f>
        <v>0.4</v>
      </c>
      <c r="DB444" s="157">
        <v>0.2</v>
      </c>
      <c r="DC444" s="157">
        <v>0.2</v>
      </c>
      <c r="DD444" s="157">
        <f>+DA444+DB444+DC444</f>
        <v>0.8</v>
      </c>
      <c r="DE444" s="665" t="s">
        <v>2951</v>
      </c>
      <c r="DF444" s="665" t="s">
        <v>3294</v>
      </c>
      <c r="DG444" s="665" t="s">
        <v>3295</v>
      </c>
      <c r="DH444" s="696">
        <v>700000000</v>
      </c>
      <c r="DI444" s="717"/>
      <c r="DJ444" s="717"/>
      <c r="DK444" s="717"/>
      <c r="DL444" s="665" t="s">
        <v>279</v>
      </c>
      <c r="DM444" s="665" t="s">
        <v>3296</v>
      </c>
      <c r="DN444" s="665"/>
      <c r="DO444" s="716"/>
      <c r="DP444" s="665"/>
      <c r="DQ444" s="716"/>
      <c r="DR444" s="716"/>
      <c r="DS444" s="665"/>
      <c r="DT444" s="716"/>
      <c r="DU444" s="665"/>
      <c r="DV444" s="716"/>
      <c r="DW444" s="716"/>
      <c r="DX444" s="665"/>
      <c r="DY444" s="716"/>
      <c r="DZ444" s="665"/>
      <c r="EA444" s="716"/>
      <c r="EB444" s="716"/>
      <c r="EC444" s="665"/>
      <c r="ED444" s="665"/>
      <c r="EE444" s="665"/>
      <c r="EF444" s="665"/>
      <c r="EG444" s="665"/>
      <c r="EH444" s="666"/>
      <c r="EI444" s="170"/>
      <c r="EJ444" s="170"/>
      <c r="EK444" s="262"/>
      <c r="EL444" s="91" t="str">
        <f t="shared" si="110"/>
        <v>No aplica, no hay meta</v>
      </c>
      <c r="EM444" s="83" t="str">
        <f t="shared" si="111"/>
        <v>No se reportó avance</v>
      </c>
      <c r="EN444" s="697"/>
    </row>
    <row r="445" spans="1:144" ht="50.1" customHeight="1">
      <c r="A445" s="170" t="s">
        <v>4671</v>
      </c>
      <c r="B445" s="517" t="s">
        <v>3272</v>
      </c>
      <c r="C445" s="173" t="s">
        <v>3273</v>
      </c>
      <c r="D445" s="173" t="s">
        <v>3274</v>
      </c>
      <c r="E445" s="173" t="s">
        <v>3275</v>
      </c>
      <c r="F445" s="170" t="s">
        <v>280</v>
      </c>
      <c r="G445" s="170"/>
      <c r="H445" s="170" t="s">
        <v>3597</v>
      </c>
      <c r="I445" s="170" t="s">
        <v>3277</v>
      </c>
      <c r="J445" s="170" t="s">
        <v>3277</v>
      </c>
      <c r="K445" s="170" t="s">
        <v>3278</v>
      </c>
      <c r="L445" s="262">
        <v>5</v>
      </c>
      <c r="M445" s="84" t="s">
        <v>3598</v>
      </c>
      <c r="N445" s="84" t="s">
        <v>3599</v>
      </c>
      <c r="O445" s="84" t="s">
        <v>3281</v>
      </c>
      <c r="P445" s="84" t="s">
        <v>1161</v>
      </c>
      <c r="Q445" s="170" t="s">
        <v>162</v>
      </c>
      <c r="R445" s="84">
        <v>0</v>
      </c>
      <c r="S445" s="84" t="s">
        <v>163</v>
      </c>
      <c r="T445" s="90">
        <v>45108</v>
      </c>
      <c r="U445" s="90">
        <v>46357</v>
      </c>
      <c r="V445" s="262"/>
      <c r="W445" s="262"/>
      <c r="X445" s="262"/>
      <c r="Y445" s="262"/>
      <c r="Z445" s="85"/>
      <c r="AA445" s="85"/>
      <c r="AB445" s="85"/>
      <c r="AC445" s="85"/>
      <c r="AD445" s="85"/>
      <c r="AE445" s="85"/>
      <c r="AF445" s="85"/>
      <c r="AG445" s="85"/>
      <c r="AH445" s="85"/>
      <c r="AI445" s="85"/>
      <c r="AJ445" s="85"/>
      <c r="AK445" s="157"/>
      <c r="AL445" s="157"/>
      <c r="AM445" s="157"/>
      <c r="AN445" s="157"/>
      <c r="AO445" s="157"/>
      <c r="AP445" s="262"/>
      <c r="AQ445" s="262"/>
      <c r="AR445" s="262"/>
      <c r="AS445" s="262"/>
      <c r="AT445" s="262"/>
      <c r="AU445" s="262"/>
      <c r="AV445" s="262"/>
      <c r="AW445" s="262"/>
      <c r="AX445" s="262"/>
      <c r="AY445" s="262"/>
      <c r="AZ445" s="697"/>
      <c r="BA445" s="262"/>
      <c r="BB445" s="262"/>
      <c r="BC445" s="262"/>
      <c r="BD445" s="262"/>
      <c r="BE445" s="262"/>
      <c r="BF445" s="262"/>
      <c r="BG445" s="262"/>
      <c r="BH445" s="262"/>
      <c r="BI445" s="262"/>
      <c r="BJ445" s="697"/>
      <c r="BK445" s="262"/>
      <c r="BL445" s="697"/>
      <c r="BM445" s="262"/>
      <c r="BN445" s="697"/>
      <c r="BO445" s="262"/>
      <c r="BP445" s="697"/>
      <c r="BQ445" s="262"/>
      <c r="BR445" s="262"/>
      <c r="BS445" s="262"/>
      <c r="BT445" s="262"/>
      <c r="BU445" s="262"/>
      <c r="BV445" s="262"/>
      <c r="BW445" s="262"/>
      <c r="BX445" s="262"/>
      <c r="BY445" s="262"/>
      <c r="BZ445" s="262"/>
      <c r="CA445" s="262"/>
      <c r="CB445" s="262"/>
      <c r="CC445" s="262"/>
      <c r="CD445" s="262"/>
      <c r="CE445" s="262"/>
      <c r="CF445" s="262"/>
      <c r="CG445" s="717"/>
      <c r="CH445" s="262"/>
      <c r="CI445" s="262"/>
      <c r="CJ445" s="83" t="str">
        <f t="shared" si="113"/>
        <v>No aplica</v>
      </c>
      <c r="CK445" s="83" t="str">
        <f t="shared" si="112"/>
        <v>No aplica</v>
      </c>
      <c r="CL445" s="83" t="str">
        <f t="shared" si="107"/>
        <v>No requiere reporte</v>
      </c>
      <c r="CM445" s="89" t="str">
        <f t="shared" si="108"/>
        <v>No requiere reporte</v>
      </c>
      <c r="CN445" s="89" t="str">
        <f t="shared" si="109"/>
        <v>No requiere reporte</v>
      </c>
      <c r="CO445" s="145" t="s">
        <v>600</v>
      </c>
      <c r="CP445" s="693" t="s">
        <v>3620</v>
      </c>
      <c r="CQ445" s="145" t="s">
        <v>3621</v>
      </c>
      <c r="CR445" s="693" t="s">
        <v>3622</v>
      </c>
      <c r="CS445" s="693" t="s">
        <v>3623</v>
      </c>
      <c r="CT445" s="145" t="s">
        <v>161</v>
      </c>
      <c r="CU445" s="145" t="s">
        <v>233</v>
      </c>
      <c r="CV445" s="145">
        <v>0</v>
      </c>
      <c r="CW445" s="145" t="s">
        <v>234</v>
      </c>
      <c r="CX445" s="695">
        <v>46023</v>
      </c>
      <c r="CY445" s="695">
        <v>46387</v>
      </c>
      <c r="CZ445" s="145">
        <v>0</v>
      </c>
      <c r="DA445" s="145">
        <v>0</v>
      </c>
      <c r="DB445" s="178">
        <v>100</v>
      </c>
      <c r="DC445" s="178">
        <v>0</v>
      </c>
      <c r="DD445" s="178">
        <v>100</v>
      </c>
      <c r="DE445" s="665" t="s">
        <v>396</v>
      </c>
      <c r="DF445" s="665" t="s">
        <v>3337</v>
      </c>
      <c r="DG445" s="665" t="s">
        <v>3338</v>
      </c>
      <c r="DH445" s="696">
        <v>800000000</v>
      </c>
      <c r="DI445" s="717"/>
      <c r="DJ445" s="717"/>
      <c r="DK445" s="717"/>
      <c r="DL445" s="665" t="s">
        <v>279</v>
      </c>
      <c r="DM445" s="665" t="s">
        <v>3296</v>
      </c>
      <c r="DN445" s="665"/>
      <c r="DO445" s="716"/>
      <c r="DP445" s="665"/>
      <c r="DQ445" s="716"/>
      <c r="DR445" s="716"/>
      <c r="DS445" s="665"/>
      <c r="DT445" s="716"/>
      <c r="DU445" s="665"/>
      <c r="DV445" s="716"/>
      <c r="DW445" s="716"/>
      <c r="DX445" s="665"/>
      <c r="DY445" s="716"/>
      <c r="DZ445" s="665"/>
      <c r="EA445" s="716"/>
      <c r="EB445" s="716"/>
      <c r="EC445" s="665"/>
      <c r="ED445" s="665"/>
      <c r="EE445" s="665"/>
      <c r="EF445" s="665"/>
      <c r="EG445" s="665"/>
      <c r="EH445" s="665"/>
      <c r="EI445" s="170"/>
      <c r="EJ445" s="170"/>
      <c r="EK445" s="262"/>
      <c r="EL445" s="91" t="str">
        <f t="shared" si="110"/>
        <v>No aplica, no hay meta</v>
      </c>
      <c r="EM445" s="83" t="str">
        <f t="shared" si="111"/>
        <v>No se reportó avance</v>
      </c>
      <c r="EN445" s="697"/>
    </row>
    <row r="446" spans="1:144" ht="50.1" customHeight="1">
      <c r="A446" s="170" t="s">
        <v>4671</v>
      </c>
      <c r="B446" s="517" t="s">
        <v>3272</v>
      </c>
      <c r="C446" s="173" t="s">
        <v>3273</v>
      </c>
      <c r="D446" s="173" t="s">
        <v>3274</v>
      </c>
      <c r="E446" s="173" t="s">
        <v>3275</v>
      </c>
      <c r="F446" s="170" t="s">
        <v>280</v>
      </c>
      <c r="G446" s="170"/>
      <c r="H446" s="170" t="s">
        <v>3597</v>
      </c>
      <c r="I446" s="170" t="s">
        <v>3277</v>
      </c>
      <c r="J446" s="170" t="s">
        <v>3277</v>
      </c>
      <c r="K446" s="170" t="s">
        <v>3278</v>
      </c>
      <c r="L446" s="262">
        <v>5</v>
      </c>
      <c r="M446" s="84" t="s">
        <v>3598</v>
      </c>
      <c r="N446" s="84" t="s">
        <v>3599</v>
      </c>
      <c r="O446" s="84" t="s">
        <v>3281</v>
      </c>
      <c r="P446" s="84" t="s">
        <v>1161</v>
      </c>
      <c r="Q446" s="170" t="s">
        <v>162</v>
      </c>
      <c r="R446" s="84">
        <v>0</v>
      </c>
      <c r="S446" s="84" t="s">
        <v>163</v>
      </c>
      <c r="T446" s="90">
        <v>45108</v>
      </c>
      <c r="U446" s="90">
        <v>46357</v>
      </c>
      <c r="V446" s="262"/>
      <c r="W446" s="262"/>
      <c r="X446" s="262"/>
      <c r="Y446" s="262"/>
      <c r="Z446" s="85"/>
      <c r="AA446" s="85"/>
      <c r="AB446" s="85"/>
      <c r="AC446" s="85"/>
      <c r="AD446" s="85"/>
      <c r="AE446" s="85"/>
      <c r="AF446" s="85"/>
      <c r="AG446" s="85"/>
      <c r="AH446" s="85"/>
      <c r="AI446" s="85"/>
      <c r="AJ446" s="85"/>
      <c r="AK446" s="157"/>
      <c r="AL446" s="157"/>
      <c r="AM446" s="157"/>
      <c r="AN446" s="157"/>
      <c r="AO446" s="157"/>
      <c r="AP446" s="262"/>
      <c r="AQ446" s="262"/>
      <c r="AR446" s="262"/>
      <c r="AS446" s="262"/>
      <c r="AT446" s="262"/>
      <c r="AU446" s="262"/>
      <c r="AV446" s="262"/>
      <c r="AW446" s="262"/>
      <c r="AX446" s="262"/>
      <c r="AY446" s="262"/>
      <c r="AZ446" s="697"/>
      <c r="BA446" s="262"/>
      <c r="BB446" s="262"/>
      <c r="BC446" s="262"/>
      <c r="BD446" s="262"/>
      <c r="BE446" s="262"/>
      <c r="BF446" s="262"/>
      <c r="BG446" s="262"/>
      <c r="BH446" s="262"/>
      <c r="BI446" s="262"/>
      <c r="BJ446" s="697"/>
      <c r="BK446" s="262"/>
      <c r="BL446" s="697"/>
      <c r="BM446" s="262"/>
      <c r="BN446" s="697"/>
      <c r="BO446" s="262"/>
      <c r="BP446" s="697"/>
      <c r="BQ446" s="262"/>
      <c r="BR446" s="262"/>
      <c r="BS446" s="262"/>
      <c r="BT446" s="262"/>
      <c r="BU446" s="262"/>
      <c r="BV446" s="262"/>
      <c r="BW446" s="262"/>
      <c r="BX446" s="262"/>
      <c r="BY446" s="262"/>
      <c r="BZ446" s="262"/>
      <c r="CA446" s="262"/>
      <c r="CB446" s="262"/>
      <c r="CC446" s="262"/>
      <c r="CD446" s="262"/>
      <c r="CE446" s="262"/>
      <c r="CF446" s="262"/>
      <c r="CG446" s="717"/>
      <c r="CH446" s="262"/>
      <c r="CI446" s="262"/>
      <c r="CJ446" s="83" t="str">
        <f t="shared" si="113"/>
        <v>No aplica</v>
      </c>
      <c r="CK446" s="83" t="str">
        <f t="shared" si="112"/>
        <v>No aplica</v>
      </c>
      <c r="CL446" s="83" t="str">
        <f t="shared" si="107"/>
        <v>No requiere reporte</v>
      </c>
      <c r="CM446" s="89" t="str">
        <f t="shared" si="108"/>
        <v>No requiere reporte</v>
      </c>
      <c r="CN446" s="89" t="str">
        <f t="shared" si="109"/>
        <v>No requiere reporte</v>
      </c>
      <c r="CO446" s="145" t="s">
        <v>3624</v>
      </c>
      <c r="CP446" s="693" t="s">
        <v>3625</v>
      </c>
      <c r="CQ446" s="145" t="s">
        <v>3626</v>
      </c>
      <c r="CR446" s="693" t="s">
        <v>3627</v>
      </c>
      <c r="CS446" s="693" t="s">
        <v>3628</v>
      </c>
      <c r="CT446" s="145" t="s">
        <v>161</v>
      </c>
      <c r="CU446" s="714" t="s">
        <v>162</v>
      </c>
      <c r="CV446" s="291">
        <v>0</v>
      </c>
      <c r="CW446" s="145" t="s">
        <v>163</v>
      </c>
      <c r="CX446" s="695">
        <v>46023</v>
      </c>
      <c r="CY446" s="695">
        <v>46387</v>
      </c>
      <c r="CZ446" s="146">
        <v>1</v>
      </c>
      <c r="DA446" s="146">
        <v>1</v>
      </c>
      <c r="DB446" s="146">
        <v>1</v>
      </c>
      <c r="DC446" s="146">
        <v>1</v>
      </c>
      <c r="DD446" s="146">
        <v>1</v>
      </c>
      <c r="DE446" s="665" t="s">
        <v>2951</v>
      </c>
      <c r="DF446" s="665" t="s">
        <v>3294</v>
      </c>
      <c r="DG446" s="665" t="s">
        <v>3295</v>
      </c>
      <c r="DH446" s="696">
        <v>800000000</v>
      </c>
      <c r="DI446" s="717"/>
      <c r="DJ446" s="717"/>
      <c r="DK446" s="717"/>
      <c r="DL446" s="665" t="s">
        <v>279</v>
      </c>
      <c r="DM446" s="665" t="s">
        <v>3296</v>
      </c>
      <c r="DN446" s="218"/>
      <c r="DO446" s="716"/>
      <c r="DP446" s="665"/>
      <c r="DQ446" s="716"/>
      <c r="DR446" s="716"/>
      <c r="DS446" s="218"/>
      <c r="DT446" s="716"/>
      <c r="DU446" s="665"/>
      <c r="DV446" s="716"/>
      <c r="DW446" s="716"/>
      <c r="DX446" s="218"/>
      <c r="DY446" s="716"/>
      <c r="DZ446" s="665"/>
      <c r="EA446" s="716"/>
      <c r="EB446" s="716"/>
      <c r="EC446" s="665"/>
      <c r="ED446" s="665"/>
      <c r="EE446" s="665"/>
      <c r="EF446" s="665"/>
      <c r="EG446" s="665"/>
      <c r="EH446" s="146"/>
      <c r="EI446" s="170"/>
      <c r="EJ446" s="170"/>
      <c r="EK446" s="262"/>
      <c r="EL446" s="91" t="str">
        <f t="shared" si="110"/>
        <v>No se reportó avance</v>
      </c>
      <c r="EM446" s="83" t="str">
        <f t="shared" si="111"/>
        <v>No se reportó avance</v>
      </c>
      <c r="EN446" s="697"/>
    </row>
    <row r="447" spans="1:144" ht="50.1" customHeight="1">
      <c r="A447" s="203" t="s">
        <v>4671</v>
      </c>
      <c r="B447" s="505" t="s">
        <v>3272</v>
      </c>
      <c r="C447" s="202" t="s">
        <v>3273</v>
      </c>
      <c r="D447" s="202" t="s">
        <v>3274</v>
      </c>
      <c r="E447" s="202" t="s">
        <v>3275</v>
      </c>
      <c r="F447" s="203" t="s">
        <v>280</v>
      </c>
      <c r="G447" s="98" t="s">
        <v>3629</v>
      </c>
      <c r="H447" s="98" t="s">
        <v>3630</v>
      </c>
      <c r="I447" s="203" t="s">
        <v>3277</v>
      </c>
      <c r="J447" s="203" t="s">
        <v>3277</v>
      </c>
      <c r="K447" s="203" t="s">
        <v>3278</v>
      </c>
      <c r="L447" s="260">
        <v>6</v>
      </c>
      <c r="M447" s="78" t="s">
        <v>3631</v>
      </c>
      <c r="N447" s="78" t="s">
        <v>3632</v>
      </c>
      <c r="O447" s="78" t="s">
        <v>3281</v>
      </c>
      <c r="P447" s="78" t="s">
        <v>1161</v>
      </c>
      <c r="Q447" s="255" t="s">
        <v>162</v>
      </c>
      <c r="R447" s="638">
        <v>0</v>
      </c>
      <c r="S447" s="78" t="s">
        <v>163</v>
      </c>
      <c r="T447" s="80">
        <v>45108</v>
      </c>
      <c r="U447" s="80">
        <v>46357</v>
      </c>
      <c r="V447" s="531"/>
      <c r="W447" s="531"/>
      <c r="X447" s="531"/>
      <c r="Y447" s="531"/>
      <c r="Z447" s="79">
        <v>1</v>
      </c>
      <c r="AA447" s="75">
        <v>1</v>
      </c>
      <c r="AB447" s="75">
        <v>1</v>
      </c>
      <c r="AC447" s="75">
        <v>1</v>
      </c>
      <c r="AD447" s="75">
        <v>1</v>
      </c>
      <c r="AE447" s="79">
        <v>1</v>
      </c>
      <c r="AF447" s="79">
        <v>1</v>
      </c>
      <c r="AG447" s="79">
        <v>1</v>
      </c>
      <c r="AH447" s="79">
        <v>1</v>
      </c>
      <c r="AI447" s="79">
        <v>1</v>
      </c>
      <c r="AJ447" s="79">
        <v>1</v>
      </c>
      <c r="AK447" s="142">
        <v>1</v>
      </c>
      <c r="AL447" s="142">
        <v>1</v>
      </c>
      <c r="AM447" s="142">
        <v>1</v>
      </c>
      <c r="AN447" s="142">
        <v>1</v>
      </c>
      <c r="AO447" s="142">
        <v>1</v>
      </c>
      <c r="AP447" s="79">
        <v>1</v>
      </c>
      <c r="AQ447" s="262"/>
      <c r="AR447" s="262"/>
      <c r="AS447" s="262"/>
      <c r="AT447" s="262"/>
      <c r="AU447" s="262"/>
      <c r="AV447" s="262"/>
      <c r="AW447" s="262"/>
      <c r="AX447" s="262"/>
      <c r="AY447" s="173" t="s">
        <v>201</v>
      </c>
      <c r="AZ447" s="692" t="s">
        <v>201</v>
      </c>
      <c r="BA447" s="173">
        <f>9/9</f>
        <v>1</v>
      </c>
      <c r="BB447" s="170" t="s">
        <v>3633</v>
      </c>
      <c r="BC447" s="173">
        <f>2/2</f>
        <v>1</v>
      </c>
      <c r="BD447" s="170" t="s">
        <v>3634</v>
      </c>
      <c r="BE447" s="173">
        <f>2/2</f>
        <v>1</v>
      </c>
      <c r="BF447" s="170" t="s">
        <v>3635</v>
      </c>
      <c r="BG447" s="173">
        <v>0</v>
      </c>
      <c r="BH447" s="170" t="s">
        <v>3286</v>
      </c>
      <c r="BI447" s="173">
        <f>+(BA447+BC447+BE447+BG447)/4</f>
        <v>0.75</v>
      </c>
      <c r="BJ447" s="697"/>
      <c r="BK447" s="173">
        <v>0</v>
      </c>
      <c r="BL447" s="692" t="s">
        <v>3287</v>
      </c>
      <c r="BM447" s="173">
        <v>0</v>
      </c>
      <c r="BN447" s="692" t="s">
        <v>3287</v>
      </c>
      <c r="BO447" s="173">
        <v>0.14000000000000001</v>
      </c>
      <c r="BP447" s="692" t="s">
        <v>3636</v>
      </c>
      <c r="BQ447" s="262"/>
      <c r="BR447" s="262"/>
      <c r="BS447" s="83"/>
      <c r="BT447" s="262"/>
      <c r="BU447" s="262"/>
      <c r="BV447" s="262"/>
      <c r="BW447" s="262"/>
      <c r="BX447" s="262"/>
      <c r="BY447" s="262"/>
      <c r="BZ447" s="262"/>
      <c r="CA447" s="262"/>
      <c r="CB447" s="262"/>
      <c r="CC447" s="262"/>
      <c r="CD447" s="262"/>
      <c r="CE447" s="157"/>
      <c r="CF447" s="262"/>
      <c r="CG447" s="713">
        <f>SUBTOTAL(9,DH447:DH453)</f>
        <v>1300000000</v>
      </c>
      <c r="CH447" s="515"/>
      <c r="CI447" s="515"/>
      <c r="CJ447" s="83">
        <f t="shared" si="113"/>
        <v>0</v>
      </c>
      <c r="CK447" s="83">
        <f t="shared" si="112"/>
        <v>0</v>
      </c>
      <c r="CL447" s="83" t="str">
        <f t="shared" si="107"/>
        <v>No se reportó avance</v>
      </c>
      <c r="CM447" s="89" t="str">
        <f t="shared" si="108"/>
        <v>No se reportó avance</v>
      </c>
      <c r="CN447" s="89" t="str">
        <f t="shared" si="109"/>
        <v>No se reportó avance</v>
      </c>
      <c r="CO447" s="145" t="s">
        <v>1362</v>
      </c>
      <c r="CP447" s="693" t="s">
        <v>3637</v>
      </c>
      <c r="CQ447" s="145" t="s">
        <v>3638</v>
      </c>
      <c r="CR447" s="693" t="s">
        <v>3639</v>
      </c>
      <c r="CS447" s="693" t="s">
        <v>3640</v>
      </c>
      <c r="CT447" s="145" t="s">
        <v>161</v>
      </c>
      <c r="CU447" s="145" t="s">
        <v>233</v>
      </c>
      <c r="CV447" s="291">
        <v>0</v>
      </c>
      <c r="CW447" s="145" t="s">
        <v>163</v>
      </c>
      <c r="CX447" s="695">
        <v>46023</v>
      </c>
      <c r="CY447" s="695">
        <v>46387</v>
      </c>
      <c r="CZ447" s="157">
        <v>0.2</v>
      </c>
      <c r="DA447" s="157">
        <v>0.3</v>
      </c>
      <c r="DB447" s="157">
        <v>0.2</v>
      </c>
      <c r="DC447" s="157">
        <v>0.2</v>
      </c>
      <c r="DD447" s="157">
        <f>+CZ447+DA447+DB447+DC447</f>
        <v>0.89999999999999991</v>
      </c>
      <c r="DE447" s="665" t="s">
        <v>2951</v>
      </c>
      <c r="DF447" s="665" t="s">
        <v>3294</v>
      </c>
      <c r="DG447" s="665" t="s">
        <v>3295</v>
      </c>
      <c r="DH447" s="696">
        <v>800000000</v>
      </c>
      <c r="DI447" s="717"/>
      <c r="DJ447" s="717"/>
      <c r="DK447" s="717"/>
      <c r="DL447" s="665" t="s">
        <v>279</v>
      </c>
      <c r="DM447" s="665" t="s">
        <v>3296</v>
      </c>
      <c r="DN447" s="666"/>
      <c r="DO447" s="716"/>
      <c r="DP447" s="665"/>
      <c r="DQ447" s="716"/>
      <c r="DR447" s="716"/>
      <c r="DS447" s="665"/>
      <c r="DT447" s="716"/>
      <c r="DU447" s="665"/>
      <c r="DV447" s="716"/>
      <c r="DW447" s="716"/>
      <c r="DX447" s="665"/>
      <c r="DY447" s="716"/>
      <c r="DZ447" s="665"/>
      <c r="EA447" s="716"/>
      <c r="EB447" s="716"/>
      <c r="EC447" s="665"/>
      <c r="ED447" s="665"/>
      <c r="EE447" s="665"/>
      <c r="EF447" s="665"/>
      <c r="EG447" s="665"/>
      <c r="EH447" s="666"/>
      <c r="EI447" s="170"/>
      <c r="EJ447" s="170"/>
      <c r="EK447" s="262"/>
      <c r="EL447" s="91" t="str">
        <f t="shared" si="110"/>
        <v>No se reportó avance</v>
      </c>
      <c r="EM447" s="83" t="str">
        <f t="shared" si="111"/>
        <v>No se reportó avance</v>
      </c>
      <c r="EN447" s="697"/>
    </row>
    <row r="448" spans="1:144" ht="50.1" customHeight="1">
      <c r="A448" s="170" t="s">
        <v>4671</v>
      </c>
      <c r="B448" s="517" t="s">
        <v>3272</v>
      </c>
      <c r="C448" s="173" t="s">
        <v>3273</v>
      </c>
      <c r="D448" s="173" t="s">
        <v>3274</v>
      </c>
      <c r="E448" s="173" t="s">
        <v>3275</v>
      </c>
      <c r="F448" s="170" t="s">
        <v>280</v>
      </c>
      <c r="G448" s="94" t="s">
        <v>3629</v>
      </c>
      <c r="H448" s="94" t="s">
        <v>3630</v>
      </c>
      <c r="I448" s="170" t="s">
        <v>3277</v>
      </c>
      <c r="J448" s="170" t="s">
        <v>3277</v>
      </c>
      <c r="K448" s="170" t="s">
        <v>3278</v>
      </c>
      <c r="L448" s="262">
        <v>6</v>
      </c>
      <c r="M448" s="84" t="s">
        <v>3631</v>
      </c>
      <c r="N448" s="84" t="s">
        <v>3632</v>
      </c>
      <c r="O448" s="84" t="s">
        <v>3281</v>
      </c>
      <c r="P448" s="84" t="s">
        <v>1161</v>
      </c>
      <c r="Q448" s="170" t="s">
        <v>162</v>
      </c>
      <c r="R448" s="84">
        <v>0</v>
      </c>
      <c r="S448" s="84" t="s">
        <v>163</v>
      </c>
      <c r="T448" s="90">
        <v>45108</v>
      </c>
      <c r="U448" s="90">
        <v>46357</v>
      </c>
      <c r="V448" s="262"/>
      <c r="W448" s="262"/>
      <c r="X448" s="262"/>
      <c r="Y448" s="262"/>
      <c r="Z448" s="85"/>
      <c r="AA448" s="85"/>
      <c r="AB448" s="85"/>
      <c r="AC448" s="85"/>
      <c r="AD448" s="85"/>
      <c r="AE448" s="85"/>
      <c r="AF448" s="85"/>
      <c r="AG448" s="85"/>
      <c r="AH448" s="85"/>
      <c r="AI448" s="85"/>
      <c r="AJ448" s="85"/>
      <c r="AK448" s="157"/>
      <c r="AL448" s="157"/>
      <c r="AM448" s="157"/>
      <c r="AN448" s="157"/>
      <c r="AO448" s="157"/>
      <c r="AP448" s="262"/>
      <c r="AQ448" s="262"/>
      <c r="AR448" s="262"/>
      <c r="AS448" s="262"/>
      <c r="AT448" s="262"/>
      <c r="AU448" s="262"/>
      <c r="AV448" s="262"/>
      <c r="AW448" s="262"/>
      <c r="AX448" s="262"/>
      <c r="AY448" s="262"/>
      <c r="AZ448" s="697"/>
      <c r="BA448" s="262"/>
      <c r="BB448" s="262"/>
      <c r="BC448" s="262"/>
      <c r="BD448" s="262"/>
      <c r="BE448" s="262"/>
      <c r="BF448" s="262"/>
      <c r="BG448" s="262"/>
      <c r="BH448" s="262"/>
      <c r="BI448" s="262"/>
      <c r="BJ448" s="697"/>
      <c r="BK448" s="262"/>
      <c r="BL448" s="697"/>
      <c r="BM448" s="262"/>
      <c r="BN448" s="697"/>
      <c r="BO448" s="262"/>
      <c r="BP448" s="697"/>
      <c r="BQ448" s="262"/>
      <c r="BR448" s="262"/>
      <c r="BS448" s="262"/>
      <c r="BT448" s="262"/>
      <c r="BU448" s="262"/>
      <c r="BV448" s="262"/>
      <c r="BW448" s="262"/>
      <c r="BX448" s="262"/>
      <c r="BY448" s="262"/>
      <c r="BZ448" s="262"/>
      <c r="CA448" s="262"/>
      <c r="CB448" s="262"/>
      <c r="CC448" s="262"/>
      <c r="CD448" s="262"/>
      <c r="CE448" s="262"/>
      <c r="CF448" s="262"/>
      <c r="CG448" s="717"/>
      <c r="CH448" s="262"/>
      <c r="CI448" s="262"/>
      <c r="CJ448" s="83" t="str">
        <f t="shared" si="113"/>
        <v>No aplica</v>
      </c>
      <c r="CK448" s="83" t="str">
        <f t="shared" si="112"/>
        <v>No aplica</v>
      </c>
      <c r="CL448" s="83" t="str">
        <f t="shared" si="107"/>
        <v>No requiere reporte</v>
      </c>
      <c r="CM448" s="89" t="str">
        <f t="shared" si="108"/>
        <v>No requiere reporte</v>
      </c>
      <c r="CN448" s="89" t="str">
        <f t="shared" si="109"/>
        <v>No requiere reporte</v>
      </c>
      <c r="CO448" s="145" t="s">
        <v>3641</v>
      </c>
      <c r="CP448" s="693" t="s">
        <v>3642</v>
      </c>
      <c r="CQ448" s="145" t="s">
        <v>3643</v>
      </c>
      <c r="CR448" s="693" t="s">
        <v>3644</v>
      </c>
      <c r="CS448" s="693" t="s">
        <v>3645</v>
      </c>
      <c r="CT448" s="145" t="s">
        <v>161</v>
      </c>
      <c r="CU448" s="145" t="s">
        <v>233</v>
      </c>
      <c r="CV448" s="291">
        <v>0</v>
      </c>
      <c r="CW448" s="145" t="s">
        <v>163</v>
      </c>
      <c r="CX448" s="695">
        <v>46023</v>
      </c>
      <c r="CY448" s="695">
        <v>46387</v>
      </c>
      <c r="CZ448" s="157">
        <f>10%+10%</f>
        <v>0.2</v>
      </c>
      <c r="DA448" s="157">
        <v>0.2</v>
      </c>
      <c r="DB448" s="157">
        <v>0.2</v>
      </c>
      <c r="DC448" s="157">
        <v>0.13</v>
      </c>
      <c r="DD448" s="157">
        <f>+CZ448+DA448+DB448+DC448</f>
        <v>0.73000000000000009</v>
      </c>
      <c r="DE448" s="665" t="s">
        <v>2951</v>
      </c>
      <c r="DF448" s="665" t="s">
        <v>3294</v>
      </c>
      <c r="DG448" s="665" t="s">
        <v>3295</v>
      </c>
      <c r="DH448" s="696">
        <v>0</v>
      </c>
      <c r="DI448" s="717"/>
      <c r="DJ448" s="717"/>
      <c r="DK448" s="717"/>
      <c r="DL448" s="665" t="s">
        <v>279</v>
      </c>
      <c r="DM448" s="665" t="s">
        <v>3296</v>
      </c>
      <c r="DN448" s="665"/>
      <c r="DO448" s="716"/>
      <c r="DP448" s="665"/>
      <c r="DQ448" s="716"/>
      <c r="DR448" s="716"/>
      <c r="DS448" s="665"/>
      <c r="DT448" s="716"/>
      <c r="DU448" s="665"/>
      <c r="DV448" s="716"/>
      <c r="DW448" s="716"/>
      <c r="DX448" s="665"/>
      <c r="DY448" s="716"/>
      <c r="DZ448" s="665"/>
      <c r="EA448" s="716"/>
      <c r="EB448" s="716"/>
      <c r="EC448" s="665"/>
      <c r="ED448" s="665"/>
      <c r="EE448" s="665"/>
      <c r="EF448" s="665"/>
      <c r="EG448" s="665"/>
      <c r="EH448" s="666"/>
      <c r="EI448" s="170"/>
      <c r="EJ448" s="170"/>
      <c r="EK448" s="262"/>
      <c r="EL448" s="91" t="str">
        <f t="shared" si="110"/>
        <v>No se reportó avance</v>
      </c>
      <c r="EM448" s="83" t="str">
        <f t="shared" si="111"/>
        <v>No se reportó avance</v>
      </c>
      <c r="EN448" s="697"/>
    </row>
    <row r="449" spans="1:144" ht="50.1" customHeight="1">
      <c r="A449" s="170" t="s">
        <v>4671</v>
      </c>
      <c r="B449" s="517" t="s">
        <v>3272</v>
      </c>
      <c r="C449" s="173" t="s">
        <v>3273</v>
      </c>
      <c r="D449" s="173" t="s">
        <v>3274</v>
      </c>
      <c r="E449" s="173" t="s">
        <v>3275</v>
      </c>
      <c r="F449" s="170" t="s">
        <v>280</v>
      </c>
      <c r="G449" s="94" t="s">
        <v>3629</v>
      </c>
      <c r="H449" s="94" t="s">
        <v>3630</v>
      </c>
      <c r="I449" s="170" t="s">
        <v>3277</v>
      </c>
      <c r="J449" s="170" t="s">
        <v>3277</v>
      </c>
      <c r="K449" s="170" t="s">
        <v>3278</v>
      </c>
      <c r="L449" s="262">
        <v>6</v>
      </c>
      <c r="M449" s="84" t="s">
        <v>3631</v>
      </c>
      <c r="N449" s="84" t="s">
        <v>3632</v>
      </c>
      <c r="O449" s="84" t="s">
        <v>3281</v>
      </c>
      <c r="P449" s="84" t="s">
        <v>1161</v>
      </c>
      <c r="Q449" s="170" t="s">
        <v>162</v>
      </c>
      <c r="R449" s="84">
        <v>0</v>
      </c>
      <c r="S449" s="84" t="s">
        <v>163</v>
      </c>
      <c r="T449" s="90">
        <v>45108</v>
      </c>
      <c r="U449" s="90">
        <v>46357</v>
      </c>
      <c r="V449" s="262"/>
      <c r="W449" s="262"/>
      <c r="X449" s="262"/>
      <c r="Y449" s="262"/>
      <c r="Z449" s="85"/>
      <c r="AA449" s="85"/>
      <c r="AB449" s="85"/>
      <c r="AC449" s="85"/>
      <c r="AD449" s="85"/>
      <c r="AE449" s="85"/>
      <c r="AF449" s="85"/>
      <c r="AG449" s="85"/>
      <c r="AH449" s="85"/>
      <c r="AI449" s="85"/>
      <c r="AJ449" s="85"/>
      <c r="AK449" s="157"/>
      <c r="AL449" s="157"/>
      <c r="AM449" s="157"/>
      <c r="AN449" s="157"/>
      <c r="AO449" s="157"/>
      <c r="AP449" s="262"/>
      <c r="AQ449" s="262"/>
      <c r="AR449" s="262"/>
      <c r="AS449" s="262"/>
      <c r="AT449" s="262"/>
      <c r="AU449" s="262"/>
      <c r="AV449" s="262"/>
      <c r="AW449" s="262"/>
      <c r="AX449" s="262"/>
      <c r="AY449" s="262"/>
      <c r="AZ449" s="697"/>
      <c r="BA449" s="262"/>
      <c r="BB449" s="262"/>
      <c r="BC449" s="262"/>
      <c r="BD449" s="262"/>
      <c r="BE449" s="262"/>
      <c r="BF449" s="262"/>
      <c r="BG449" s="262"/>
      <c r="BH449" s="262"/>
      <c r="BI449" s="262"/>
      <c r="BJ449" s="697"/>
      <c r="BK449" s="262"/>
      <c r="BL449" s="697"/>
      <c r="BM449" s="262"/>
      <c r="BN449" s="697"/>
      <c r="BO449" s="262"/>
      <c r="BP449" s="697"/>
      <c r="BQ449" s="262"/>
      <c r="BR449" s="262"/>
      <c r="BS449" s="262"/>
      <c r="BT449" s="262"/>
      <c r="BU449" s="262"/>
      <c r="BV449" s="262"/>
      <c r="BW449" s="262"/>
      <c r="BX449" s="262"/>
      <c r="BY449" s="262"/>
      <c r="BZ449" s="262"/>
      <c r="CA449" s="262"/>
      <c r="CB449" s="262"/>
      <c r="CC449" s="262"/>
      <c r="CD449" s="262"/>
      <c r="CE449" s="262"/>
      <c r="CF449" s="262"/>
      <c r="CG449" s="717"/>
      <c r="CH449" s="262"/>
      <c r="CI449" s="262"/>
      <c r="CJ449" s="83" t="str">
        <f t="shared" si="113"/>
        <v>No aplica</v>
      </c>
      <c r="CK449" s="83" t="str">
        <f t="shared" si="112"/>
        <v>No aplica</v>
      </c>
      <c r="CL449" s="83" t="str">
        <f t="shared" si="107"/>
        <v>No requiere reporte</v>
      </c>
      <c r="CM449" s="89" t="str">
        <f t="shared" si="108"/>
        <v>No requiere reporte</v>
      </c>
      <c r="CN449" s="89" t="str">
        <f t="shared" si="109"/>
        <v>No requiere reporte</v>
      </c>
      <c r="CO449" s="145" t="s">
        <v>1368</v>
      </c>
      <c r="CP449" s="693" t="s">
        <v>3646</v>
      </c>
      <c r="CQ449" s="145" t="s">
        <v>3647</v>
      </c>
      <c r="CR449" s="693" t="s">
        <v>3648</v>
      </c>
      <c r="CS449" s="693" t="s">
        <v>3649</v>
      </c>
      <c r="CT449" s="145" t="s">
        <v>161</v>
      </c>
      <c r="CU449" s="145" t="s">
        <v>233</v>
      </c>
      <c r="CV449" s="291">
        <v>0</v>
      </c>
      <c r="CW449" s="145" t="s">
        <v>163</v>
      </c>
      <c r="CX449" s="695">
        <v>46023</v>
      </c>
      <c r="CY449" s="695">
        <v>46387</v>
      </c>
      <c r="CZ449" s="157">
        <v>0</v>
      </c>
      <c r="DA449" s="157">
        <v>0.25</v>
      </c>
      <c r="DB449" s="157">
        <v>0.25</v>
      </c>
      <c r="DC449" s="157">
        <v>0.25</v>
      </c>
      <c r="DD449" s="157">
        <v>0.75</v>
      </c>
      <c r="DE449" s="665" t="s">
        <v>2951</v>
      </c>
      <c r="DF449" s="665" t="s">
        <v>3294</v>
      </c>
      <c r="DG449" s="665" t="s">
        <v>3295</v>
      </c>
      <c r="DH449" s="696">
        <v>500000000</v>
      </c>
      <c r="DI449" s="717"/>
      <c r="DJ449" s="717"/>
      <c r="DK449" s="717"/>
      <c r="DL449" s="665" t="s">
        <v>279</v>
      </c>
      <c r="DM449" s="665" t="s">
        <v>3296</v>
      </c>
      <c r="DN449" s="666"/>
      <c r="DO449" s="716"/>
      <c r="DP449" s="665"/>
      <c r="DQ449" s="716"/>
      <c r="DR449" s="716"/>
      <c r="DS449" s="665"/>
      <c r="DT449" s="716"/>
      <c r="DU449" s="665"/>
      <c r="DV449" s="716"/>
      <c r="DW449" s="716"/>
      <c r="DX449" s="665"/>
      <c r="DY449" s="716"/>
      <c r="DZ449" s="665"/>
      <c r="EA449" s="716"/>
      <c r="EB449" s="716"/>
      <c r="EC449" s="665"/>
      <c r="ED449" s="665"/>
      <c r="EE449" s="665"/>
      <c r="EF449" s="665"/>
      <c r="EG449" s="665"/>
      <c r="EH449" s="666"/>
      <c r="EI449" s="170"/>
      <c r="EJ449" s="170"/>
      <c r="EK449" s="262"/>
      <c r="EL449" s="91" t="str">
        <f t="shared" si="110"/>
        <v>No aplica, no hay meta</v>
      </c>
      <c r="EM449" s="83" t="str">
        <f t="shared" si="111"/>
        <v>No se reportó avance</v>
      </c>
      <c r="EN449" s="697"/>
    </row>
    <row r="450" spans="1:144" ht="50.1" customHeight="1">
      <c r="A450" s="170" t="s">
        <v>4671</v>
      </c>
      <c r="B450" s="517" t="s">
        <v>3272</v>
      </c>
      <c r="C450" s="173" t="s">
        <v>3273</v>
      </c>
      <c r="D450" s="173" t="s">
        <v>3274</v>
      </c>
      <c r="E450" s="173" t="s">
        <v>3275</v>
      </c>
      <c r="F450" s="170" t="s">
        <v>280</v>
      </c>
      <c r="G450" s="94" t="s">
        <v>3629</v>
      </c>
      <c r="H450" s="94" t="s">
        <v>3630</v>
      </c>
      <c r="I450" s="170" t="s">
        <v>3277</v>
      </c>
      <c r="J450" s="170" t="s">
        <v>3277</v>
      </c>
      <c r="K450" s="170" t="s">
        <v>3278</v>
      </c>
      <c r="L450" s="262">
        <v>6</v>
      </c>
      <c r="M450" s="84" t="s">
        <v>3631</v>
      </c>
      <c r="N450" s="84" t="s">
        <v>3632</v>
      </c>
      <c r="O450" s="84" t="s">
        <v>3281</v>
      </c>
      <c r="P450" s="84" t="s">
        <v>1161</v>
      </c>
      <c r="Q450" s="170" t="s">
        <v>162</v>
      </c>
      <c r="R450" s="84">
        <v>0</v>
      </c>
      <c r="S450" s="84" t="s">
        <v>163</v>
      </c>
      <c r="T450" s="90">
        <v>45108</v>
      </c>
      <c r="U450" s="90">
        <v>46357</v>
      </c>
      <c r="V450" s="262"/>
      <c r="W450" s="262"/>
      <c r="X450" s="262"/>
      <c r="Y450" s="262"/>
      <c r="Z450" s="85"/>
      <c r="AA450" s="85"/>
      <c r="AB450" s="85"/>
      <c r="AC450" s="85"/>
      <c r="AD450" s="85"/>
      <c r="AE450" s="85"/>
      <c r="AF450" s="85"/>
      <c r="AG450" s="85"/>
      <c r="AH450" s="85"/>
      <c r="AI450" s="85"/>
      <c r="AJ450" s="85"/>
      <c r="AK450" s="157"/>
      <c r="AL450" s="157"/>
      <c r="AM450" s="157"/>
      <c r="AN450" s="157"/>
      <c r="AO450" s="157"/>
      <c r="AP450" s="262"/>
      <c r="AQ450" s="262"/>
      <c r="AR450" s="262"/>
      <c r="AS450" s="262"/>
      <c r="AT450" s="262"/>
      <c r="AU450" s="262"/>
      <c r="AV450" s="262"/>
      <c r="AW450" s="262"/>
      <c r="AX450" s="262"/>
      <c r="AY450" s="262"/>
      <c r="AZ450" s="697"/>
      <c r="BA450" s="262"/>
      <c r="BB450" s="262"/>
      <c r="BC450" s="262"/>
      <c r="BD450" s="262"/>
      <c r="BE450" s="262"/>
      <c r="BF450" s="262"/>
      <c r="BG450" s="262"/>
      <c r="BH450" s="262"/>
      <c r="BI450" s="262"/>
      <c r="BJ450" s="697"/>
      <c r="BK450" s="262"/>
      <c r="BL450" s="697"/>
      <c r="BM450" s="262"/>
      <c r="BN450" s="697"/>
      <c r="BO450" s="262"/>
      <c r="BP450" s="697"/>
      <c r="BQ450" s="262"/>
      <c r="BR450" s="262"/>
      <c r="BS450" s="262"/>
      <c r="BT450" s="262"/>
      <c r="BU450" s="262"/>
      <c r="BV450" s="262"/>
      <c r="BW450" s="262"/>
      <c r="BX450" s="262"/>
      <c r="BY450" s="262"/>
      <c r="BZ450" s="262"/>
      <c r="CA450" s="262"/>
      <c r="CB450" s="262"/>
      <c r="CC450" s="262"/>
      <c r="CD450" s="262"/>
      <c r="CE450" s="262"/>
      <c r="CF450" s="262"/>
      <c r="CG450" s="717"/>
      <c r="CH450" s="262"/>
      <c r="CI450" s="262"/>
      <c r="CJ450" s="83" t="str">
        <f t="shared" si="113"/>
        <v>No aplica</v>
      </c>
      <c r="CK450" s="83" t="str">
        <f t="shared" si="112"/>
        <v>No aplica</v>
      </c>
      <c r="CL450" s="83" t="str">
        <f t="shared" si="107"/>
        <v>No requiere reporte</v>
      </c>
      <c r="CM450" s="89" t="str">
        <f t="shared" si="108"/>
        <v>No requiere reporte</v>
      </c>
      <c r="CN450" s="89" t="str">
        <f t="shared" si="109"/>
        <v>No requiere reporte</v>
      </c>
      <c r="CO450" s="145" t="s">
        <v>1885</v>
      </c>
      <c r="CP450" s="734" t="s">
        <v>3650</v>
      </c>
      <c r="CQ450" s="693" t="s">
        <v>3651</v>
      </c>
      <c r="CR450" s="694" t="s">
        <v>3652</v>
      </c>
      <c r="CS450" s="694" t="s">
        <v>3653</v>
      </c>
      <c r="CT450" s="178" t="s">
        <v>953</v>
      </c>
      <c r="CU450" s="714" t="s">
        <v>162</v>
      </c>
      <c r="CV450" s="291">
        <v>0</v>
      </c>
      <c r="CW450" s="178" t="s">
        <v>163</v>
      </c>
      <c r="CX450" s="695">
        <v>46023</v>
      </c>
      <c r="CY450" s="695">
        <v>46387</v>
      </c>
      <c r="CZ450" s="146">
        <v>1</v>
      </c>
      <c r="DA450" s="146">
        <v>1</v>
      </c>
      <c r="DB450" s="146">
        <v>1</v>
      </c>
      <c r="DC450" s="146">
        <v>1</v>
      </c>
      <c r="DD450" s="146">
        <v>1</v>
      </c>
      <c r="DE450" s="665" t="s">
        <v>2951</v>
      </c>
      <c r="DF450" s="665" t="s">
        <v>3294</v>
      </c>
      <c r="DG450" s="665" t="s">
        <v>3295</v>
      </c>
      <c r="DH450" s="696">
        <v>0</v>
      </c>
      <c r="DI450" s="717"/>
      <c r="DJ450" s="717"/>
      <c r="DK450" s="717"/>
      <c r="DL450" s="665" t="s">
        <v>279</v>
      </c>
      <c r="DM450" s="665" t="s">
        <v>3296</v>
      </c>
      <c r="DN450" s="218"/>
      <c r="DO450" s="716"/>
      <c r="DP450" s="665"/>
      <c r="DQ450" s="716"/>
      <c r="DR450" s="716"/>
      <c r="DS450" s="218"/>
      <c r="DT450" s="716"/>
      <c r="DU450" s="665"/>
      <c r="DV450" s="716"/>
      <c r="DW450" s="716"/>
      <c r="DX450" s="218"/>
      <c r="DY450" s="716"/>
      <c r="DZ450" s="665"/>
      <c r="EA450" s="716"/>
      <c r="EB450" s="716"/>
      <c r="EC450" s="665"/>
      <c r="ED450" s="665"/>
      <c r="EE450" s="665"/>
      <c r="EF450" s="665"/>
      <c r="EG450" s="665"/>
      <c r="EH450" s="146"/>
      <c r="EI450" s="170"/>
      <c r="EJ450" s="170"/>
      <c r="EK450" s="262"/>
      <c r="EL450" s="91" t="str">
        <f t="shared" si="110"/>
        <v>No se reportó avance</v>
      </c>
      <c r="EM450" s="83" t="str">
        <f t="shared" si="111"/>
        <v>No se reportó avance</v>
      </c>
      <c r="EN450" s="697"/>
    </row>
    <row r="451" spans="1:144" ht="50.1" customHeight="1">
      <c r="A451" s="170" t="s">
        <v>4671</v>
      </c>
      <c r="B451" s="517" t="s">
        <v>3272</v>
      </c>
      <c r="C451" s="173" t="s">
        <v>3273</v>
      </c>
      <c r="D451" s="173" t="s">
        <v>3274</v>
      </c>
      <c r="E451" s="173" t="s">
        <v>3275</v>
      </c>
      <c r="F451" s="170" t="s">
        <v>280</v>
      </c>
      <c r="G451" s="94" t="s">
        <v>3629</v>
      </c>
      <c r="H451" s="94" t="s">
        <v>3630</v>
      </c>
      <c r="I451" s="170" t="s">
        <v>3277</v>
      </c>
      <c r="J451" s="170" t="s">
        <v>3277</v>
      </c>
      <c r="K451" s="170" t="s">
        <v>3278</v>
      </c>
      <c r="L451" s="262">
        <v>6</v>
      </c>
      <c r="M451" s="84" t="s">
        <v>3631</v>
      </c>
      <c r="N451" s="84" t="s">
        <v>3632</v>
      </c>
      <c r="O451" s="84" t="s">
        <v>3281</v>
      </c>
      <c r="P451" s="84" t="s">
        <v>1161</v>
      </c>
      <c r="Q451" s="170" t="s">
        <v>162</v>
      </c>
      <c r="R451" s="84">
        <v>0</v>
      </c>
      <c r="S451" s="84" t="s">
        <v>163</v>
      </c>
      <c r="T451" s="90">
        <v>45108</v>
      </c>
      <c r="U451" s="90">
        <v>46357</v>
      </c>
      <c r="V451" s="262"/>
      <c r="W451" s="262"/>
      <c r="X451" s="262"/>
      <c r="Y451" s="262"/>
      <c r="Z451" s="85"/>
      <c r="AA451" s="85"/>
      <c r="AB451" s="85"/>
      <c r="AC451" s="85"/>
      <c r="AD451" s="85"/>
      <c r="AE451" s="85"/>
      <c r="AF451" s="85"/>
      <c r="AG451" s="85"/>
      <c r="AH451" s="85"/>
      <c r="AI451" s="85"/>
      <c r="AJ451" s="85"/>
      <c r="AK451" s="157"/>
      <c r="AL451" s="157"/>
      <c r="AM451" s="157"/>
      <c r="AN451" s="157"/>
      <c r="AO451" s="157"/>
      <c r="AP451" s="262"/>
      <c r="AQ451" s="262"/>
      <c r="AR451" s="262"/>
      <c r="AS451" s="262"/>
      <c r="AT451" s="262"/>
      <c r="AU451" s="262"/>
      <c r="AV451" s="262"/>
      <c r="AW451" s="262"/>
      <c r="AX451" s="262"/>
      <c r="AY451" s="262"/>
      <c r="AZ451" s="697"/>
      <c r="BA451" s="262"/>
      <c r="BB451" s="262"/>
      <c r="BC451" s="262"/>
      <c r="BD451" s="262"/>
      <c r="BE451" s="262"/>
      <c r="BF451" s="262"/>
      <c r="BG451" s="262"/>
      <c r="BH451" s="262"/>
      <c r="BI451" s="262"/>
      <c r="BJ451" s="697"/>
      <c r="BK451" s="262"/>
      <c r="BL451" s="697"/>
      <c r="BM451" s="262"/>
      <c r="BN451" s="697"/>
      <c r="BO451" s="262"/>
      <c r="BP451" s="697"/>
      <c r="BQ451" s="262"/>
      <c r="BR451" s="262"/>
      <c r="BS451" s="262"/>
      <c r="BT451" s="262"/>
      <c r="BU451" s="262"/>
      <c r="BV451" s="262"/>
      <c r="BW451" s="262"/>
      <c r="BX451" s="262"/>
      <c r="BY451" s="262"/>
      <c r="BZ451" s="262"/>
      <c r="CA451" s="262"/>
      <c r="CB451" s="262"/>
      <c r="CC451" s="262"/>
      <c r="CD451" s="262"/>
      <c r="CE451" s="262"/>
      <c r="CF451" s="262"/>
      <c r="CG451" s="717"/>
      <c r="CH451" s="262"/>
      <c r="CI451" s="262"/>
      <c r="CJ451" s="83" t="str">
        <f t="shared" si="113"/>
        <v>No aplica</v>
      </c>
      <c r="CK451" s="83" t="str">
        <f t="shared" si="112"/>
        <v>No aplica</v>
      </c>
      <c r="CL451" s="83" t="str">
        <f t="shared" si="107"/>
        <v>No requiere reporte</v>
      </c>
      <c r="CM451" s="89" t="str">
        <f t="shared" si="108"/>
        <v>No requiere reporte</v>
      </c>
      <c r="CN451" s="89" t="str">
        <f t="shared" si="109"/>
        <v>No requiere reporte</v>
      </c>
      <c r="CO451" s="145" t="s">
        <v>1891</v>
      </c>
      <c r="CP451" s="734" t="s">
        <v>3654</v>
      </c>
      <c r="CQ451" s="145" t="s">
        <v>3655</v>
      </c>
      <c r="CR451" s="694" t="s">
        <v>3656</v>
      </c>
      <c r="CS451" s="694" t="s">
        <v>3657</v>
      </c>
      <c r="CT451" s="178" t="s">
        <v>953</v>
      </c>
      <c r="CU451" s="714" t="s">
        <v>162</v>
      </c>
      <c r="CV451" s="291">
        <v>0</v>
      </c>
      <c r="CW451" s="178" t="s">
        <v>163</v>
      </c>
      <c r="CX451" s="695">
        <v>46023</v>
      </c>
      <c r="CY451" s="695">
        <v>46387</v>
      </c>
      <c r="CZ451" s="146">
        <v>1</v>
      </c>
      <c r="DA451" s="146">
        <v>1</v>
      </c>
      <c r="DB451" s="146">
        <v>1</v>
      </c>
      <c r="DC451" s="146">
        <v>1</v>
      </c>
      <c r="DD451" s="146">
        <v>1</v>
      </c>
      <c r="DE451" s="665" t="s">
        <v>2951</v>
      </c>
      <c r="DF451" s="665" t="s">
        <v>3294</v>
      </c>
      <c r="DG451" s="665" t="s">
        <v>3295</v>
      </c>
      <c r="DH451" s="696">
        <v>0</v>
      </c>
      <c r="DI451" s="717"/>
      <c r="DJ451" s="717"/>
      <c r="DK451" s="717"/>
      <c r="DL451" s="665" t="s">
        <v>279</v>
      </c>
      <c r="DM451" s="665" t="s">
        <v>3296</v>
      </c>
      <c r="DN451" s="218"/>
      <c r="DO451" s="716"/>
      <c r="DP451" s="665"/>
      <c r="DQ451" s="716"/>
      <c r="DR451" s="716"/>
      <c r="DS451" s="218"/>
      <c r="DT451" s="716"/>
      <c r="DU451" s="665"/>
      <c r="DV451" s="716"/>
      <c r="DW451" s="716"/>
      <c r="DX451" s="218"/>
      <c r="DY451" s="716"/>
      <c r="DZ451" s="665"/>
      <c r="EA451" s="716"/>
      <c r="EB451" s="716"/>
      <c r="EC451" s="665"/>
      <c r="ED451" s="665"/>
      <c r="EE451" s="665"/>
      <c r="EF451" s="665"/>
      <c r="EG451" s="665"/>
      <c r="EH451" s="146"/>
      <c r="EI451" s="170"/>
      <c r="EJ451" s="170"/>
      <c r="EK451" s="262"/>
      <c r="EL451" s="91" t="str">
        <f t="shared" si="110"/>
        <v>No se reportó avance</v>
      </c>
      <c r="EM451" s="83" t="str">
        <f t="shared" si="111"/>
        <v>No se reportó avance</v>
      </c>
      <c r="EN451" s="697"/>
    </row>
    <row r="452" spans="1:144" ht="50.1" customHeight="1">
      <c r="A452" s="170" t="s">
        <v>4671</v>
      </c>
      <c r="B452" s="517" t="s">
        <v>3272</v>
      </c>
      <c r="C452" s="173" t="s">
        <v>3273</v>
      </c>
      <c r="D452" s="173" t="s">
        <v>3274</v>
      </c>
      <c r="E452" s="173" t="s">
        <v>3275</v>
      </c>
      <c r="F452" s="170" t="s">
        <v>280</v>
      </c>
      <c r="G452" s="94" t="s">
        <v>3629</v>
      </c>
      <c r="H452" s="94" t="s">
        <v>3630</v>
      </c>
      <c r="I452" s="170" t="s">
        <v>3277</v>
      </c>
      <c r="J452" s="170" t="s">
        <v>3277</v>
      </c>
      <c r="K452" s="170" t="s">
        <v>3278</v>
      </c>
      <c r="L452" s="262">
        <v>6</v>
      </c>
      <c r="M452" s="84" t="s">
        <v>3631</v>
      </c>
      <c r="N452" s="84" t="s">
        <v>3632</v>
      </c>
      <c r="O452" s="84" t="s">
        <v>3281</v>
      </c>
      <c r="P452" s="84" t="s">
        <v>1161</v>
      </c>
      <c r="Q452" s="170" t="s">
        <v>162</v>
      </c>
      <c r="R452" s="84">
        <v>0</v>
      </c>
      <c r="S452" s="84" t="s">
        <v>163</v>
      </c>
      <c r="T452" s="90">
        <v>45108</v>
      </c>
      <c r="U452" s="90">
        <v>46357</v>
      </c>
      <c r="V452" s="262"/>
      <c r="W452" s="262"/>
      <c r="X452" s="262"/>
      <c r="Y452" s="262"/>
      <c r="Z452" s="85"/>
      <c r="AA452" s="85"/>
      <c r="AB452" s="85"/>
      <c r="AC452" s="85"/>
      <c r="AD452" s="85"/>
      <c r="AE452" s="85"/>
      <c r="AF452" s="85"/>
      <c r="AG452" s="85"/>
      <c r="AH452" s="85"/>
      <c r="AI452" s="85"/>
      <c r="AJ452" s="85"/>
      <c r="AK452" s="157"/>
      <c r="AL452" s="157"/>
      <c r="AM452" s="157"/>
      <c r="AN452" s="157"/>
      <c r="AO452" s="157"/>
      <c r="AP452" s="262"/>
      <c r="AQ452" s="262"/>
      <c r="AR452" s="262"/>
      <c r="AS452" s="262"/>
      <c r="AT452" s="262"/>
      <c r="AU452" s="262"/>
      <c r="AV452" s="262"/>
      <c r="AW452" s="262"/>
      <c r="AX452" s="262"/>
      <c r="AY452" s="262"/>
      <c r="AZ452" s="697"/>
      <c r="BA452" s="262"/>
      <c r="BB452" s="262"/>
      <c r="BC452" s="262"/>
      <c r="BD452" s="262"/>
      <c r="BE452" s="262"/>
      <c r="BF452" s="262"/>
      <c r="BG452" s="262"/>
      <c r="BH452" s="262"/>
      <c r="BI452" s="262"/>
      <c r="BJ452" s="697"/>
      <c r="BK452" s="262"/>
      <c r="BL452" s="697"/>
      <c r="BM452" s="262"/>
      <c r="BN452" s="697"/>
      <c r="BO452" s="262"/>
      <c r="BP452" s="697"/>
      <c r="BQ452" s="262"/>
      <c r="BR452" s="262"/>
      <c r="BS452" s="262"/>
      <c r="BT452" s="262"/>
      <c r="BU452" s="262"/>
      <c r="BV452" s="262"/>
      <c r="BW452" s="262"/>
      <c r="BX452" s="262"/>
      <c r="BY452" s="262"/>
      <c r="BZ452" s="262"/>
      <c r="CA452" s="262"/>
      <c r="CB452" s="262"/>
      <c r="CC452" s="262"/>
      <c r="CD452" s="262"/>
      <c r="CE452" s="262"/>
      <c r="CF452" s="262"/>
      <c r="CG452" s="717"/>
      <c r="CH452" s="262"/>
      <c r="CI452" s="262"/>
      <c r="CJ452" s="83" t="str">
        <f t="shared" si="113"/>
        <v>No aplica</v>
      </c>
      <c r="CK452" s="83" t="str">
        <f t="shared" si="112"/>
        <v>No aplica</v>
      </c>
      <c r="CL452" s="83" t="str">
        <f t="shared" si="107"/>
        <v>No requiere reporte</v>
      </c>
      <c r="CM452" s="89" t="str">
        <f t="shared" si="108"/>
        <v>No requiere reporte</v>
      </c>
      <c r="CN452" s="89" t="str">
        <f t="shared" si="109"/>
        <v>No requiere reporte</v>
      </c>
      <c r="CO452" s="145" t="s">
        <v>1895</v>
      </c>
      <c r="CP452" s="734" t="s">
        <v>3658</v>
      </c>
      <c r="CQ452" s="145" t="s">
        <v>3659</v>
      </c>
      <c r="CR452" s="694" t="s">
        <v>3660</v>
      </c>
      <c r="CS452" s="694" t="s">
        <v>3661</v>
      </c>
      <c r="CT452" s="178" t="s">
        <v>953</v>
      </c>
      <c r="CU452" s="714" t="s">
        <v>162</v>
      </c>
      <c r="CV452" s="291">
        <v>0</v>
      </c>
      <c r="CW452" s="178" t="s">
        <v>163</v>
      </c>
      <c r="CX452" s="695">
        <v>46023</v>
      </c>
      <c r="CY452" s="695">
        <v>46387</v>
      </c>
      <c r="CZ452" s="146">
        <v>1</v>
      </c>
      <c r="DA452" s="146">
        <v>1</v>
      </c>
      <c r="DB452" s="146">
        <v>1</v>
      </c>
      <c r="DC452" s="146">
        <v>1</v>
      </c>
      <c r="DD452" s="146">
        <v>1</v>
      </c>
      <c r="DE452" s="665" t="s">
        <v>2951</v>
      </c>
      <c r="DF452" s="665" t="s">
        <v>3294</v>
      </c>
      <c r="DG452" s="665" t="s">
        <v>3295</v>
      </c>
      <c r="DH452" s="696">
        <v>0</v>
      </c>
      <c r="DI452" s="717"/>
      <c r="DJ452" s="717"/>
      <c r="DK452" s="717"/>
      <c r="DL452" s="665" t="s">
        <v>279</v>
      </c>
      <c r="DM452" s="665" t="s">
        <v>3296</v>
      </c>
      <c r="DN452" s="218"/>
      <c r="DO452" s="716"/>
      <c r="DP452" s="665"/>
      <c r="DQ452" s="716"/>
      <c r="DR452" s="716"/>
      <c r="DS452" s="218"/>
      <c r="DT452" s="716"/>
      <c r="DU452" s="665"/>
      <c r="DV452" s="716"/>
      <c r="DW452" s="716"/>
      <c r="DX452" s="218"/>
      <c r="DY452" s="716"/>
      <c r="DZ452" s="665"/>
      <c r="EA452" s="716"/>
      <c r="EB452" s="716"/>
      <c r="EC452" s="665"/>
      <c r="ED452" s="665"/>
      <c r="EE452" s="665"/>
      <c r="EF452" s="665"/>
      <c r="EG452" s="665"/>
      <c r="EH452" s="146"/>
      <c r="EI452" s="170"/>
      <c r="EJ452" s="170"/>
      <c r="EK452" s="262"/>
      <c r="EL452" s="91" t="str">
        <f t="shared" si="110"/>
        <v>No se reportó avance</v>
      </c>
      <c r="EM452" s="83" t="str">
        <f t="shared" si="111"/>
        <v>No se reportó avance</v>
      </c>
      <c r="EN452" s="697"/>
    </row>
    <row r="453" spans="1:144" ht="50.1" customHeight="1">
      <c r="A453" s="170" t="s">
        <v>4671</v>
      </c>
      <c r="B453" s="517" t="s">
        <v>3272</v>
      </c>
      <c r="C453" s="173" t="s">
        <v>3273</v>
      </c>
      <c r="D453" s="173" t="s">
        <v>3274</v>
      </c>
      <c r="E453" s="173" t="s">
        <v>3275</v>
      </c>
      <c r="F453" s="170" t="s">
        <v>280</v>
      </c>
      <c r="G453" s="94" t="s">
        <v>3629</v>
      </c>
      <c r="H453" s="94" t="s">
        <v>3630</v>
      </c>
      <c r="I453" s="170" t="s">
        <v>3277</v>
      </c>
      <c r="J453" s="170" t="s">
        <v>3277</v>
      </c>
      <c r="K453" s="170" t="s">
        <v>3278</v>
      </c>
      <c r="L453" s="262">
        <v>6</v>
      </c>
      <c r="M453" s="84" t="s">
        <v>3631</v>
      </c>
      <c r="N453" s="84" t="s">
        <v>3632</v>
      </c>
      <c r="O453" s="84" t="s">
        <v>3281</v>
      </c>
      <c r="P453" s="84" t="s">
        <v>1161</v>
      </c>
      <c r="Q453" s="170" t="s">
        <v>162</v>
      </c>
      <c r="R453" s="84">
        <v>0</v>
      </c>
      <c r="S453" s="84" t="s">
        <v>163</v>
      </c>
      <c r="T453" s="90">
        <v>45108</v>
      </c>
      <c r="U453" s="90">
        <v>46357</v>
      </c>
      <c r="V453" s="262"/>
      <c r="W453" s="262"/>
      <c r="X453" s="262"/>
      <c r="Y453" s="262"/>
      <c r="Z453" s="85"/>
      <c r="AA453" s="85"/>
      <c r="AB453" s="85"/>
      <c r="AC453" s="85"/>
      <c r="AD453" s="85"/>
      <c r="AE453" s="85"/>
      <c r="AF453" s="85"/>
      <c r="AG453" s="85"/>
      <c r="AH453" s="85"/>
      <c r="AI453" s="85"/>
      <c r="AJ453" s="85"/>
      <c r="AK453" s="157"/>
      <c r="AL453" s="157"/>
      <c r="AM453" s="157"/>
      <c r="AN453" s="157"/>
      <c r="AO453" s="157"/>
      <c r="AP453" s="262"/>
      <c r="AQ453" s="262"/>
      <c r="AR453" s="262"/>
      <c r="AS453" s="262"/>
      <c r="AT453" s="262"/>
      <c r="AU453" s="262"/>
      <c r="AV453" s="262"/>
      <c r="AW453" s="262"/>
      <c r="AX453" s="262"/>
      <c r="AY453" s="262"/>
      <c r="AZ453" s="697"/>
      <c r="BA453" s="262"/>
      <c r="BB453" s="262"/>
      <c r="BC453" s="262"/>
      <c r="BD453" s="262"/>
      <c r="BE453" s="262"/>
      <c r="BF453" s="262"/>
      <c r="BG453" s="262"/>
      <c r="BH453" s="262"/>
      <c r="BI453" s="262"/>
      <c r="BJ453" s="697"/>
      <c r="BK453" s="262"/>
      <c r="BL453" s="697"/>
      <c r="BM453" s="262"/>
      <c r="BN453" s="697"/>
      <c r="BO453" s="262"/>
      <c r="BP453" s="697"/>
      <c r="BQ453" s="262"/>
      <c r="BR453" s="262"/>
      <c r="BS453" s="262"/>
      <c r="BT453" s="262"/>
      <c r="BU453" s="262"/>
      <c r="BV453" s="262"/>
      <c r="BW453" s="262"/>
      <c r="BX453" s="262"/>
      <c r="BY453" s="262"/>
      <c r="BZ453" s="262"/>
      <c r="CA453" s="262"/>
      <c r="CB453" s="262"/>
      <c r="CC453" s="262"/>
      <c r="CD453" s="262"/>
      <c r="CE453" s="262"/>
      <c r="CF453" s="262"/>
      <c r="CG453" s="717"/>
      <c r="CH453" s="262"/>
      <c r="CI453" s="262"/>
      <c r="CJ453" s="83" t="str">
        <f t="shared" si="113"/>
        <v>No aplica</v>
      </c>
      <c r="CK453" s="83" t="str">
        <f t="shared" si="112"/>
        <v>No aplica</v>
      </c>
      <c r="CL453" s="83" t="str">
        <f t="shared" si="107"/>
        <v>No requiere reporte</v>
      </c>
      <c r="CM453" s="89" t="str">
        <f t="shared" si="108"/>
        <v>No requiere reporte</v>
      </c>
      <c r="CN453" s="89" t="str">
        <f t="shared" si="109"/>
        <v>No requiere reporte</v>
      </c>
      <c r="CO453" s="145" t="s">
        <v>1901</v>
      </c>
      <c r="CP453" s="734" t="s">
        <v>3662</v>
      </c>
      <c r="CQ453" s="693" t="s">
        <v>3663</v>
      </c>
      <c r="CR453" s="694" t="s">
        <v>3664</v>
      </c>
      <c r="CS453" s="694" t="s">
        <v>3665</v>
      </c>
      <c r="CT453" s="178" t="s">
        <v>953</v>
      </c>
      <c r="CU453" s="714" t="s">
        <v>162</v>
      </c>
      <c r="CV453" s="291">
        <v>0</v>
      </c>
      <c r="CW453" s="178" t="s">
        <v>163</v>
      </c>
      <c r="CX453" s="695">
        <v>46023</v>
      </c>
      <c r="CY453" s="695">
        <v>46387</v>
      </c>
      <c r="CZ453" s="146">
        <v>1</v>
      </c>
      <c r="DA453" s="146">
        <v>1</v>
      </c>
      <c r="DB453" s="146">
        <v>1</v>
      </c>
      <c r="DC453" s="146">
        <v>1</v>
      </c>
      <c r="DD453" s="146">
        <v>1</v>
      </c>
      <c r="DE453" s="665" t="s">
        <v>2951</v>
      </c>
      <c r="DF453" s="665" t="s">
        <v>3294</v>
      </c>
      <c r="DG453" s="665" t="s">
        <v>3295</v>
      </c>
      <c r="DH453" s="696">
        <v>0</v>
      </c>
      <c r="DI453" s="717"/>
      <c r="DJ453" s="717"/>
      <c r="DK453" s="717"/>
      <c r="DL453" s="665" t="s">
        <v>279</v>
      </c>
      <c r="DM453" s="665" t="s">
        <v>3296</v>
      </c>
      <c r="DN453" s="218"/>
      <c r="DO453" s="716"/>
      <c r="DP453" s="665"/>
      <c r="DQ453" s="716"/>
      <c r="DR453" s="716"/>
      <c r="DS453" s="218"/>
      <c r="DT453" s="716"/>
      <c r="DU453" s="665"/>
      <c r="DV453" s="716"/>
      <c r="DW453" s="716"/>
      <c r="DX453" s="218"/>
      <c r="DY453" s="716"/>
      <c r="DZ453" s="665"/>
      <c r="EA453" s="716"/>
      <c r="EB453" s="716"/>
      <c r="EC453" s="665"/>
      <c r="ED453" s="665"/>
      <c r="EE453" s="665"/>
      <c r="EF453" s="665"/>
      <c r="EG453" s="665"/>
      <c r="EH453" s="146"/>
      <c r="EI453" s="170"/>
      <c r="EJ453" s="170"/>
      <c r="EK453" s="262"/>
      <c r="EL453" s="91" t="str">
        <f t="shared" si="110"/>
        <v>No se reportó avance</v>
      </c>
      <c r="EM453" s="83" t="str">
        <f t="shared" si="111"/>
        <v>No se reportó avance</v>
      </c>
      <c r="EN453" s="697"/>
    </row>
    <row r="454" spans="1:144" ht="50.1" customHeight="1">
      <c r="A454" s="203" t="s">
        <v>4671</v>
      </c>
      <c r="B454" s="505" t="s">
        <v>3272</v>
      </c>
      <c r="C454" s="202" t="s">
        <v>3273</v>
      </c>
      <c r="D454" s="202" t="s">
        <v>3274</v>
      </c>
      <c r="E454" s="202" t="s">
        <v>3275</v>
      </c>
      <c r="F454" s="203" t="s">
        <v>280</v>
      </c>
      <c r="G454" s="98"/>
      <c r="H454" s="99" t="s">
        <v>3666</v>
      </c>
      <c r="I454" s="203" t="s">
        <v>3277</v>
      </c>
      <c r="J454" s="203" t="s">
        <v>3277</v>
      </c>
      <c r="K454" s="203" t="s">
        <v>3278</v>
      </c>
      <c r="L454" s="260">
        <v>7</v>
      </c>
      <c r="M454" s="78" t="s">
        <v>3667</v>
      </c>
      <c r="N454" s="78" t="s">
        <v>3668</v>
      </c>
      <c r="O454" s="78" t="s">
        <v>3669</v>
      </c>
      <c r="P454" s="78" t="s">
        <v>1161</v>
      </c>
      <c r="Q454" s="255" t="s">
        <v>162</v>
      </c>
      <c r="R454" s="638">
        <v>0</v>
      </c>
      <c r="S454" s="78" t="s">
        <v>163</v>
      </c>
      <c r="T454" s="80">
        <v>45108</v>
      </c>
      <c r="U454" s="80">
        <v>46357</v>
      </c>
      <c r="V454" s="531"/>
      <c r="W454" s="531"/>
      <c r="X454" s="531"/>
      <c r="Y454" s="531"/>
      <c r="Z454" s="79">
        <v>1</v>
      </c>
      <c r="AA454" s="75">
        <v>1</v>
      </c>
      <c r="AB454" s="75">
        <v>1</v>
      </c>
      <c r="AC454" s="75">
        <v>1</v>
      </c>
      <c r="AD454" s="75">
        <v>1</v>
      </c>
      <c r="AE454" s="79">
        <v>1</v>
      </c>
      <c r="AF454" s="79">
        <v>1</v>
      </c>
      <c r="AG454" s="79">
        <v>1</v>
      </c>
      <c r="AH454" s="79">
        <v>1</v>
      </c>
      <c r="AI454" s="79">
        <v>1</v>
      </c>
      <c r="AJ454" s="79">
        <v>1</v>
      </c>
      <c r="AK454" s="142">
        <v>1</v>
      </c>
      <c r="AL454" s="142">
        <v>1</v>
      </c>
      <c r="AM454" s="142">
        <v>1</v>
      </c>
      <c r="AN454" s="142">
        <v>1</v>
      </c>
      <c r="AO454" s="142">
        <v>1</v>
      </c>
      <c r="AP454" s="79">
        <v>1</v>
      </c>
      <c r="AQ454" s="262"/>
      <c r="AR454" s="262"/>
      <c r="AS454" s="262"/>
      <c r="AT454" s="262"/>
      <c r="AU454" s="262"/>
      <c r="AV454" s="262"/>
      <c r="AW454" s="262"/>
      <c r="AX454" s="262"/>
      <c r="AY454" s="173">
        <v>0.2</v>
      </c>
      <c r="AZ454" s="692" t="s">
        <v>3670</v>
      </c>
      <c r="BA454" s="173">
        <f>3/3</f>
        <v>1</v>
      </c>
      <c r="BB454" s="170" t="s">
        <v>3671</v>
      </c>
      <c r="BC454" s="173">
        <v>0</v>
      </c>
      <c r="BD454" s="170" t="s">
        <v>3672</v>
      </c>
      <c r="BE454" s="173">
        <v>0</v>
      </c>
      <c r="BF454" s="170" t="s">
        <v>3568</v>
      </c>
      <c r="BG454" s="173">
        <v>0</v>
      </c>
      <c r="BH454" s="170" t="s">
        <v>3286</v>
      </c>
      <c r="BI454" s="173">
        <f>+(BA454+BC454+BE454+BG454)/4</f>
        <v>0.25</v>
      </c>
      <c r="BJ454" s="697"/>
      <c r="BK454" s="173">
        <v>0</v>
      </c>
      <c r="BL454" s="692" t="s">
        <v>3287</v>
      </c>
      <c r="BM454" s="173">
        <v>0</v>
      </c>
      <c r="BN454" s="692" t="s">
        <v>3287</v>
      </c>
      <c r="BO454" s="173">
        <v>1</v>
      </c>
      <c r="BP454" s="692" t="s">
        <v>3673</v>
      </c>
      <c r="BQ454" s="262"/>
      <c r="BR454" s="262"/>
      <c r="BS454" s="83"/>
      <c r="BT454" s="262"/>
      <c r="BU454" s="262"/>
      <c r="BV454" s="262"/>
      <c r="BW454" s="262"/>
      <c r="BX454" s="262"/>
      <c r="BY454" s="262"/>
      <c r="BZ454" s="262"/>
      <c r="CA454" s="262"/>
      <c r="CB454" s="262"/>
      <c r="CC454" s="262"/>
      <c r="CD454" s="262"/>
      <c r="CE454" s="146"/>
      <c r="CF454" s="262"/>
      <c r="CG454" s="713">
        <f>+DH454</f>
        <v>0</v>
      </c>
      <c r="CH454" s="515"/>
      <c r="CI454" s="515"/>
      <c r="CJ454" s="83" t="str">
        <f t="shared" si="113"/>
        <v>No aplica</v>
      </c>
      <c r="CK454" s="83" t="str">
        <f t="shared" si="112"/>
        <v>No aplica</v>
      </c>
      <c r="CL454" s="83" t="str">
        <f t="shared" si="107"/>
        <v>No se reportó avance</v>
      </c>
      <c r="CM454" s="89" t="str">
        <f t="shared" si="108"/>
        <v>No se reportó avance</v>
      </c>
      <c r="CN454" s="89" t="str">
        <f t="shared" si="109"/>
        <v>No se reportó avance</v>
      </c>
      <c r="CO454" s="145" t="s">
        <v>1384</v>
      </c>
      <c r="CP454" s="677" t="s">
        <v>3674</v>
      </c>
      <c r="CQ454" s="145" t="s">
        <v>3675</v>
      </c>
      <c r="CR454" s="677" t="s">
        <v>3676</v>
      </c>
      <c r="CS454" s="693" t="s">
        <v>3677</v>
      </c>
      <c r="CT454" s="145" t="s">
        <v>200</v>
      </c>
      <c r="CU454" s="714" t="s">
        <v>162</v>
      </c>
      <c r="CV454" s="291">
        <v>0</v>
      </c>
      <c r="CW454" s="145" t="s">
        <v>163</v>
      </c>
      <c r="CX454" s="695">
        <v>46023</v>
      </c>
      <c r="CY454" s="695">
        <v>46387</v>
      </c>
      <c r="CZ454" s="689">
        <v>0</v>
      </c>
      <c r="DA454" s="146">
        <v>1</v>
      </c>
      <c r="DB454" s="146">
        <v>1</v>
      </c>
      <c r="DC454" s="146">
        <v>1</v>
      </c>
      <c r="DD454" s="146">
        <v>1</v>
      </c>
      <c r="DE454" s="665" t="s">
        <v>396</v>
      </c>
      <c r="DF454" s="665" t="s">
        <v>3337</v>
      </c>
      <c r="DG454" s="665" t="s">
        <v>3338</v>
      </c>
      <c r="DH454" s="696">
        <v>0</v>
      </c>
      <c r="DI454" s="717"/>
      <c r="DJ454" s="717"/>
      <c r="DK454" s="717"/>
      <c r="DL454" s="665" t="s">
        <v>279</v>
      </c>
      <c r="DM454" s="665" t="s">
        <v>3296</v>
      </c>
      <c r="DN454" s="218"/>
      <c r="DO454" s="716"/>
      <c r="DP454" s="665"/>
      <c r="DQ454" s="716"/>
      <c r="DR454" s="716"/>
      <c r="DS454" s="218"/>
      <c r="DT454" s="716"/>
      <c r="DU454" s="665"/>
      <c r="DV454" s="716"/>
      <c r="DW454" s="716"/>
      <c r="DX454" s="218"/>
      <c r="DY454" s="716"/>
      <c r="DZ454" s="665"/>
      <c r="EA454" s="716"/>
      <c r="EB454" s="716"/>
      <c r="EC454" s="665"/>
      <c r="ED454" s="665"/>
      <c r="EE454" s="665"/>
      <c r="EF454" s="665"/>
      <c r="EG454" s="665"/>
      <c r="EH454" s="666"/>
      <c r="EI454" s="170"/>
      <c r="EJ454" s="170"/>
      <c r="EK454" s="262"/>
      <c r="EL454" s="91" t="str">
        <f t="shared" si="110"/>
        <v>No aplica, no hay meta</v>
      </c>
      <c r="EM454" s="83" t="str">
        <f t="shared" si="111"/>
        <v>No se reportó avance</v>
      </c>
      <c r="EN454" s="697"/>
    </row>
    <row r="455" spans="1:144" ht="50.1" customHeight="1">
      <c r="A455" s="203" t="s">
        <v>4671</v>
      </c>
      <c r="B455" s="505" t="s">
        <v>3272</v>
      </c>
      <c r="C455" s="202" t="s">
        <v>3273</v>
      </c>
      <c r="D455" s="202" t="s">
        <v>3274</v>
      </c>
      <c r="E455" s="202" t="s">
        <v>3275</v>
      </c>
      <c r="F455" s="203" t="s">
        <v>280</v>
      </c>
      <c r="G455" s="98"/>
      <c r="H455" s="74" t="s">
        <v>3678</v>
      </c>
      <c r="I455" s="203" t="s">
        <v>3277</v>
      </c>
      <c r="J455" s="203" t="s">
        <v>3277</v>
      </c>
      <c r="K455" s="203" t="s">
        <v>3278</v>
      </c>
      <c r="L455" s="260">
        <v>8</v>
      </c>
      <c r="M455" s="78" t="s">
        <v>3679</v>
      </c>
      <c r="N455" s="78" t="s">
        <v>3680</v>
      </c>
      <c r="O455" s="78" t="s">
        <v>3681</v>
      </c>
      <c r="P455" s="78" t="s">
        <v>1161</v>
      </c>
      <c r="Q455" s="255" t="s">
        <v>162</v>
      </c>
      <c r="R455" s="638">
        <v>0</v>
      </c>
      <c r="S455" s="78" t="s">
        <v>163</v>
      </c>
      <c r="T455" s="80">
        <v>44927</v>
      </c>
      <c r="U455" s="80">
        <v>46357</v>
      </c>
      <c r="V455" s="531"/>
      <c r="W455" s="531"/>
      <c r="X455" s="531"/>
      <c r="Y455" s="531"/>
      <c r="Z455" s="79">
        <v>1</v>
      </c>
      <c r="AA455" s="75">
        <v>1</v>
      </c>
      <c r="AB455" s="75">
        <v>1</v>
      </c>
      <c r="AC455" s="75">
        <v>1</v>
      </c>
      <c r="AD455" s="75">
        <v>1</v>
      </c>
      <c r="AE455" s="79">
        <v>1</v>
      </c>
      <c r="AF455" s="79">
        <v>1</v>
      </c>
      <c r="AG455" s="79">
        <v>1</v>
      </c>
      <c r="AH455" s="79">
        <v>1</v>
      </c>
      <c r="AI455" s="79">
        <v>1</v>
      </c>
      <c r="AJ455" s="79">
        <v>1</v>
      </c>
      <c r="AK455" s="142">
        <v>1</v>
      </c>
      <c r="AL455" s="142">
        <v>1</v>
      </c>
      <c r="AM455" s="142">
        <v>1</v>
      </c>
      <c r="AN455" s="142">
        <v>1</v>
      </c>
      <c r="AO455" s="142">
        <v>1</v>
      </c>
      <c r="AP455" s="79">
        <v>1</v>
      </c>
      <c r="AQ455" s="262"/>
      <c r="AR455" s="262"/>
      <c r="AS455" s="262"/>
      <c r="AT455" s="262"/>
      <c r="AU455" s="262"/>
      <c r="AV455" s="262"/>
      <c r="AW455" s="262"/>
      <c r="AX455" s="262"/>
      <c r="AY455" s="173">
        <v>1</v>
      </c>
      <c r="AZ455" s="692" t="s">
        <v>3282</v>
      </c>
      <c r="BA455" s="173">
        <f>20/20</f>
        <v>1</v>
      </c>
      <c r="BB455" s="170" t="s">
        <v>3682</v>
      </c>
      <c r="BC455" s="173">
        <f>2/2</f>
        <v>1</v>
      </c>
      <c r="BD455" s="170" t="s">
        <v>3683</v>
      </c>
      <c r="BE455" s="173">
        <f>2/2</f>
        <v>1</v>
      </c>
      <c r="BF455" s="170" t="s">
        <v>3684</v>
      </c>
      <c r="BG455" s="173">
        <v>0</v>
      </c>
      <c r="BH455" s="170" t="s">
        <v>3286</v>
      </c>
      <c r="BI455" s="173">
        <f>+(BA455+BC455+BE455+BG455)/4</f>
        <v>0.75</v>
      </c>
      <c r="BJ455" s="692"/>
      <c r="BK455" s="173">
        <v>0</v>
      </c>
      <c r="BL455" s="692" t="s">
        <v>3287</v>
      </c>
      <c r="BM455" s="173">
        <v>0</v>
      </c>
      <c r="BN455" s="692" t="s">
        <v>3287</v>
      </c>
      <c r="BO455" s="173">
        <v>0</v>
      </c>
      <c r="BP455" s="692" t="s">
        <v>3287</v>
      </c>
      <c r="BQ455" s="262"/>
      <c r="BR455" s="262"/>
      <c r="BS455" s="83"/>
      <c r="BT455" s="262"/>
      <c r="BU455" s="262"/>
      <c r="BV455" s="262"/>
      <c r="BW455" s="262"/>
      <c r="BX455" s="262"/>
      <c r="BY455" s="262"/>
      <c r="BZ455" s="262"/>
      <c r="CA455" s="262"/>
      <c r="CB455" s="262"/>
      <c r="CC455" s="262"/>
      <c r="CD455" s="262"/>
      <c r="CE455" s="146"/>
      <c r="CF455" s="262"/>
      <c r="CG455" s="713">
        <f>SUBTOTAL(9,DH455:DH456)</f>
        <v>4000000000</v>
      </c>
      <c r="CH455" s="515"/>
      <c r="CI455" s="515"/>
      <c r="CJ455" s="83">
        <f t="shared" si="113"/>
        <v>0</v>
      </c>
      <c r="CK455" s="83">
        <f t="shared" si="112"/>
        <v>0</v>
      </c>
      <c r="CL455" s="83" t="str">
        <f t="shared" si="107"/>
        <v>No se reportó avance</v>
      </c>
      <c r="CM455" s="89" t="str">
        <f t="shared" si="108"/>
        <v>No se reportó avance</v>
      </c>
      <c r="CN455" s="89" t="str">
        <f t="shared" si="109"/>
        <v>No se reportó avance</v>
      </c>
      <c r="CO455" s="735" t="s">
        <v>2742</v>
      </c>
      <c r="CP455" s="677" t="s">
        <v>3685</v>
      </c>
      <c r="CQ455" s="145" t="s">
        <v>3686</v>
      </c>
      <c r="CR455" s="677" t="s">
        <v>3687</v>
      </c>
      <c r="CS455" s="677" t="s">
        <v>3688</v>
      </c>
      <c r="CT455" s="145" t="s">
        <v>200</v>
      </c>
      <c r="CU455" s="714" t="s">
        <v>162</v>
      </c>
      <c r="CV455" s="291">
        <v>0</v>
      </c>
      <c r="CW455" s="145" t="s">
        <v>163</v>
      </c>
      <c r="CX455" s="695">
        <v>46023</v>
      </c>
      <c r="CY455" s="695">
        <v>46387</v>
      </c>
      <c r="CZ455" s="146">
        <v>1</v>
      </c>
      <c r="DA455" s="146">
        <v>1</v>
      </c>
      <c r="DB455" s="146">
        <v>1</v>
      </c>
      <c r="DC455" s="146">
        <v>1</v>
      </c>
      <c r="DD455" s="146">
        <v>1</v>
      </c>
      <c r="DE455" s="665" t="s">
        <v>2951</v>
      </c>
      <c r="DF455" s="665" t="s">
        <v>3294</v>
      </c>
      <c r="DG455" s="665" t="s">
        <v>3295</v>
      </c>
      <c r="DH455" s="696">
        <v>2000000000</v>
      </c>
      <c r="DI455" s="717"/>
      <c r="DJ455" s="717"/>
      <c r="DK455" s="717"/>
      <c r="DL455" s="665" t="s">
        <v>279</v>
      </c>
      <c r="DM455" s="665" t="s">
        <v>3296</v>
      </c>
      <c r="DN455" s="218"/>
      <c r="DO455" s="716"/>
      <c r="DP455" s="665"/>
      <c r="DQ455" s="716"/>
      <c r="DR455" s="716"/>
      <c r="DS455" s="218"/>
      <c r="DT455" s="716"/>
      <c r="DU455" s="665"/>
      <c r="DV455" s="716"/>
      <c r="DW455" s="716"/>
      <c r="DX455" s="218"/>
      <c r="DY455" s="716"/>
      <c r="DZ455" s="665"/>
      <c r="EA455" s="716"/>
      <c r="EB455" s="716"/>
      <c r="EC455" s="665"/>
      <c r="ED455" s="665"/>
      <c r="EE455" s="665"/>
      <c r="EF455" s="665"/>
      <c r="EG455" s="665"/>
      <c r="EH455" s="146"/>
      <c r="EI455" s="170"/>
      <c r="EJ455" s="170"/>
      <c r="EK455" s="262"/>
      <c r="EL455" s="91" t="str">
        <f t="shared" si="110"/>
        <v>No se reportó avance</v>
      </c>
      <c r="EM455" s="83" t="str">
        <f t="shared" si="111"/>
        <v>No se reportó avance</v>
      </c>
      <c r="EN455" s="697"/>
    </row>
    <row r="456" spans="1:144" ht="50.1" customHeight="1">
      <c r="A456" s="170" t="s">
        <v>4671</v>
      </c>
      <c r="B456" s="517" t="s">
        <v>3272</v>
      </c>
      <c r="C456" s="173" t="s">
        <v>3273</v>
      </c>
      <c r="D456" s="173" t="s">
        <v>3274</v>
      </c>
      <c r="E456" s="173" t="s">
        <v>3275</v>
      </c>
      <c r="F456" s="170" t="s">
        <v>280</v>
      </c>
      <c r="G456" s="94"/>
      <c r="H456" s="84" t="s">
        <v>3678</v>
      </c>
      <c r="I456" s="170" t="s">
        <v>3277</v>
      </c>
      <c r="J456" s="170" t="s">
        <v>3277</v>
      </c>
      <c r="K456" s="170" t="s">
        <v>3278</v>
      </c>
      <c r="L456" s="262">
        <v>8</v>
      </c>
      <c r="M456" s="84" t="s">
        <v>3679</v>
      </c>
      <c r="N456" s="84" t="s">
        <v>3680</v>
      </c>
      <c r="O456" s="84" t="s">
        <v>3681</v>
      </c>
      <c r="P456" s="84" t="s">
        <v>1161</v>
      </c>
      <c r="Q456" s="170" t="s">
        <v>162</v>
      </c>
      <c r="R456" s="84">
        <v>0</v>
      </c>
      <c r="S456" s="84" t="s">
        <v>163</v>
      </c>
      <c r="T456" s="90">
        <v>44927</v>
      </c>
      <c r="U456" s="90">
        <v>46357</v>
      </c>
      <c r="V456" s="262"/>
      <c r="W456" s="262"/>
      <c r="X456" s="262"/>
      <c r="Y456" s="262"/>
      <c r="Z456" s="85"/>
      <c r="AA456" s="85"/>
      <c r="AB456" s="85"/>
      <c r="AC456" s="85"/>
      <c r="AD456" s="85"/>
      <c r="AE456" s="85"/>
      <c r="AF456" s="85"/>
      <c r="AG456" s="85"/>
      <c r="AH456" s="85"/>
      <c r="AI456" s="85"/>
      <c r="AJ456" s="85"/>
      <c r="AK456" s="157"/>
      <c r="AL456" s="157"/>
      <c r="AM456" s="157"/>
      <c r="AN456" s="157"/>
      <c r="AO456" s="157"/>
      <c r="AP456" s="262"/>
      <c r="AQ456" s="262"/>
      <c r="AR456" s="262"/>
      <c r="AS456" s="262"/>
      <c r="AT456" s="262"/>
      <c r="AU456" s="262"/>
      <c r="AV456" s="262"/>
      <c r="AW456" s="262"/>
      <c r="AX456" s="262"/>
      <c r="AY456" s="262"/>
      <c r="AZ456" s="697"/>
      <c r="BA456" s="262"/>
      <c r="BB456" s="262"/>
      <c r="BC456" s="262"/>
      <c r="BD456" s="262"/>
      <c r="BE456" s="262"/>
      <c r="BF456" s="262"/>
      <c r="BG456" s="262"/>
      <c r="BH456" s="262"/>
      <c r="BI456" s="262"/>
      <c r="BJ456" s="697"/>
      <c r="BK456" s="262"/>
      <c r="BL456" s="697"/>
      <c r="BM456" s="262"/>
      <c r="BN456" s="697"/>
      <c r="BO456" s="262"/>
      <c r="BP456" s="697"/>
      <c r="BQ456" s="262"/>
      <c r="BR456" s="262"/>
      <c r="BS456" s="262"/>
      <c r="BT456" s="262"/>
      <c r="BU456" s="262"/>
      <c r="BV456" s="262"/>
      <c r="BW456" s="262"/>
      <c r="BX456" s="262"/>
      <c r="BY456" s="262"/>
      <c r="BZ456" s="262"/>
      <c r="CA456" s="262"/>
      <c r="CB456" s="262"/>
      <c r="CC456" s="262"/>
      <c r="CD456" s="262"/>
      <c r="CE456" s="262"/>
      <c r="CF456" s="262"/>
      <c r="CG456" s="717"/>
      <c r="CH456" s="262"/>
      <c r="CI456" s="262"/>
      <c r="CJ456" s="83" t="str">
        <f t="shared" si="113"/>
        <v>No aplica</v>
      </c>
      <c r="CK456" s="83" t="str">
        <f t="shared" si="112"/>
        <v>No aplica</v>
      </c>
      <c r="CL456" s="83" t="str">
        <f t="shared" si="107"/>
        <v>No requiere reporte</v>
      </c>
      <c r="CM456" s="89" t="str">
        <f t="shared" si="108"/>
        <v>No requiere reporte</v>
      </c>
      <c r="CN456" s="89" t="str">
        <f t="shared" si="109"/>
        <v>No requiere reporte</v>
      </c>
      <c r="CO456" s="735" t="s">
        <v>2748</v>
      </c>
      <c r="CP456" s="677" t="s">
        <v>3689</v>
      </c>
      <c r="CQ456" s="145" t="s">
        <v>3690</v>
      </c>
      <c r="CR456" s="693" t="s">
        <v>3691</v>
      </c>
      <c r="CS456" s="734" t="s">
        <v>3692</v>
      </c>
      <c r="CT456" s="145" t="s">
        <v>200</v>
      </c>
      <c r="CU456" s="714" t="s">
        <v>162</v>
      </c>
      <c r="CV456" s="291">
        <v>0</v>
      </c>
      <c r="CW456" s="145" t="s">
        <v>163</v>
      </c>
      <c r="CX456" s="695">
        <v>46023</v>
      </c>
      <c r="CY456" s="695">
        <v>46387</v>
      </c>
      <c r="CZ456" s="146">
        <v>1</v>
      </c>
      <c r="DA456" s="146">
        <v>1</v>
      </c>
      <c r="DB456" s="146">
        <v>1</v>
      </c>
      <c r="DC456" s="146">
        <v>1</v>
      </c>
      <c r="DD456" s="146">
        <v>1</v>
      </c>
      <c r="DE456" s="665" t="s">
        <v>2951</v>
      </c>
      <c r="DF456" s="665" t="s">
        <v>3294</v>
      </c>
      <c r="DG456" s="665" t="s">
        <v>3295</v>
      </c>
      <c r="DH456" s="696">
        <v>2000000000</v>
      </c>
      <c r="DI456" s="717"/>
      <c r="DJ456" s="717"/>
      <c r="DK456" s="717"/>
      <c r="DL456" s="665" t="s">
        <v>279</v>
      </c>
      <c r="DM456" s="665" t="s">
        <v>3296</v>
      </c>
      <c r="DN456" s="218"/>
      <c r="DO456" s="716"/>
      <c r="DP456" s="665"/>
      <c r="DQ456" s="716"/>
      <c r="DR456" s="716"/>
      <c r="DS456" s="218"/>
      <c r="DT456" s="716"/>
      <c r="DU456" s="665"/>
      <c r="DV456" s="716"/>
      <c r="DW456" s="716"/>
      <c r="DX456" s="218"/>
      <c r="DY456" s="716"/>
      <c r="DZ456" s="665"/>
      <c r="EA456" s="716"/>
      <c r="EB456" s="716"/>
      <c r="EC456" s="665"/>
      <c r="ED456" s="665"/>
      <c r="EE456" s="665"/>
      <c r="EF456" s="665"/>
      <c r="EG456" s="665"/>
      <c r="EH456" s="146"/>
      <c r="EI456" s="170"/>
      <c r="EJ456" s="170"/>
      <c r="EK456" s="262"/>
      <c r="EL456" s="91" t="str">
        <f t="shared" si="110"/>
        <v>No se reportó avance</v>
      </c>
      <c r="EM456" s="83" t="str">
        <f t="shared" si="111"/>
        <v>No se reportó avance</v>
      </c>
      <c r="EN456" s="697"/>
    </row>
    <row r="457" spans="1:144" ht="50.1" customHeight="1">
      <c r="A457" s="203" t="s">
        <v>4671</v>
      </c>
      <c r="B457" s="505" t="s">
        <v>3272</v>
      </c>
      <c r="C457" s="202" t="s">
        <v>3273</v>
      </c>
      <c r="D457" s="202" t="s">
        <v>3274</v>
      </c>
      <c r="E457" s="202" t="s">
        <v>3275</v>
      </c>
      <c r="F457" s="203" t="s">
        <v>280</v>
      </c>
      <c r="G457" s="98"/>
      <c r="H457" s="74" t="s">
        <v>3678</v>
      </c>
      <c r="I457" s="203" t="s">
        <v>3277</v>
      </c>
      <c r="J457" s="203" t="s">
        <v>3277</v>
      </c>
      <c r="K457" s="203" t="s">
        <v>3278</v>
      </c>
      <c r="L457" s="260">
        <v>9</v>
      </c>
      <c r="M457" s="78" t="s">
        <v>3693</v>
      </c>
      <c r="N457" s="78" t="s">
        <v>3694</v>
      </c>
      <c r="O457" s="78" t="s">
        <v>3695</v>
      </c>
      <c r="P457" s="78" t="s">
        <v>1161</v>
      </c>
      <c r="Q457" s="255" t="s">
        <v>162</v>
      </c>
      <c r="R457" s="638">
        <v>0</v>
      </c>
      <c r="S457" s="78" t="s">
        <v>163</v>
      </c>
      <c r="T457" s="80">
        <v>44927</v>
      </c>
      <c r="U457" s="80">
        <v>46357</v>
      </c>
      <c r="V457" s="531"/>
      <c r="W457" s="531"/>
      <c r="X457" s="531"/>
      <c r="Y457" s="531"/>
      <c r="Z457" s="79">
        <v>1</v>
      </c>
      <c r="AA457" s="75">
        <v>1</v>
      </c>
      <c r="AB457" s="75">
        <v>1</v>
      </c>
      <c r="AC457" s="75">
        <v>1</v>
      </c>
      <c r="AD457" s="75">
        <v>1</v>
      </c>
      <c r="AE457" s="79">
        <v>1</v>
      </c>
      <c r="AF457" s="79">
        <v>1</v>
      </c>
      <c r="AG457" s="79">
        <v>1</v>
      </c>
      <c r="AH457" s="79">
        <v>1</v>
      </c>
      <c r="AI457" s="79">
        <v>1</v>
      </c>
      <c r="AJ457" s="79">
        <v>1</v>
      </c>
      <c r="AK457" s="142">
        <v>1</v>
      </c>
      <c r="AL457" s="142">
        <v>1</v>
      </c>
      <c r="AM457" s="142">
        <v>1</v>
      </c>
      <c r="AN457" s="142">
        <v>1</v>
      </c>
      <c r="AO457" s="142">
        <v>1</v>
      </c>
      <c r="AP457" s="79">
        <v>1</v>
      </c>
      <c r="AQ457" s="262"/>
      <c r="AR457" s="262"/>
      <c r="AS457" s="262"/>
      <c r="AT457" s="262"/>
      <c r="AU457" s="262"/>
      <c r="AV457" s="262"/>
      <c r="AW457" s="262"/>
      <c r="AX457" s="262"/>
      <c r="AY457" s="173">
        <v>1</v>
      </c>
      <c r="AZ457" s="692" t="s">
        <v>3696</v>
      </c>
      <c r="BA457" s="173">
        <f>30/30</f>
        <v>1</v>
      </c>
      <c r="BB457" s="170" t="s">
        <v>3697</v>
      </c>
      <c r="BC457" s="173">
        <f>1/1</f>
        <v>1</v>
      </c>
      <c r="BD457" s="170" t="s">
        <v>3698</v>
      </c>
      <c r="BE457" s="173">
        <f>1/1</f>
        <v>1</v>
      </c>
      <c r="BF457" s="170" t="s">
        <v>3699</v>
      </c>
      <c r="BG457" s="173">
        <v>0</v>
      </c>
      <c r="BH457" s="170" t="s">
        <v>3286</v>
      </c>
      <c r="BI457" s="173">
        <f>+(BA457+BC457+BE457+BG457)/4</f>
        <v>0.75</v>
      </c>
      <c r="BJ457" s="692"/>
      <c r="BK457" s="173">
        <v>0</v>
      </c>
      <c r="BL457" s="692" t="s">
        <v>3287</v>
      </c>
      <c r="BM457" s="173">
        <v>0</v>
      </c>
      <c r="BN457" s="692" t="s">
        <v>3287</v>
      </c>
      <c r="BO457" s="173">
        <v>0</v>
      </c>
      <c r="BP457" s="692" t="s">
        <v>3287</v>
      </c>
      <c r="BQ457" s="262"/>
      <c r="BR457" s="262"/>
      <c r="BS457" s="83"/>
      <c r="BT457" s="262"/>
      <c r="BU457" s="262"/>
      <c r="BV457" s="262"/>
      <c r="BW457" s="262"/>
      <c r="BX457" s="262"/>
      <c r="BY457" s="262"/>
      <c r="BZ457" s="262"/>
      <c r="CA457" s="262"/>
      <c r="CB457" s="262"/>
      <c r="CC457" s="262"/>
      <c r="CD457" s="262"/>
      <c r="CE457" s="146"/>
      <c r="CF457" s="262"/>
      <c r="CG457" s="713">
        <f>+DH457</f>
        <v>5900000000</v>
      </c>
      <c r="CH457" s="516"/>
      <c r="CI457" s="515"/>
      <c r="CJ457" s="83">
        <f t="shared" si="113"/>
        <v>0</v>
      </c>
      <c r="CK457" s="83">
        <f t="shared" si="112"/>
        <v>0</v>
      </c>
      <c r="CL457" s="83" t="str">
        <f t="shared" si="107"/>
        <v>No se reportó avance</v>
      </c>
      <c r="CM457" s="89" t="str">
        <f t="shared" si="108"/>
        <v>No se reportó avance</v>
      </c>
      <c r="CN457" s="89" t="str">
        <f t="shared" si="109"/>
        <v>No se reportó avance</v>
      </c>
      <c r="CO457" s="145" t="s">
        <v>1998</v>
      </c>
      <c r="CP457" s="677" t="s">
        <v>3700</v>
      </c>
      <c r="CQ457" s="145" t="s">
        <v>3701</v>
      </c>
      <c r="CR457" s="693" t="s">
        <v>3702</v>
      </c>
      <c r="CS457" s="693" t="s">
        <v>3703</v>
      </c>
      <c r="CT457" s="145" t="s">
        <v>200</v>
      </c>
      <c r="CU457" s="714" t="s">
        <v>162</v>
      </c>
      <c r="CV457" s="291">
        <v>0</v>
      </c>
      <c r="CW457" s="145" t="s">
        <v>163</v>
      </c>
      <c r="CX457" s="695">
        <v>46023</v>
      </c>
      <c r="CY457" s="695">
        <v>46387</v>
      </c>
      <c r="CZ457" s="146">
        <v>1</v>
      </c>
      <c r="DA457" s="146">
        <v>1</v>
      </c>
      <c r="DB457" s="146">
        <v>1</v>
      </c>
      <c r="DC457" s="146">
        <v>1</v>
      </c>
      <c r="DD457" s="146">
        <v>1</v>
      </c>
      <c r="DE457" s="665" t="s">
        <v>2951</v>
      </c>
      <c r="DF457" s="665" t="s">
        <v>3294</v>
      </c>
      <c r="DG457" s="665" t="s">
        <v>3295</v>
      </c>
      <c r="DH457" s="696">
        <v>5900000000</v>
      </c>
      <c r="DI457" s="717"/>
      <c r="DJ457" s="717"/>
      <c r="DK457" s="717"/>
      <c r="DL457" s="665" t="s">
        <v>279</v>
      </c>
      <c r="DM457" s="665" t="s">
        <v>3296</v>
      </c>
      <c r="DN457" s="218"/>
      <c r="DO457" s="716"/>
      <c r="DP457" s="665"/>
      <c r="DQ457" s="716"/>
      <c r="DR457" s="716"/>
      <c r="DS457" s="218"/>
      <c r="DT457" s="716"/>
      <c r="DU457" s="665"/>
      <c r="DV457" s="716"/>
      <c r="DW457" s="716"/>
      <c r="DX457" s="218"/>
      <c r="DY457" s="716"/>
      <c r="DZ457" s="665"/>
      <c r="EA457" s="716"/>
      <c r="EB457" s="716"/>
      <c r="EC457" s="665"/>
      <c r="ED457" s="665"/>
      <c r="EE457" s="665"/>
      <c r="EF457" s="665"/>
      <c r="EG457" s="665"/>
      <c r="EH457" s="146"/>
      <c r="EI457" s="170"/>
      <c r="EJ457" s="170"/>
      <c r="EK457" s="262"/>
      <c r="EL457" s="91" t="str">
        <f t="shared" si="110"/>
        <v>No se reportó avance</v>
      </c>
      <c r="EM457" s="83" t="str">
        <f t="shared" si="111"/>
        <v>No se reportó avance</v>
      </c>
      <c r="EN457" s="697"/>
    </row>
    <row r="458" spans="1:144" ht="50.1" customHeight="1">
      <c r="A458" s="203" t="s">
        <v>4671</v>
      </c>
      <c r="B458" s="505" t="s">
        <v>3272</v>
      </c>
      <c r="C458" s="75" t="s">
        <v>3273</v>
      </c>
      <c r="D458" s="75" t="s">
        <v>3274</v>
      </c>
      <c r="E458" s="75" t="s">
        <v>3275</v>
      </c>
      <c r="F458" s="98" t="s">
        <v>280</v>
      </c>
      <c r="G458" s="98" t="s">
        <v>280</v>
      </c>
      <c r="H458" s="74" t="s">
        <v>3704</v>
      </c>
      <c r="I458" s="74" t="s">
        <v>3705</v>
      </c>
      <c r="J458" s="203" t="s">
        <v>3277</v>
      </c>
      <c r="K458" s="203" t="s">
        <v>3278</v>
      </c>
      <c r="L458" s="260">
        <v>10</v>
      </c>
      <c r="M458" s="78" t="s">
        <v>3706</v>
      </c>
      <c r="N458" s="78" t="s">
        <v>3707</v>
      </c>
      <c r="O458" s="78" t="s">
        <v>3708</v>
      </c>
      <c r="P458" s="78" t="s">
        <v>1161</v>
      </c>
      <c r="Q458" s="255" t="s">
        <v>162</v>
      </c>
      <c r="R458" s="638">
        <v>0</v>
      </c>
      <c r="S458" s="78" t="s">
        <v>163</v>
      </c>
      <c r="T458" s="80">
        <v>44927</v>
      </c>
      <c r="U458" s="80">
        <v>46357</v>
      </c>
      <c r="V458" s="531"/>
      <c r="W458" s="531"/>
      <c r="X458" s="531"/>
      <c r="Y458" s="531"/>
      <c r="Z458" s="79">
        <v>1</v>
      </c>
      <c r="AA458" s="75">
        <v>1</v>
      </c>
      <c r="AB458" s="75">
        <v>1</v>
      </c>
      <c r="AC458" s="75">
        <v>1</v>
      </c>
      <c r="AD458" s="75">
        <v>1</v>
      </c>
      <c r="AE458" s="79">
        <v>1</v>
      </c>
      <c r="AF458" s="79">
        <v>1</v>
      </c>
      <c r="AG458" s="79">
        <v>1</v>
      </c>
      <c r="AH458" s="79">
        <v>1</v>
      </c>
      <c r="AI458" s="79">
        <v>1</v>
      </c>
      <c r="AJ458" s="79">
        <v>1</v>
      </c>
      <c r="AK458" s="142">
        <v>1</v>
      </c>
      <c r="AL458" s="142">
        <v>1</v>
      </c>
      <c r="AM458" s="142">
        <v>1</v>
      </c>
      <c r="AN458" s="142">
        <v>1</v>
      </c>
      <c r="AO458" s="142">
        <v>1</v>
      </c>
      <c r="AP458" s="79">
        <v>1</v>
      </c>
      <c r="AQ458" s="262"/>
      <c r="AR458" s="262"/>
      <c r="AS458" s="262"/>
      <c r="AT458" s="262"/>
      <c r="AU458" s="262"/>
      <c r="AV458" s="262"/>
      <c r="AW458" s="262"/>
      <c r="AX458" s="262"/>
      <c r="AY458" s="173">
        <v>0.67</v>
      </c>
      <c r="AZ458" s="692" t="s">
        <v>3709</v>
      </c>
      <c r="BA458" s="173">
        <f>4/4</f>
        <v>1</v>
      </c>
      <c r="BB458" s="170" t="s">
        <v>3710</v>
      </c>
      <c r="BC458" s="173">
        <f>2/2</f>
        <v>1</v>
      </c>
      <c r="BD458" s="170" t="s">
        <v>3711</v>
      </c>
      <c r="BE458" s="173">
        <f>2/2</f>
        <v>1</v>
      </c>
      <c r="BF458" s="170" t="s">
        <v>3712</v>
      </c>
      <c r="BG458" s="173">
        <v>0</v>
      </c>
      <c r="BH458" s="170" t="s">
        <v>3286</v>
      </c>
      <c r="BI458" s="173">
        <f>+(BA458+BC458+BE458+BG458)/4</f>
        <v>0.75</v>
      </c>
      <c r="BJ458" s="692"/>
      <c r="BK458" s="173">
        <v>0</v>
      </c>
      <c r="BL458" s="692" t="s">
        <v>3287</v>
      </c>
      <c r="BM458" s="712">
        <v>0.57140000000000002</v>
      </c>
      <c r="BN458" s="692" t="s">
        <v>3713</v>
      </c>
      <c r="BO458" s="712">
        <v>0.14000000000000001</v>
      </c>
      <c r="BP458" s="692" t="s">
        <v>3714</v>
      </c>
      <c r="BQ458" s="262"/>
      <c r="BR458" s="262"/>
      <c r="BS458" s="83"/>
      <c r="BT458" s="262"/>
      <c r="BU458" s="262"/>
      <c r="BV458" s="262"/>
      <c r="BW458" s="262"/>
      <c r="BX458" s="262"/>
      <c r="BY458" s="262"/>
      <c r="BZ458" s="262"/>
      <c r="CA458" s="262"/>
      <c r="CB458" s="262"/>
      <c r="CC458" s="262"/>
      <c r="CD458" s="262"/>
      <c r="CE458" s="146"/>
      <c r="CF458" s="262"/>
      <c r="CG458" s="713">
        <f>SUBTOTAL(9,DH458:DH464)</f>
        <v>40005000000</v>
      </c>
      <c r="CH458" s="516"/>
      <c r="CI458" s="515"/>
      <c r="CJ458" s="83">
        <f t="shared" si="113"/>
        <v>0</v>
      </c>
      <c r="CK458" s="83">
        <f t="shared" si="112"/>
        <v>0</v>
      </c>
      <c r="CL458" s="83" t="str">
        <f t="shared" si="107"/>
        <v>No se reportó avance</v>
      </c>
      <c r="CM458" s="89" t="str">
        <f t="shared" si="108"/>
        <v>No se reportó avance</v>
      </c>
      <c r="CN458" s="89" t="str">
        <f t="shared" si="109"/>
        <v>No se reportó avance</v>
      </c>
      <c r="CO458" s="735" t="s">
        <v>2073</v>
      </c>
      <c r="CP458" s="677" t="s">
        <v>3715</v>
      </c>
      <c r="CQ458" s="145" t="s">
        <v>3716</v>
      </c>
      <c r="CR458" s="693" t="s">
        <v>3717</v>
      </c>
      <c r="CS458" s="693" t="s">
        <v>3718</v>
      </c>
      <c r="CT458" s="145" t="s">
        <v>200</v>
      </c>
      <c r="CU458" s="714" t="s">
        <v>162</v>
      </c>
      <c r="CV458" s="291">
        <v>0</v>
      </c>
      <c r="CW458" s="145" t="s">
        <v>163</v>
      </c>
      <c r="CX458" s="695">
        <v>46023</v>
      </c>
      <c r="CY458" s="695">
        <v>46387</v>
      </c>
      <c r="CZ458" s="146">
        <v>1</v>
      </c>
      <c r="DA458" s="146">
        <v>1</v>
      </c>
      <c r="DB458" s="146">
        <v>1</v>
      </c>
      <c r="DC458" s="146">
        <v>1</v>
      </c>
      <c r="DD458" s="146">
        <v>1</v>
      </c>
      <c r="DE458" s="665" t="s">
        <v>396</v>
      </c>
      <c r="DF458" s="665" t="s">
        <v>3719</v>
      </c>
      <c r="DG458" s="665" t="s">
        <v>3720</v>
      </c>
      <c r="DH458" s="696">
        <f>2000000000-2000000000</f>
        <v>0</v>
      </c>
      <c r="DI458" s="717"/>
      <c r="DJ458" s="717"/>
      <c r="DK458" s="717"/>
      <c r="DL458" s="665" t="s">
        <v>279</v>
      </c>
      <c r="DM458" s="665" t="s">
        <v>3296</v>
      </c>
      <c r="DN458" s="218"/>
      <c r="DO458" s="716"/>
      <c r="DP458" s="665"/>
      <c r="DQ458" s="716"/>
      <c r="DR458" s="716"/>
      <c r="DS458" s="666"/>
      <c r="DT458" s="716"/>
      <c r="DU458" s="665"/>
      <c r="DV458" s="716"/>
      <c r="DW458" s="716"/>
      <c r="DX458" s="666"/>
      <c r="DY458" s="716"/>
      <c r="DZ458" s="665"/>
      <c r="EA458" s="716"/>
      <c r="EB458" s="716"/>
      <c r="EC458" s="665"/>
      <c r="ED458" s="665"/>
      <c r="EE458" s="665"/>
      <c r="EF458" s="665"/>
      <c r="EG458" s="665"/>
      <c r="EH458" s="146"/>
      <c r="EI458" s="170"/>
      <c r="EJ458" s="170"/>
      <c r="EK458" s="262"/>
      <c r="EL458" s="91" t="str">
        <f t="shared" si="110"/>
        <v>No se reportó avance</v>
      </c>
      <c r="EM458" s="83" t="str">
        <f t="shared" si="111"/>
        <v>No se reportó avance</v>
      </c>
      <c r="EN458" s="697"/>
    </row>
    <row r="459" spans="1:144" ht="50.1" customHeight="1">
      <c r="A459" s="170" t="s">
        <v>4671</v>
      </c>
      <c r="B459" s="517" t="s">
        <v>3272</v>
      </c>
      <c r="C459" s="85" t="s">
        <v>3273</v>
      </c>
      <c r="D459" s="85" t="s">
        <v>3274</v>
      </c>
      <c r="E459" s="85" t="s">
        <v>3275</v>
      </c>
      <c r="F459" s="94" t="s">
        <v>280</v>
      </c>
      <c r="G459" s="94" t="s">
        <v>280</v>
      </c>
      <c r="H459" s="84" t="s">
        <v>3704</v>
      </c>
      <c r="I459" s="84" t="s">
        <v>3705</v>
      </c>
      <c r="J459" s="170" t="s">
        <v>3277</v>
      </c>
      <c r="K459" s="170" t="s">
        <v>3278</v>
      </c>
      <c r="L459" s="262">
        <v>10</v>
      </c>
      <c r="M459" s="84" t="s">
        <v>3706</v>
      </c>
      <c r="N459" s="84" t="s">
        <v>3707</v>
      </c>
      <c r="O459" s="84" t="s">
        <v>3708</v>
      </c>
      <c r="P459" s="84" t="s">
        <v>1161</v>
      </c>
      <c r="Q459" s="170" t="s">
        <v>162</v>
      </c>
      <c r="R459" s="84">
        <v>0</v>
      </c>
      <c r="S459" s="84" t="s">
        <v>163</v>
      </c>
      <c r="T459" s="90">
        <v>44927</v>
      </c>
      <c r="U459" s="90">
        <v>46357</v>
      </c>
      <c r="V459" s="262"/>
      <c r="W459" s="262"/>
      <c r="X459" s="262"/>
      <c r="Y459" s="262"/>
      <c r="Z459" s="85"/>
      <c r="AA459" s="85"/>
      <c r="AB459" s="85"/>
      <c r="AC459" s="85"/>
      <c r="AD459" s="85"/>
      <c r="AE459" s="85"/>
      <c r="AF459" s="85"/>
      <c r="AG459" s="85"/>
      <c r="AH459" s="85"/>
      <c r="AI459" s="85"/>
      <c r="AJ459" s="85"/>
      <c r="AK459" s="157"/>
      <c r="AL459" s="157"/>
      <c r="AM459" s="157"/>
      <c r="AN459" s="157"/>
      <c r="AO459" s="157"/>
      <c r="AP459" s="262"/>
      <c r="AQ459" s="262"/>
      <c r="AR459" s="262"/>
      <c r="AS459" s="262"/>
      <c r="AT459" s="262"/>
      <c r="AU459" s="262"/>
      <c r="AV459" s="262"/>
      <c r="AW459" s="262"/>
      <c r="AX459" s="262"/>
      <c r="AY459" s="262"/>
      <c r="AZ459" s="697"/>
      <c r="BA459" s="262"/>
      <c r="BB459" s="262"/>
      <c r="BC459" s="262"/>
      <c r="BD459" s="262"/>
      <c r="BE459" s="262"/>
      <c r="BF459" s="262"/>
      <c r="BG459" s="262"/>
      <c r="BH459" s="262"/>
      <c r="BI459" s="262"/>
      <c r="BJ459" s="697"/>
      <c r="BK459" s="262"/>
      <c r="BL459" s="697"/>
      <c r="BM459" s="262"/>
      <c r="BN459" s="697"/>
      <c r="BO459" s="262"/>
      <c r="BP459" s="697"/>
      <c r="BQ459" s="262"/>
      <c r="BR459" s="262"/>
      <c r="BS459" s="262"/>
      <c r="BT459" s="262"/>
      <c r="BU459" s="262"/>
      <c r="BV459" s="262"/>
      <c r="BW459" s="262"/>
      <c r="BX459" s="262"/>
      <c r="BY459" s="262"/>
      <c r="BZ459" s="262"/>
      <c r="CA459" s="262"/>
      <c r="CB459" s="262"/>
      <c r="CC459" s="262"/>
      <c r="CD459" s="262"/>
      <c r="CE459" s="262"/>
      <c r="CF459" s="262"/>
      <c r="CG459" s="717"/>
      <c r="CH459" s="262"/>
      <c r="CI459" s="262"/>
      <c r="CJ459" s="83" t="str">
        <f t="shared" si="113"/>
        <v>No aplica</v>
      </c>
      <c r="CK459" s="83" t="str">
        <f t="shared" si="112"/>
        <v>No aplica</v>
      </c>
      <c r="CL459" s="83" t="str">
        <f t="shared" si="107"/>
        <v>No requiere reporte</v>
      </c>
      <c r="CM459" s="89" t="str">
        <f t="shared" si="108"/>
        <v>No requiere reporte</v>
      </c>
      <c r="CN459" s="89" t="str">
        <f t="shared" si="109"/>
        <v>No requiere reporte</v>
      </c>
      <c r="CO459" s="735" t="s">
        <v>2078</v>
      </c>
      <c r="CP459" s="677" t="s">
        <v>3721</v>
      </c>
      <c r="CQ459" s="145" t="s">
        <v>3722</v>
      </c>
      <c r="CR459" s="693" t="s">
        <v>3723</v>
      </c>
      <c r="CS459" s="693" t="s">
        <v>3724</v>
      </c>
      <c r="CT459" s="145" t="s">
        <v>200</v>
      </c>
      <c r="CU459" s="714" t="s">
        <v>162</v>
      </c>
      <c r="CV459" s="291">
        <v>0</v>
      </c>
      <c r="CW459" s="145" t="s">
        <v>163</v>
      </c>
      <c r="CX459" s="695">
        <v>46023</v>
      </c>
      <c r="CY459" s="695">
        <v>46387</v>
      </c>
      <c r="CZ459" s="146">
        <v>1</v>
      </c>
      <c r="DA459" s="146">
        <v>1</v>
      </c>
      <c r="DB459" s="146">
        <v>1</v>
      </c>
      <c r="DC459" s="146">
        <v>1</v>
      </c>
      <c r="DD459" s="146">
        <v>1</v>
      </c>
      <c r="DE459" s="665" t="s">
        <v>396</v>
      </c>
      <c r="DF459" s="665" t="s">
        <v>3719</v>
      </c>
      <c r="DG459" s="665" t="s">
        <v>3720</v>
      </c>
      <c r="DH459" s="696">
        <f>46500000000-46500000000</f>
        <v>0</v>
      </c>
      <c r="DI459" s="717"/>
      <c r="DJ459" s="717"/>
      <c r="DK459" s="717"/>
      <c r="DL459" s="665" t="s">
        <v>279</v>
      </c>
      <c r="DM459" s="665" t="s">
        <v>3296</v>
      </c>
      <c r="DN459" s="218"/>
      <c r="DO459" s="716"/>
      <c r="DP459" s="665"/>
      <c r="DQ459" s="716"/>
      <c r="DR459" s="716"/>
      <c r="DS459" s="666"/>
      <c r="DT459" s="716"/>
      <c r="DU459" s="665"/>
      <c r="DV459" s="716"/>
      <c r="DW459" s="716"/>
      <c r="DX459" s="666"/>
      <c r="DY459" s="716"/>
      <c r="DZ459" s="665"/>
      <c r="EA459" s="716"/>
      <c r="EB459" s="716"/>
      <c r="EC459" s="665"/>
      <c r="ED459" s="665"/>
      <c r="EE459" s="665"/>
      <c r="EF459" s="665"/>
      <c r="EG459" s="665"/>
      <c r="EH459" s="146"/>
      <c r="EI459" s="170"/>
      <c r="EJ459" s="170"/>
      <c r="EK459" s="262"/>
      <c r="EL459" s="91" t="str">
        <f t="shared" si="110"/>
        <v>No se reportó avance</v>
      </c>
      <c r="EM459" s="83" t="str">
        <f t="shared" si="111"/>
        <v>No se reportó avance</v>
      </c>
      <c r="EN459" s="697"/>
    </row>
    <row r="460" spans="1:144" ht="50.1" customHeight="1">
      <c r="A460" s="170" t="s">
        <v>4671</v>
      </c>
      <c r="B460" s="517" t="s">
        <v>3272</v>
      </c>
      <c r="C460" s="85" t="s">
        <v>3273</v>
      </c>
      <c r="D460" s="85" t="s">
        <v>3274</v>
      </c>
      <c r="E460" s="85" t="s">
        <v>3275</v>
      </c>
      <c r="F460" s="94" t="s">
        <v>280</v>
      </c>
      <c r="G460" s="94" t="s">
        <v>280</v>
      </c>
      <c r="H460" s="84" t="s">
        <v>3704</v>
      </c>
      <c r="I460" s="84" t="s">
        <v>3705</v>
      </c>
      <c r="J460" s="170" t="s">
        <v>3277</v>
      </c>
      <c r="K460" s="170" t="s">
        <v>3278</v>
      </c>
      <c r="L460" s="262">
        <v>10</v>
      </c>
      <c r="M460" s="84" t="s">
        <v>3706</v>
      </c>
      <c r="N460" s="84" t="s">
        <v>3707</v>
      </c>
      <c r="O460" s="84" t="s">
        <v>3708</v>
      </c>
      <c r="P460" s="84" t="s">
        <v>1161</v>
      </c>
      <c r="Q460" s="170" t="s">
        <v>162</v>
      </c>
      <c r="R460" s="84">
        <v>0</v>
      </c>
      <c r="S460" s="84" t="s">
        <v>163</v>
      </c>
      <c r="T460" s="90">
        <v>44927</v>
      </c>
      <c r="U460" s="90">
        <v>46357</v>
      </c>
      <c r="V460" s="262"/>
      <c r="W460" s="262"/>
      <c r="X460" s="262"/>
      <c r="Y460" s="262"/>
      <c r="Z460" s="85"/>
      <c r="AA460" s="85"/>
      <c r="AB460" s="85"/>
      <c r="AC460" s="85"/>
      <c r="AD460" s="85"/>
      <c r="AE460" s="85"/>
      <c r="AF460" s="85"/>
      <c r="AG460" s="85"/>
      <c r="AH460" s="85"/>
      <c r="AI460" s="85"/>
      <c r="AJ460" s="85"/>
      <c r="AK460" s="157"/>
      <c r="AL460" s="157"/>
      <c r="AM460" s="157"/>
      <c r="AN460" s="157"/>
      <c r="AO460" s="157"/>
      <c r="AP460" s="262"/>
      <c r="AQ460" s="262"/>
      <c r="AR460" s="262"/>
      <c r="AS460" s="262"/>
      <c r="AT460" s="262"/>
      <c r="AU460" s="262"/>
      <c r="AV460" s="262"/>
      <c r="AW460" s="262"/>
      <c r="AX460" s="262"/>
      <c r="AY460" s="262"/>
      <c r="AZ460" s="697"/>
      <c r="BA460" s="262"/>
      <c r="BB460" s="262"/>
      <c r="BC460" s="262"/>
      <c r="BD460" s="262"/>
      <c r="BE460" s="262"/>
      <c r="BF460" s="262"/>
      <c r="BG460" s="262"/>
      <c r="BH460" s="262"/>
      <c r="BI460" s="262"/>
      <c r="BJ460" s="697"/>
      <c r="BK460" s="262"/>
      <c r="BL460" s="697"/>
      <c r="BM460" s="262"/>
      <c r="BN460" s="697"/>
      <c r="BO460" s="262"/>
      <c r="BP460" s="697"/>
      <c r="BQ460" s="262"/>
      <c r="BR460" s="262"/>
      <c r="BS460" s="262"/>
      <c r="BT460" s="262"/>
      <c r="BU460" s="262"/>
      <c r="BV460" s="262"/>
      <c r="BW460" s="262"/>
      <c r="BX460" s="262"/>
      <c r="BY460" s="262"/>
      <c r="BZ460" s="262"/>
      <c r="CA460" s="262"/>
      <c r="CB460" s="262"/>
      <c r="CC460" s="262"/>
      <c r="CD460" s="262"/>
      <c r="CE460" s="262"/>
      <c r="CF460" s="262"/>
      <c r="CG460" s="717"/>
      <c r="CH460" s="262"/>
      <c r="CI460" s="262"/>
      <c r="CJ460" s="83" t="str">
        <f t="shared" si="113"/>
        <v>No aplica</v>
      </c>
      <c r="CK460" s="83" t="str">
        <f t="shared" si="112"/>
        <v>No aplica</v>
      </c>
      <c r="CL460" s="83" t="str">
        <f t="shared" si="107"/>
        <v>No requiere reporte</v>
      </c>
      <c r="CM460" s="89" t="str">
        <f t="shared" si="108"/>
        <v>No requiere reporte</v>
      </c>
      <c r="CN460" s="89" t="str">
        <f t="shared" si="109"/>
        <v>No requiere reporte</v>
      </c>
      <c r="CO460" s="735" t="s">
        <v>2083</v>
      </c>
      <c r="CP460" s="677" t="s">
        <v>3725</v>
      </c>
      <c r="CQ460" s="145" t="s">
        <v>3722</v>
      </c>
      <c r="CR460" s="693" t="s">
        <v>3726</v>
      </c>
      <c r="CS460" s="693" t="s">
        <v>3727</v>
      </c>
      <c r="CT460" s="145" t="s">
        <v>200</v>
      </c>
      <c r="CU460" s="714" t="s">
        <v>162</v>
      </c>
      <c r="CV460" s="291">
        <v>0</v>
      </c>
      <c r="CW460" s="145" t="s">
        <v>163</v>
      </c>
      <c r="CX460" s="695">
        <v>46023</v>
      </c>
      <c r="CY460" s="695">
        <v>46387</v>
      </c>
      <c r="CZ460" s="157">
        <v>0</v>
      </c>
      <c r="DA460" s="146">
        <v>1</v>
      </c>
      <c r="DB460" s="146">
        <v>1</v>
      </c>
      <c r="DC460" s="146">
        <v>1</v>
      </c>
      <c r="DD460" s="146">
        <v>1</v>
      </c>
      <c r="DE460" s="665" t="s">
        <v>396</v>
      </c>
      <c r="DF460" s="665" t="s">
        <v>3719</v>
      </c>
      <c r="DG460" s="665" t="s">
        <v>3720</v>
      </c>
      <c r="DH460" s="696">
        <v>18000000000</v>
      </c>
      <c r="DI460" s="717"/>
      <c r="DJ460" s="717"/>
      <c r="DK460" s="717"/>
      <c r="DL460" s="665" t="s">
        <v>279</v>
      </c>
      <c r="DM460" s="665"/>
      <c r="DN460" s="218"/>
      <c r="DO460" s="716"/>
      <c r="DP460" s="665"/>
      <c r="DQ460" s="716"/>
      <c r="DR460" s="716"/>
      <c r="DS460" s="218"/>
      <c r="DT460" s="716"/>
      <c r="DU460" s="665"/>
      <c r="DV460" s="716"/>
      <c r="DW460" s="716"/>
      <c r="DX460" s="218"/>
      <c r="DY460" s="716"/>
      <c r="DZ460" s="665"/>
      <c r="EA460" s="716"/>
      <c r="EB460" s="716"/>
      <c r="EC460" s="665"/>
      <c r="ED460" s="665"/>
      <c r="EE460" s="665"/>
      <c r="EF460" s="665"/>
      <c r="EG460" s="665"/>
      <c r="EH460" s="666"/>
      <c r="EI460" s="170"/>
      <c r="EJ460" s="170"/>
      <c r="EK460" s="262"/>
      <c r="EL460" s="91" t="str">
        <f t="shared" si="110"/>
        <v>No aplica, no hay meta</v>
      </c>
      <c r="EM460" s="83" t="str">
        <f t="shared" si="111"/>
        <v>No se reportó avance</v>
      </c>
      <c r="EN460" s="697"/>
    </row>
    <row r="461" spans="1:144" ht="50.1" customHeight="1">
      <c r="A461" s="170" t="s">
        <v>4671</v>
      </c>
      <c r="B461" s="517" t="s">
        <v>3272</v>
      </c>
      <c r="C461" s="85" t="s">
        <v>3273</v>
      </c>
      <c r="D461" s="85" t="s">
        <v>3274</v>
      </c>
      <c r="E461" s="85" t="s">
        <v>3275</v>
      </c>
      <c r="F461" s="94" t="s">
        <v>280</v>
      </c>
      <c r="G461" s="94" t="s">
        <v>280</v>
      </c>
      <c r="H461" s="84" t="s">
        <v>3704</v>
      </c>
      <c r="I461" s="84" t="s">
        <v>3705</v>
      </c>
      <c r="J461" s="170" t="s">
        <v>3277</v>
      </c>
      <c r="K461" s="170" t="s">
        <v>3278</v>
      </c>
      <c r="L461" s="262">
        <v>10</v>
      </c>
      <c r="M461" s="84" t="s">
        <v>3706</v>
      </c>
      <c r="N461" s="84" t="s">
        <v>3707</v>
      </c>
      <c r="O461" s="84" t="s">
        <v>3708</v>
      </c>
      <c r="P461" s="84" t="s">
        <v>1161</v>
      </c>
      <c r="Q461" s="170" t="s">
        <v>162</v>
      </c>
      <c r="R461" s="84">
        <v>0</v>
      </c>
      <c r="S461" s="84" t="s">
        <v>163</v>
      </c>
      <c r="T461" s="90">
        <v>44927</v>
      </c>
      <c r="U461" s="90">
        <v>46357</v>
      </c>
      <c r="V461" s="262"/>
      <c r="W461" s="262"/>
      <c r="X461" s="262"/>
      <c r="Y461" s="262"/>
      <c r="Z461" s="85"/>
      <c r="AA461" s="85"/>
      <c r="AB461" s="85"/>
      <c r="AC461" s="85"/>
      <c r="AD461" s="85"/>
      <c r="AE461" s="85"/>
      <c r="AF461" s="85"/>
      <c r="AG461" s="85"/>
      <c r="AH461" s="85"/>
      <c r="AI461" s="85"/>
      <c r="AJ461" s="85"/>
      <c r="AK461" s="157"/>
      <c r="AL461" s="157"/>
      <c r="AM461" s="157"/>
      <c r="AN461" s="157"/>
      <c r="AO461" s="157"/>
      <c r="AP461" s="262"/>
      <c r="AQ461" s="262"/>
      <c r="AR461" s="262"/>
      <c r="AS461" s="262"/>
      <c r="AT461" s="262"/>
      <c r="AU461" s="262"/>
      <c r="AV461" s="262"/>
      <c r="AW461" s="262"/>
      <c r="AX461" s="262"/>
      <c r="AY461" s="262"/>
      <c r="AZ461" s="697"/>
      <c r="BA461" s="262"/>
      <c r="BB461" s="262"/>
      <c r="BC461" s="262"/>
      <c r="BD461" s="262"/>
      <c r="BE461" s="262"/>
      <c r="BF461" s="262"/>
      <c r="BG461" s="262"/>
      <c r="BH461" s="262"/>
      <c r="BI461" s="262"/>
      <c r="BJ461" s="697"/>
      <c r="BK461" s="262"/>
      <c r="BL461" s="697"/>
      <c r="BM461" s="262"/>
      <c r="BN461" s="697"/>
      <c r="BO461" s="262"/>
      <c r="BP461" s="697"/>
      <c r="BQ461" s="262"/>
      <c r="BR461" s="262"/>
      <c r="BS461" s="262"/>
      <c r="BT461" s="262"/>
      <c r="BU461" s="262"/>
      <c r="BV461" s="262"/>
      <c r="BW461" s="262"/>
      <c r="BX461" s="262"/>
      <c r="BY461" s="262"/>
      <c r="BZ461" s="262"/>
      <c r="CA461" s="262"/>
      <c r="CB461" s="262"/>
      <c r="CC461" s="262"/>
      <c r="CD461" s="262"/>
      <c r="CE461" s="262"/>
      <c r="CF461" s="262"/>
      <c r="CG461" s="717"/>
      <c r="CH461" s="262"/>
      <c r="CI461" s="262"/>
      <c r="CJ461" s="83" t="str">
        <f t="shared" si="113"/>
        <v>No aplica</v>
      </c>
      <c r="CK461" s="83" t="str">
        <f t="shared" si="112"/>
        <v>No aplica</v>
      </c>
      <c r="CL461" s="83" t="str">
        <f t="shared" si="107"/>
        <v>No requiere reporte</v>
      </c>
      <c r="CM461" s="89" t="str">
        <f t="shared" si="108"/>
        <v>No requiere reporte</v>
      </c>
      <c r="CN461" s="89" t="str">
        <f t="shared" si="109"/>
        <v>No requiere reporte</v>
      </c>
      <c r="CO461" s="735" t="s">
        <v>2805</v>
      </c>
      <c r="CP461" s="677" t="s">
        <v>3728</v>
      </c>
      <c r="CQ461" s="145" t="s">
        <v>3722</v>
      </c>
      <c r="CR461" s="693" t="s">
        <v>3729</v>
      </c>
      <c r="CS461" s="693" t="s">
        <v>3730</v>
      </c>
      <c r="CT461" s="145" t="s">
        <v>200</v>
      </c>
      <c r="CU461" s="714" t="s">
        <v>162</v>
      </c>
      <c r="CV461" s="291">
        <v>0</v>
      </c>
      <c r="CW461" s="145" t="s">
        <v>163</v>
      </c>
      <c r="CX461" s="695">
        <v>46023</v>
      </c>
      <c r="CY461" s="695">
        <v>46387</v>
      </c>
      <c r="CZ461" s="157">
        <v>0</v>
      </c>
      <c r="DA461" s="146">
        <v>1</v>
      </c>
      <c r="DB461" s="146">
        <v>1</v>
      </c>
      <c r="DC461" s="146">
        <v>1</v>
      </c>
      <c r="DD461" s="146">
        <v>1</v>
      </c>
      <c r="DE461" s="665" t="s">
        <v>396</v>
      </c>
      <c r="DF461" s="665" t="s">
        <v>3719</v>
      </c>
      <c r="DG461" s="665" t="s">
        <v>3720</v>
      </c>
      <c r="DH461" s="696">
        <v>19505000000</v>
      </c>
      <c r="DI461" s="717"/>
      <c r="DJ461" s="717"/>
      <c r="DK461" s="717"/>
      <c r="DL461" s="665" t="s">
        <v>279</v>
      </c>
      <c r="DM461" s="665"/>
      <c r="DN461" s="218"/>
      <c r="DO461" s="716"/>
      <c r="DP461" s="665"/>
      <c r="DQ461" s="716"/>
      <c r="DR461" s="716"/>
      <c r="DS461" s="666"/>
      <c r="DT461" s="716"/>
      <c r="DU461" s="665"/>
      <c r="DV461" s="716"/>
      <c r="DW461" s="716"/>
      <c r="DX461" s="666"/>
      <c r="DY461" s="716"/>
      <c r="DZ461" s="665"/>
      <c r="EA461" s="716"/>
      <c r="EB461" s="716"/>
      <c r="EC461" s="665"/>
      <c r="ED461" s="665"/>
      <c r="EE461" s="665"/>
      <c r="EF461" s="665"/>
      <c r="EG461" s="665"/>
      <c r="EH461" s="146"/>
      <c r="EI461" s="170"/>
      <c r="EJ461" s="170"/>
      <c r="EK461" s="262"/>
      <c r="EL461" s="91" t="str">
        <f t="shared" si="110"/>
        <v>No aplica, no hay meta</v>
      </c>
      <c r="EM461" s="83" t="str">
        <f t="shared" si="111"/>
        <v>No se reportó avance</v>
      </c>
      <c r="EN461" s="697"/>
    </row>
    <row r="462" spans="1:144" ht="50.1" customHeight="1">
      <c r="A462" s="170" t="s">
        <v>4671</v>
      </c>
      <c r="B462" s="517" t="s">
        <v>3272</v>
      </c>
      <c r="C462" s="85" t="s">
        <v>3273</v>
      </c>
      <c r="D462" s="85" t="s">
        <v>3274</v>
      </c>
      <c r="E462" s="85" t="s">
        <v>3275</v>
      </c>
      <c r="F462" s="94" t="s">
        <v>280</v>
      </c>
      <c r="G462" s="94" t="s">
        <v>280</v>
      </c>
      <c r="H462" s="84" t="s">
        <v>3704</v>
      </c>
      <c r="I462" s="84" t="s">
        <v>3705</v>
      </c>
      <c r="J462" s="170" t="s">
        <v>3277</v>
      </c>
      <c r="K462" s="170" t="s">
        <v>3278</v>
      </c>
      <c r="L462" s="262">
        <v>10</v>
      </c>
      <c r="M462" s="84" t="s">
        <v>3706</v>
      </c>
      <c r="N462" s="84" t="s">
        <v>3707</v>
      </c>
      <c r="O462" s="84" t="s">
        <v>3708</v>
      </c>
      <c r="P462" s="84" t="s">
        <v>1161</v>
      </c>
      <c r="Q462" s="170" t="s">
        <v>162</v>
      </c>
      <c r="R462" s="84">
        <v>0</v>
      </c>
      <c r="S462" s="84" t="s">
        <v>163</v>
      </c>
      <c r="T462" s="90">
        <v>44927</v>
      </c>
      <c r="U462" s="90">
        <v>46357</v>
      </c>
      <c r="V462" s="262"/>
      <c r="W462" s="262"/>
      <c r="X462" s="262"/>
      <c r="Y462" s="262"/>
      <c r="Z462" s="85"/>
      <c r="AA462" s="85"/>
      <c r="AB462" s="85"/>
      <c r="AC462" s="85"/>
      <c r="AD462" s="85"/>
      <c r="AE462" s="85"/>
      <c r="AF462" s="85"/>
      <c r="AG462" s="85"/>
      <c r="AH462" s="85"/>
      <c r="AI462" s="85"/>
      <c r="AJ462" s="85"/>
      <c r="AK462" s="157"/>
      <c r="AL462" s="157"/>
      <c r="AM462" s="157"/>
      <c r="AN462" s="157"/>
      <c r="AO462" s="157"/>
      <c r="AP462" s="262"/>
      <c r="AQ462" s="262"/>
      <c r="AR462" s="262"/>
      <c r="AS462" s="262"/>
      <c r="AT462" s="262"/>
      <c r="AU462" s="262"/>
      <c r="AV462" s="262"/>
      <c r="AW462" s="262"/>
      <c r="AX462" s="262"/>
      <c r="AY462" s="262"/>
      <c r="AZ462" s="697"/>
      <c r="BA462" s="262"/>
      <c r="BB462" s="262"/>
      <c r="BC462" s="262"/>
      <c r="BD462" s="262"/>
      <c r="BE462" s="262"/>
      <c r="BF462" s="262"/>
      <c r="BG462" s="262"/>
      <c r="BH462" s="262"/>
      <c r="BI462" s="262"/>
      <c r="BJ462" s="697"/>
      <c r="BK462" s="262"/>
      <c r="BL462" s="697"/>
      <c r="BM462" s="262"/>
      <c r="BN462" s="697"/>
      <c r="BO462" s="262"/>
      <c r="BP462" s="697"/>
      <c r="BQ462" s="262"/>
      <c r="BR462" s="262"/>
      <c r="BS462" s="262"/>
      <c r="BT462" s="262"/>
      <c r="BU462" s="262"/>
      <c r="BV462" s="262"/>
      <c r="BW462" s="262"/>
      <c r="BX462" s="262"/>
      <c r="BY462" s="262"/>
      <c r="BZ462" s="262"/>
      <c r="CA462" s="262"/>
      <c r="CB462" s="262"/>
      <c r="CC462" s="262"/>
      <c r="CD462" s="262"/>
      <c r="CE462" s="262"/>
      <c r="CF462" s="262"/>
      <c r="CG462" s="717"/>
      <c r="CH462" s="262"/>
      <c r="CI462" s="262"/>
      <c r="CJ462" s="83" t="str">
        <f t="shared" si="113"/>
        <v>No aplica</v>
      </c>
      <c r="CK462" s="83" t="str">
        <f t="shared" si="112"/>
        <v>No aplica</v>
      </c>
      <c r="CL462" s="83" t="str">
        <f t="shared" si="107"/>
        <v>No requiere reporte</v>
      </c>
      <c r="CM462" s="89" t="str">
        <f t="shared" si="108"/>
        <v>No requiere reporte</v>
      </c>
      <c r="CN462" s="89" t="str">
        <f t="shared" si="109"/>
        <v>No requiere reporte</v>
      </c>
      <c r="CO462" s="735" t="s">
        <v>2810</v>
      </c>
      <c r="CP462" s="677" t="s">
        <v>3731</v>
      </c>
      <c r="CQ462" s="145" t="s">
        <v>3722</v>
      </c>
      <c r="CR462" s="693" t="s">
        <v>3732</v>
      </c>
      <c r="CS462" s="693" t="s">
        <v>3733</v>
      </c>
      <c r="CT462" s="145" t="s">
        <v>200</v>
      </c>
      <c r="CU462" s="145" t="s">
        <v>162</v>
      </c>
      <c r="CV462" s="146">
        <v>0</v>
      </c>
      <c r="CW462" s="145" t="s">
        <v>163</v>
      </c>
      <c r="CX462" s="695">
        <v>46023</v>
      </c>
      <c r="CY462" s="695">
        <v>46387</v>
      </c>
      <c r="CZ462" s="157">
        <v>0</v>
      </c>
      <c r="DA462" s="146">
        <v>1</v>
      </c>
      <c r="DB462" s="146">
        <v>1</v>
      </c>
      <c r="DC462" s="146">
        <v>1</v>
      </c>
      <c r="DD462" s="146">
        <v>1</v>
      </c>
      <c r="DE462" s="665" t="s">
        <v>396</v>
      </c>
      <c r="DF462" s="665" t="s">
        <v>3719</v>
      </c>
      <c r="DG462" s="665" t="s">
        <v>3720</v>
      </c>
      <c r="DH462" s="696">
        <v>1300000000</v>
      </c>
      <c r="DI462" s="717"/>
      <c r="DJ462" s="717"/>
      <c r="DK462" s="717"/>
      <c r="DL462" s="665" t="s">
        <v>279</v>
      </c>
      <c r="DM462" s="665"/>
      <c r="DN462" s="218"/>
      <c r="DO462" s="716"/>
      <c r="DP462" s="665"/>
      <c r="DQ462" s="716"/>
      <c r="DR462" s="716"/>
      <c r="DS462" s="666"/>
      <c r="DT462" s="716"/>
      <c r="DU462" s="665"/>
      <c r="DV462" s="716"/>
      <c r="DW462" s="716"/>
      <c r="DX462" s="666"/>
      <c r="DY462" s="716"/>
      <c r="DZ462" s="665"/>
      <c r="EA462" s="716"/>
      <c r="EB462" s="716"/>
      <c r="EC462" s="665"/>
      <c r="ED462" s="665"/>
      <c r="EE462" s="665"/>
      <c r="EF462" s="665"/>
      <c r="EG462" s="665"/>
      <c r="EH462" s="218"/>
      <c r="EI462" s="170"/>
      <c r="EJ462" s="170"/>
      <c r="EK462" s="262"/>
      <c r="EL462" s="91" t="str">
        <f t="shared" si="110"/>
        <v>No aplica, no hay meta</v>
      </c>
      <c r="EM462" s="83" t="str">
        <f t="shared" si="111"/>
        <v>No se reportó avance</v>
      </c>
      <c r="EN462" s="697"/>
    </row>
    <row r="463" spans="1:144" ht="50.1" customHeight="1">
      <c r="A463" s="170" t="s">
        <v>4671</v>
      </c>
      <c r="B463" s="517" t="s">
        <v>3272</v>
      </c>
      <c r="C463" s="85" t="s">
        <v>3273</v>
      </c>
      <c r="D463" s="85" t="s">
        <v>3274</v>
      </c>
      <c r="E463" s="85" t="s">
        <v>3275</v>
      </c>
      <c r="F463" s="94" t="s">
        <v>280</v>
      </c>
      <c r="G463" s="94" t="s">
        <v>280</v>
      </c>
      <c r="H463" s="84" t="s">
        <v>3704</v>
      </c>
      <c r="I463" s="84" t="s">
        <v>3705</v>
      </c>
      <c r="J463" s="170" t="s">
        <v>3277</v>
      </c>
      <c r="K463" s="170" t="s">
        <v>3278</v>
      </c>
      <c r="L463" s="262">
        <v>10</v>
      </c>
      <c r="M463" s="84" t="s">
        <v>3706</v>
      </c>
      <c r="N463" s="84" t="s">
        <v>3707</v>
      </c>
      <c r="O463" s="84" t="s">
        <v>3708</v>
      </c>
      <c r="P463" s="84" t="s">
        <v>1161</v>
      </c>
      <c r="Q463" s="170" t="s">
        <v>162</v>
      </c>
      <c r="R463" s="84">
        <v>0</v>
      </c>
      <c r="S463" s="84" t="s">
        <v>163</v>
      </c>
      <c r="T463" s="90">
        <v>44927</v>
      </c>
      <c r="U463" s="90">
        <v>46357</v>
      </c>
      <c r="V463" s="262"/>
      <c r="W463" s="262"/>
      <c r="X463" s="262"/>
      <c r="Y463" s="262"/>
      <c r="Z463" s="85"/>
      <c r="AA463" s="85"/>
      <c r="AB463" s="85"/>
      <c r="AC463" s="85"/>
      <c r="AD463" s="85"/>
      <c r="AE463" s="85"/>
      <c r="AF463" s="85"/>
      <c r="AG463" s="85"/>
      <c r="AH463" s="85"/>
      <c r="AI463" s="85"/>
      <c r="AJ463" s="85"/>
      <c r="AK463" s="157"/>
      <c r="AL463" s="157"/>
      <c r="AM463" s="157"/>
      <c r="AN463" s="157"/>
      <c r="AO463" s="157"/>
      <c r="AP463" s="262"/>
      <c r="AQ463" s="262"/>
      <c r="AR463" s="262"/>
      <c r="AS463" s="262"/>
      <c r="AT463" s="262"/>
      <c r="AU463" s="262"/>
      <c r="AV463" s="262"/>
      <c r="AW463" s="262"/>
      <c r="AX463" s="262"/>
      <c r="AY463" s="262"/>
      <c r="AZ463" s="697"/>
      <c r="BA463" s="262"/>
      <c r="BB463" s="262"/>
      <c r="BC463" s="262"/>
      <c r="BD463" s="262"/>
      <c r="BE463" s="262"/>
      <c r="BF463" s="262"/>
      <c r="BG463" s="262"/>
      <c r="BH463" s="262"/>
      <c r="BI463" s="262"/>
      <c r="BJ463" s="697"/>
      <c r="BK463" s="262"/>
      <c r="BL463" s="697"/>
      <c r="BM463" s="262"/>
      <c r="BN463" s="697"/>
      <c r="BO463" s="262"/>
      <c r="BP463" s="697"/>
      <c r="BQ463" s="262"/>
      <c r="BR463" s="262"/>
      <c r="BS463" s="262"/>
      <c r="BT463" s="262"/>
      <c r="BU463" s="262"/>
      <c r="BV463" s="262"/>
      <c r="BW463" s="262"/>
      <c r="BX463" s="262"/>
      <c r="BY463" s="262"/>
      <c r="BZ463" s="262"/>
      <c r="CA463" s="262"/>
      <c r="CB463" s="262"/>
      <c r="CC463" s="262"/>
      <c r="CD463" s="262"/>
      <c r="CE463" s="262"/>
      <c r="CF463" s="262"/>
      <c r="CG463" s="717"/>
      <c r="CH463" s="262"/>
      <c r="CI463" s="262"/>
      <c r="CJ463" s="83" t="str">
        <f t="shared" si="113"/>
        <v>No aplica</v>
      </c>
      <c r="CK463" s="83" t="str">
        <f t="shared" si="112"/>
        <v>No aplica</v>
      </c>
      <c r="CL463" s="83" t="str">
        <f t="shared" si="107"/>
        <v>No requiere reporte</v>
      </c>
      <c r="CM463" s="89" t="str">
        <f t="shared" si="108"/>
        <v>No requiere reporte</v>
      </c>
      <c r="CN463" s="89" t="str">
        <f t="shared" si="109"/>
        <v>No requiere reporte</v>
      </c>
      <c r="CO463" s="735" t="s">
        <v>2816</v>
      </c>
      <c r="CP463" s="677" t="s">
        <v>3734</v>
      </c>
      <c r="CQ463" s="145" t="s">
        <v>3735</v>
      </c>
      <c r="CR463" s="693" t="s">
        <v>3736</v>
      </c>
      <c r="CS463" s="693" t="s">
        <v>3737</v>
      </c>
      <c r="CT463" s="145" t="s">
        <v>200</v>
      </c>
      <c r="CU463" s="714" t="s">
        <v>162</v>
      </c>
      <c r="CV463" s="291">
        <v>0</v>
      </c>
      <c r="CW463" s="145" t="s">
        <v>163</v>
      </c>
      <c r="CX463" s="695">
        <v>46023</v>
      </c>
      <c r="CY463" s="695">
        <v>46387</v>
      </c>
      <c r="CZ463" s="157">
        <v>0</v>
      </c>
      <c r="DA463" s="146">
        <v>1</v>
      </c>
      <c r="DB463" s="146">
        <v>1</v>
      </c>
      <c r="DC463" s="146">
        <v>1</v>
      </c>
      <c r="DD463" s="146">
        <v>1</v>
      </c>
      <c r="DE463" s="665" t="s">
        <v>396</v>
      </c>
      <c r="DF463" s="665" t="s">
        <v>3719</v>
      </c>
      <c r="DG463" s="665" t="s">
        <v>3720</v>
      </c>
      <c r="DH463" s="696">
        <v>500000000</v>
      </c>
      <c r="DI463" s="717"/>
      <c r="DJ463" s="717"/>
      <c r="DK463" s="717"/>
      <c r="DL463" s="665" t="s">
        <v>279</v>
      </c>
      <c r="DM463" s="665"/>
      <c r="DN463" s="218"/>
      <c r="DO463" s="716"/>
      <c r="DP463" s="665"/>
      <c r="DQ463" s="716"/>
      <c r="DR463" s="716"/>
      <c r="DS463" s="218"/>
      <c r="DT463" s="716"/>
      <c r="DU463" s="665"/>
      <c r="DV463" s="716"/>
      <c r="DW463" s="716"/>
      <c r="DX463" s="218"/>
      <c r="DY463" s="716"/>
      <c r="DZ463" s="665"/>
      <c r="EA463" s="716"/>
      <c r="EB463" s="716"/>
      <c r="EC463" s="665"/>
      <c r="ED463" s="665"/>
      <c r="EE463" s="665"/>
      <c r="EF463" s="665"/>
      <c r="EG463" s="665"/>
      <c r="EH463" s="666"/>
      <c r="EI463" s="170"/>
      <c r="EJ463" s="170"/>
      <c r="EK463" s="262"/>
      <c r="EL463" s="91" t="str">
        <f t="shared" si="110"/>
        <v>No aplica, no hay meta</v>
      </c>
      <c r="EM463" s="83" t="str">
        <f t="shared" si="111"/>
        <v>No se reportó avance</v>
      </c>
      <c r="EN463" s="697"/>
    </row>
    <row r="464" spans="1:144" ht="50.1" customHeight="1">
      <c r="A464" s="170" t="s">
        <v>4671</v>
      </c>
      <c r="B464" s="517" t="s">
        <v>3272</v>
      </c>
      <c r="C464" s="85" t="s">
        <v>3273</v>
      </c>
      <c r="D464" s="85" t="s">
        <v>3274</v>
      </c>
      <c r="E464" s="85" t="s">
        <v>3275</v>
      </c>
      <c r="F464" s="94" t="s">
        <v>280</v>
      </c>
      <c r="G464" s="94" t="s">
        <v>280</v>
      </c>
      <c r="H464" s="84" t="s">
        <v>3704</v>
      </c>
      <c r="I464" s="84" t="s">
        <v>3705</v>
      </c>
      <c r="J464" s="170" t="s">
        <v>3277</v>
      </c>
      <c r="K464" s="170" t="s">
        <v>3278</v>
      </c>
      <c r="L464" s="262">
        <v>10</v>
      </c>
      <c r="M464" s="84" t="s">
        <v>3706</v>
      </c>
      <c r="N464" s="84" t="s">
        <v>3707</v>
      </c>
      <c r="O464" s="84" t="s">
        <v>3708</v>
      </c>
      <c r="P464" s="84" t="s">
        <v>1161</v>
      </c>
      <c r="Q464" s="170" t="s">
        <v>162</v>
      </c>
      <c r="R464" s="84">
        <v>0</v>
      </c>
      <c r="S464" s="84" t="s">
        <v>163</v>
      </c>
      <c r="T464" s="90">
        <v>44927</v>
      </c>
      <c r="U464" s="90">
        <v>46357</v>
      </c>
      <c r="V464" s="262"/>
      <c r="W464" s="262"/>
      <c r="X464" s="262"/>
      <c r="Y464" s="262"/>
      <c r="Z464" s="85"/>
      <c r="AA464" s="85"/>
      <c r="AB464" s="85"/>
      <c r="AC464" s="85"/>
      <c r="AD464" s="85"/>
      <c r="AE464" s="85"/>
      <c r="AF464" s="85"/>
      <c r="AG464" s="85"/>
      <c r="AH464" s="85"/>
      <c r="AI464" s="85"/>
      <c r="AJ464" s="85"/>
      <c r="AK464" s="157"/>
      <c r="AL464" s="157"/>
      <c r="AM464" s="157"/>
      <c r="AN464" s="157"/>
      <c r="AO464" s="157"/>
      <c r="AP464" s="262"/>
      <c r="AQ464" s="262"/>
      <c r="AR464" s="262"/>
      <c r="AS464" s="262"/>
      <c r="AT464" s="262"/>
      <c r="AU464" s="262"/>
      <c r="AV464" s="262"/>
      <c r="AW464" s="262"/>
      <c r="AX464" s="262"/>
      <c r="AY464" s="262"/>
      <c r="AZ464" s="697"/>
      <c r="BA464" s="262"/>
      <c r="BB464" s="262"/>
      <c r="BC464" s="262"/>
      <c r="BD464" s="262"/>
      <c r="BE464" s="262"/>
      <c r="BF464" s="262"/>
      <c r="BG464" s="262"/>
      <c r="BH464" s="262"/>
      <c r="BI464" s="262"/>
      <c r="BJ464" s="697"/>
      <c r="BK464" s="262"/>
      <c r="BL464" s="697"/>
      <c r="BM464" s="262"/>
      <c r="BN464" s="697"/>
      <c r="BO464" s="262"/>
      <c r="BP464" s="697"/>
      <c r="BQ464" s="262"/>
      <c r="BR464" s="262"/>
      <c r="BS464" s="262"/>
      <c r="BT464" s="262"/>
      <c r="BU464" s="262"/>
      <c r="BV464" s="262"/>
      <c r="BW464" s="262"/>
      <c r="BX464" s="262"/>
      <c r="BY464" s="262"/>
      <c r="BZ464" s="262"/>
      <c r="CA464" s="262"/>
      <c r="CB464" s="262"/>
      <c r="CC464" s="262"/>
      <c r="CD464" s="262"/>
      <c r="CE464" s="262"/>
      <c r="CF464" s="262"/>
      <c r="CG464" s="717"/>
      <c r="CH464" s="262"/>
      <c r="CI464" s="262"/>
      <c r="CJ464" s="83" t="str">
        <f t="shared" si="113"/>
        <v>No aplica</v>
      </c>
      <c r="CK464" s="83" t="str">
        <f t="shared" si="112"/>
        <v>No aplica</v>
      </c>
      <c r="CL464" s="83" t="str">
        <f t="shared" si="107"/>
        <v>No requiere reporte</v>
      </c>
      <c r="CM464" s="89" t="str">
        <f t="shared" si="108"/>
        <v>No requiere reporte</v>
      </c>
      <c r="CN464" s="89" t="str">
        <f t="shared" si="109"/>
        <v>No requiere reporte</v>
      </c>
      <c r="CO464" s="735" t="s">
        <v>3738</v>
      </c>
      <c r="CP464" s="677" t="s">
        <v>3739</v>
      </c>
      <c r="CQ464" s="145" t="s">
        <v>3740</v>
      </c>
      <c r="CR464" s="693" t="s">
        <v>3741</v>
      </c>
      <c r="CS464" s="693" t="s">
        <v>3741</v>
      </c>
      <c r="CT464" s="145" t="s">
        <v>200</v>
      </c>
      <c r="CU464" s="714" t="s">
        <v>162</v>
      </c>
      <c r="CV464" s="291">
        <v>0</v>
      </c>
      <c r="CW464" s="145" t="s">
        <v>163</v>
      </c>
      <c r="CX464" s="695">
        <v>46023</v>
      </c>
      <c r="CY464" s="695">
        <v>46387</v>
      </c>
      <c r="CZ464" s="157">
        <v>0</v>
      </c>
      <c r="DA464" s="146">
        <v>1</v>
      </c>
      <c r="DB464" s="146">
        <v>1</v>
      </c>
      <c r="DC464" s="146">
        <v>1</v>
      </c>
      <c r="DD464" s="146">
        <v>1</v>
      </c>
      <c r="DE464" s="665" t="s">
        <v>396</v>
      </c>
      <c r="DF464" s="665" t="s">
        <v>3719</v>
      </c>
      <c r="DG464" s="665" t="s">
        <v>3720</v>
      </c>
      <c r="DH464" s="696">
        <v>700000000</v>
      </c>
      <c r="DI464" s="717"/>
      <c r="DJ464" s="717"/>
      <c r="DK464" s="717"/>
      <c r="DL464" s="665" t="s">
        <v>279</v>
      </c>
      <c r="DM464" s="665"/>
      <c r="DN464" s="218"/>
      <c r="DO464" s="716"/>
      <c r="DP464" s="665"/>
      <c r="DQ464" s="716"/>
      <c r="DR464" s="716"/>
      <c r="DS464" s="218"/>
      <c r="DT464" s="716"/>
      <c r="DU464" s="665"/>
      <c r="DV464" s="716"/>
      <c r="DW464" s="716"/>
      <c r="DX464" s="218"/>
      <c r="DY464" s="716"/>
      <c r="DZ464" s="665"/>
      <c r="EA464" s="716"/>
      <c r="EB464" s="716"/>
      <c r="EC464" s="665"/>
      <c r="ED464" s="665"/>
      <c r="EE464" s="665"/>
      <c r="EF464" s="665"/>
      <c r="EG464" s="665"/>
      <c r="EH464" s="666"/>
      <c r="EI464" s="170"/>
      <c r="EJ464" s="170"/>
      <c r="EK464" s="262"/>
      <c r="EL464" s="91" t="str">
        <f t="shared" si="110"/>
        <v>No aplica, no hay meta</v>
      </c>
      <c r="EM464" s="83" t="str">
        <f t="shared" si="111"/>
        <v>No se reportó avance</v>
      </c>
      <c r="EN464" s="697"/>
    </row>
    <row r="465" spans="1:144" ht="50.1" customHeight="1">
      <c r="A465" s="203" t="s">
        <v>4671</v>
      </c>
      <c r="B465" s="505" t="s">
        <v>3272</v>
      </c>
      <c r="C465" s="75" t="s">
        <v>3273</v>
      </c>
      <c r="D465" s="75" t="s">
        <v>3274</v>
      </c>
      <c r="E465" s="75" t="s">
        <v>3275</v>
      </c>
      <c r="F465" s="98" t="s">
        <v>280</v>
      </c>
      <c r="G465" s="98" t="s">
        <v>280</v>
      </c>
      <c r="H465" s="74" t="s">
        <v>3742</v>
      </c>
      <c r="I465" s="74" t="s">
        <v>3705</v>
      </c>
      <c r="J465" s="203" t="s">
        <v>3277</v>
      </c>
      <c r="K465" s="203" t="s">
        <v>3278</v>
      </c>
      <c r="L465" s="260">
        <v>11</v>
      </c>
      <c r="M465" s="78" t="s">
        <v>3743</v>
      </c>
      <c r="N465" s="78" t="s">
        <v>3744</v>
      </c>
      <c r="O465" s="78" t="s">
        <v>3281</v>
      </c>
      <c r="P465" s="78" t="s">
        <v>1161</v>
      </c>
      <c r="Q465" s="255" t="s">
        <v>162</v>
      </c>
      <c r="R465" s="638">
        <v>0</v>
      </c>
      <c r="S465" s="78" t="s">
        <v>163</v>
      </c>
      <c r="T465" s="80">
        <v>44927</v>
      </c>
      <c r="U465" s="80">
        <v>46357</v>
      </c>
      <c r="V465" s="531"/>
      <c r="W465" s="531"/>
      <c r="X465" s="531"/>
      <c r="Y465" s="531"/>
      <c r="Z465" s="79">
        <v>1</v>
      </c>
      <c r="AA465" s="75">
        <v>1</v>
      </c>
      <c r="AB465" s="75">
        <v>1</v>
      </c>
      <c r="AC465" s="75">
        <v>1</v>
      </c>
      <c r="AD465" s="75">
        <v>1</v>
      </c>
      <c r="AE465" s="79">
        <v>1</v>
      </c>
      <c r="AF465" s="79">
        <v>1</v>
      </c>
      <c r="AG465" s="79">
        <v>1</v>
      </c>
      <c r="AH465" s="79">
        <v>1</v>
      </c>
      <c r="AI465" s="79">
        <v>1</v>
      </c>
      <c r="AJ465" s="79">
        <v>1</v>
      </c>
      <c r="AK465" s="142">
        <v>1</v>
      </c>
      <c r="AL465" s="142">
        <v>1</v>
      </c>
      <c r="AM465" s="142">
        <v>1</v>
      </c>
      <c r="AN465" s="142">
        <v>1</v>
      </c>
      <c r="AO465" s="142">
        <v>1</v>
      </c>
      <c r="AP465" s="79">
        <v>1</v>
      </c>
      <c r="AQ465" s="262"/>
      <c r="AR465" s="262"/>
      <c r="AS465" s="262"/>
      <c r="AT465" s="262"/>
      <c r="AU465" s="262"/>
      <c r="AV465" s="262"/>
      <c r="AW465" s="262"/>
      <c r="AX465" s="262"/>
      <c r="AY465" s="173">
        <v>0.02</v>
      </c>
      <c r="AZ465" s="692" t="s">
        <v>3745</v>
      </c>
      <c r="BA465" s="173">
        <f>6/6</f>
        <v>1</v>
      </c>
      <c r="BB465" s="170" t="s">
        <v>3746</v>
      </c>
      <c r="BC465" s="173">
        <f>2/2</f>
        <v>1</v>
      </c>
      <c r="BD465" s="170" t="s">
        <v>3747</v>
      </c>
      <c r="BE465" s="173">
        <f>2/2</f>
        <v>1</v>
      </c>
      <c r="BF465" s="170" t="s">
        <v>3748</v>
      </c>
      <c r="BG465" s="173">
        <v>0</v>
      </c>
      <c r="BH465" s="170" t="s">
        <v>3286</v>
      </c>
      <c r="BI465" s="173">
        <f>+(BA465+BC465+BE465+BG465)/4</f>
        <v>0.75</v>
      </c>
      <c r="BJ465" s="692"/>
      <c r="BK465" s="173">
        <v>0</v>
      </c>
      <c r="BL465" s="692" t="s">
        <v>3287</v>
      </c>
      <c r="BM465" s="173">
        <v>0</v>
      </c>
      <c r="BN465" s="692" t="s">
        <v>3287</v>
      </c>
      <c r="BO465" s="173">
        <v>0</v>
      </c>
      <c r="BP465" s="692" t="s">
        <v>3287</v>
      </c>
      <c r="BQ465" s="262"/>
      <c r="BR465" s="262"/>
      <c r="BS465" s="83"/>
      <c r="BT465" s="262"/>
      <c r="BU465" s="262"/>
      <c r="BV465" s="262"/>
      <c r="BW465" s="262"/>
      <c r="BX465" s="262"/>
      <c r="BY465" s="262"/>
      <c r="BZ465" s="262"/>
      <c r="CA465" s="262"/>
      <c r="CB465" s="262"/>
      <c r="CC465" s="262"/>
      <c r="CD465" s="262"/>
      <c r="CE465" s="146"/>
      <c r="CF465" s="262"/>
      <c r="CG465" s="713">
        <f>SUBTOTAL(9,DH465:DH466)</f>
        <v>0</v>
      </c>
      <c r="CH465" s="515"/>
      <c r="CI465" s="515"/>
      <c r="CJ465" s="83" t="str">
        <f t="shared" si="113"/>
        <v>No aplica</v>
      </c>
      <c r="CK465" s="83" t="str">
        <f t="shared" si="112"/>
        <v>No aplica</v>
      </c>
      <c r="CL465" s="83" t="str">
        <f t="shared" ref="CL465:CL528" si="114">+IFERROR(IF(M465=M464,"No requiere reporte",IF(OR(AK465=0,AK465=""),"No aplica, no hay meta",IF(AK465="NA","No aplica, no hay meta",IF(BU465="","No se reportó avance",IF(OR(AND(Q465="Capacidad",OR(R465="",R465=0,R465="NA")),AND(Q465="Reducción",OR(R465="",R465=0,R465="NA"))),"Se requiere valor de línea base para este tipo de acumulación",IF(OR(AND(Q465="Flujo",OR(R465&lt;&gt;"",R465&lt;&gt;0,R465&lt;&gt;"NA"),BU465="NA"),AND(Q465="Stock",OR(R465&lt;&gt;"",R465&lt;&gt;0,R465&lt;&gt;"NA"),BU465="NA")),"No aplica",IF(Q465="Flujo",IF(BU465/AK465&gt;1,1.00001,BU465/AK465),IF(Q465="Stock",IF(BU465/AK465&gt;1,1.00001,BU465/AK465),IF(Q465="Acumulado",IF((BU465)/AK465&gt;1,1.00001,(BU465)/AK465),IF(Q465="Capacidad",IF(((BU465-R465)/(AK465-R465))&gt;1,1.00001,((BU465-R465)/(AK465-R465))),IF(Q465="Reducción",IF(((R465-BU465)/(R465-BU465))&gt;1,1.00001,((R465-BU465)/(R465-BU465))),"Revisar acumulación"))))))))))),"Revisar fórmula")</f>
        <v>No se reportó avance</v>
      </c>
      <c r="CM465" s="89" t="str">
        <f t="shared" ref="CM465:CM528" si="115">+IFERROR(IF(M465=M464,"No requiere reporte",IF(OR(AO465=0,AO465=""),"No aplica, no hay meta",IF(AO465="NA","No aplica, no hay meta",IF(CC465="","No se reportó avance",IF(OR(AND(Q465="Capacidad",OR(R465="",R465=0,R465="NA")),AND(Q465="Reducción",OR(R465="",R465=0,R465="NA"))),"Se requiere valor de línea base para este tipo de acumulación",IF(OR(AND(Q465="Flujo",OR(R465&lt;&gt;"",R465&lt;&gt;0,R465&lt;&gt;"NA"),CC465="NA"),AND(Q465="Stock",OR(R465&lt;&gt;"",R465&lt;&gt;0,R465&lt;&gt;"NA"),CC465="NA")),"No aplica",IF(Q465="Flujo",IF(CC465/AO465&gt;1,1.00001,CC465/AO465),IF(Q465="Stock",IF(CC465/AO465&gt;1,1.00001,CC465/AO465),IF(Q465="Acumulado",IF((CC465)/AO465&gt;1,1.00001,(CC465)/AO465),IF(Q465="Capacidad",IF(((CC465-R465)/(AO465-R465))&gt;1,1.00001,((CC465-R465)/(AO465-R465))),IF(Q465="Reducción",IF(((R465-CC465)/(R465-CC465))&gt;1,1.00001,((R465-CC465)/(R465-CC465))),"Revisar acumulación"))))))))))),"Revisar fórmula")</f>
        <v>No se reportó avance</v>
      </c>
      <c r="CN465" s="89" t="str">
        <f t="shared" ref="CN465:CN528" si="116">+IFERROR(IF(M465=M464,"No requiere reporte",IF(OR(AP465=0,AP465=""),"No aplica, no hay meta",IF(AP465="NA","No aplica, no hay meta",IF(CE465="","No se reportó avance",IF(OR(AND(Q465="Capacidad",OR(R465="",R465=0,R465="NA")),AND(Q465="Reducción",OR(R465="",R465=0,R465="NA"))),"Se requiere valor de línea base para este tipo de acumulación",IF(OR(AND(Q465="Flujo",OR(R465&lt;&gt;"",R465&lt;&gt;0,R465&lt;&gt;"NA"),CE465="NA"),AND(Q465="Stock",OR(R465&lt;&gt;"",R465&lt;&gt;0,R465&lt;&gt;"NA"),CE465="NA")),"No aplica",IF(Q465="Flujo",IF(CE465/AP465&gt;1,1.00001,CE465/AP465),IF(Q465="Stock",IF(CE465/AP465&gt;1,1.00001,CE465/AP465),IF(Q465="Acumulado",IF((CE465)/AP465&gt;1,1.00001,(CE465)/AP465),IF(Q465="Capacidad",IF(((CE465-R465)/(AP465-R465))&gt;1,1.00001,((CE465-R465)/(AP465-R465))),IF(Q465="Reducción",IF(((R465-CE465)/(R465-CE465))&gt;1,1.00001,((R465-CE465)/(R465-CE465))),"Revisar acumulación"))))))))))),"Revisar fórmula")</f>
        <v>No se reportó avance</v>
      </c>
      <c r="CO465" s="735" t="s">
        <v>2107</v>
      </c>
      <c r="CP465" s="677" t="s">
        <v>3749</v>
      </c>
      <c r="CQ465" s="145" t="s">
        <v>3750</v>
      </c>
      <c r="CR465" s="693" t="s">
        <v>3751</v>
      </c>
      <c r="CS465" s="693" t="s">
        <v>3752</v>
      </c>
      <c r="CT465" s="145" t="s">
        <v>200</v>
      </c>
      <c r="CU465" s="714" t="s">
        <v>162</v>
      </c>
      <c r="CV465" s="291">
        <v>0</v>
      </c>
      <c r="CW465" s="145" t="s">
        <v>163</v>
      </c>
      <c r="CX465" s="695">
        <v>46023</v>
      </c>
      <c r="CY465" s="695">
        <v>46387</v>
      </c>
      <c r="CZ465" s="146">
        <v>1</v>
      </c>
      <c r="DA465" s="146">
        <v>1</v>
      </c>
      <c r="DB465" s="146">
        <v>1</v>
      </c>
      <c r="DC465" s="146">
        <v>1</v>
      </c>
      <c r="DD465" s="146">
        <v>1</v>
      </c>
      <c r="DE465" s="665" t="s">
        <v>2951</v>
      </c>
      <c r="DF465" s="665" t="s">
        <v>3294</v>
      </c>
      <c r="DG465" s="665" t="s">
        <v>3295</v>
      </c>
      <c r="DH465" s="696">
        <v>0</v>
      </c>
      <c r="DI465" s="717"/>
      <c r="DJ465" s="717"/>
      <c r="DK465" s="717"/>
      <c r="DL465" s="665" t="s">
        <v>279</v>
      </c>
      <c r="DM465" s="665" t="s">
        <v>3296</v>
      </c>
      <c r="DN465" s="218"/>
      <c r="DO465" s="716"/>
      <c r="DP465" s="665"/>
      <c r="DQ465" s="716"/>
      <c r="DR465" s="716"/>
      <c r="DS465" s="218"/>
      <c r="DT465" s="716"/>
      <c r="DU465" s="665"/>
      <c r="DV465" s="716"/>
      <c r="DW465" s="716"/>
      <c r="DX465" s="218"/>
      <c r="DY465" s="716"/>
      <c r="DZ465" s="665"/>
      <c r="EA465" s="716"/>
      <c r="EB465" s="716"/>
      <c r="EC465" s="665"/>
      <c r="ED465" s="665"/>
      <c r="EE465" s="665"/>
      <c r="EF465" s="665"/>
      <c r="EG465" s="665"/>
      <c r="EH465" s="146"/>
      <c r="EI465" s="170"/>
      <c r="EJ465" s="170"/>
      <c r="EK465" s="262"/>
      <c r="EL465" s="91" t="str">
        <f t="shared" ref="EL465:EL528" si="117">+IFERROR(IF(CP465=CP464,"No requiere reporte",IF(OR(CZ465=0,CZ465=""),"No aplica, no hay meta",IF(CZ465="NA","No aplica, no hay meta",IF(DN465="","No se reportó avance",IF(OR(AND(CU465="Capacidad",OR(CV465="",CV465=0,CV465="NA")),AND(CU465="Reducción",OR(CV465="",CV465=0,CV465="NA"))),"Se requiere valor de línea base para este tipo de acumulación",IF(OR(AND(CU465="Flujo",OR(CV465&lt;&gt;"",CV465&lt;&gt;0,CV465&lt;&gt;"NA"),DN465="NA"),AND(CU465="Stock",OR(CV465&lt;&gt;"",CV465&lt;&gt;0,CV465&lt;&gt;"NA"),DN465="NA")),"No aplica",IF(CU465="Flujo",IF(DN465/CZ465&gt;1,1.00001,DN465/CZ465),IF(CU465="Stock",IF(DN465/CZ465&gt;1,1.00001,DN465/CZ465),IF(CU465="Acumulado",IF((DN465)/CZ465&gt;1,1.00001,(DN465)/CZ465),IF(CU465="Capacidad",IF(((DN465-CV465)/(CZ465-CV465))&gt;1,1.00001,((DN465-CV465)/(CZ465-CV465))),IF(CU465="Reducción",IF(((CV465-DN465)/(CV465-DN465))&gt;1,1.00001,((CV465-DN465)/(CV465-DN465))),"Revisar acumulación"))))))))))),"Revisar fórmula")</f>
        <v>No se reportó avance</v>
      </c>
      <c r="EM465" s="83" t="str">
        <f t="shared" ref="EM465:EM528" si="118">+IFERROR(IF(CP465=CP464,"No requiere reporte",IF(OR(DD465=0,DD465=""),"No aplica, no hay meta",IF(DD465="NA","No aplica, no hay meta",IF(EH465="","No se reportó avance",IF(OR(AND(CU465="Capacidad",OR(CV465="",CV465=0,CV465="NA")),AND(CU465="Reducción",OR(CV465="",CV465=0,CV465="NA"))),"Se requiere valor de línea base para este tipo de acumulación",IF(OR(AND(CU465="Flujo",OR(CV465&lt;&gt;"",CV465&lt;&gt;0,CV465&lt;&gt;"NA"),EH465="NA"),AND(CU465="Stock",OR(CV465&lt;&gt;"",CV465&lt;&gt;0,CV465&lt;&gt;"NA"),CV465="NA")),"No aplica",IF(CU465="Flujo",IF(EH465/DD465&gt;1,1.00001,EH465/DD465),IF(CU465="Stock",IF(EH465/DD465&gt;1,1.00001,EH465/DD465),IF(CU465="Acumulado",IF((EH465)/DD465&gt;1,1.00001,(EH465)/DD465),IF(CU465="Capacidad",IF(((EH465-CV465)/(DD465-CV465))&gt;1,1.00001,((EH465-CV465)/(DD465-CV465))),IF(CU465="Reducción",IF(((CV465-EH465)/(CV465-DD465))&gt;1,1.00001,((CV465-EH465)/(CV465-DD465))),"Revisar acumulación"))))))))))),"Revisar fórmula")</f>
        <v>No se reportó avance</v>
      </c>
      <c r="EN465" s="697"/>
    </row>
    <row r="466" spans="1:144" ht="50.1" customHeight="1">
      <c r="A466" s="170" t="s">
        <v>4671</v>
      </c>
      <c r="B466" s="517" t="s">
        <v>3272</v>
      </c>
      <c r="C466" s="85" t="s">
        <v>3273</v>
      </c>
      <c r="D466" s="85" t="s">
        <v>3274</v>
      </c>
      <c r="E466" s="85" t="s">
        <v>3275</v>
      </c>
      <c r="F466" s="94" t="s">
        <v>280</v>
      </c>
      <c r="G466" s="94" t="s">
        <v>280</v>
      </c>
      <c r="H466" s="84" t="s">
        <v>3742</v>
      </c>
      <c r="I466" s="84" t="s">
        <v>3705</v>
      </c>
      <c r="J466" s="170" t="s">
        <v>3277</v>
      </c>
      <c r="K466" s="170" t="s">
        <v>3278</v>
      </c>
      <c r="L466" s="262">
        <v>11</v>
      </c>
      <c r="M466" s="84" t="s">
        <v>3743</v>
      </c>
      <c r="N466" s="84" t="s">
        <v>3744</v>
      </c>
      <c r="O466" s="84" t="s">
        <v>3281</v>
      </c>
      <c r="P466" s="84" t="s">
        <v>1161</v>
      </c>
      <c r="Q466" s="170" t="s">
        <v>162</v>
      </c>
      <c r="R466" s="84">
        <v>0</v>
      </c>
      <c r="S466" s="84" t="s">
        <v>163</v>
      </c>
      <c r="T466" s="90">
        <v>44927</v>
      </c>
      <c r="U466" s="90">
        <v>46357</v>
      </c>
      <c r="V466" s="262"/>
      <c r="W466" s="262"/>
      <c r="X466" s="262"/>
      <c r="Y466" s="262"/>
      <c r="Z466" s="85"/>
      <c r="AA466" s="85"/>
      <c r="AB466" s="85"/>
      <c r="AC466" s="85"/>
      <c r="AD466" s="85"/>
      <c r="AE466" s="85"/>
      <c r="AF466" s="85"/>
      <c r="AG466" s="85"/>
      <c r="AH466" s="85"/>
      <c r="AI466" s="85"/>
      <c r="AJ466" s="85"/>
      <c r="AK466" s="157"/>
      <c r="AL466" s="157"/>
      <c r="AM466" s="157"/>
      <c r="AN466" s="157"/>
      <c r="AO466" s="157"/>
      <c r="AP466" s="262"/>
      <c r="AQ466" s="262"/>
      <c r="AR466" s="262"/>
      <c r="AS466" s="262"/>
      <c r="AT466" s="262"/>
      <c r="AU466" s="262"/>
      <c r="AV466" s="262"/>
      <c r="AW466" s="262"/>
      <c r="AX466" s="262"/>
      <c r="AY466" s="262"/>
      <c r="AZ466" s="697"/>
      <c r="BA466" s="262"/>
      <c r="BB466" s="262"/>
      <c r="BC466" s="262"/>
      <c r="BD466" s="262"/>
      <c r="BE466" s="262"/>
      <c r="BF466" s="262"/>
      <c r="BG466" s="262"/>
      <c r="BH466" s="262"/>
      <c r="BI466" s="262"/>
      <c r="BJ466" s="697"/>
      <c r="BK466" s="262"/>
      <c r="BL466" s="697"/>
      <c r="BM466" s="262"/>
      <c r="BN466" s="697"/>
      <c r="BO466" s="262"/>
      <c r="BP466" s="697"/>
      <c r="BQ466" s="262"/>
      <c r="BR466" s="262"/>
      <c r="BS466" s="262"/>
      <c r="BT466" s="262"/>
      <c r="BU466" s="262"/>
      <c r="BV466" s="262"/>
      <c r="BW466" s="262"/>
      <c r="BX466" s="262"/>
      <c r="BY466" s="262"/>
      <c r="BZ466" s="262"/>
      <c r="CA466" s="262"/>
      <c r="CB466" s="262"/>
      <c r="CC466" s="262"/>
      <c r="CD466" s="262"/>
      <c r="CE466" s="262"/>
      <c r="CF466" s="262"/>
      <c r="CG466" s="717"/>
      <c r="CH466" s="262"/>
      <c r="CI466" s="262"/>
      <c r="CJ466" s="83" t="str">
        <f t="shared" si="113"/>
        <v>No aplica</v>
      </c>
      <c r="CK466" s="83" t="str">
        <f t="shared" ref="CK466:CK529" si="119">+IFERROR(CI466/CG466,"No aplica")</f>
        <v>No aplica</v>
      </c>
      <c r="CL466" s="83" t="str">
        <f t="shared" si="114"/>
        <v>No requiere reporte</v>
      </c>
      <c r="CM466" s="89" t="str">
        <f t="shared" si="115"/>
        <v>No requiere reporte</v>
      </c>
      <c r="CN466" s="89" t="str">
        <f t="shared" si="116"/>
        <v>No requiere reporte</v>
      </c>
      <c r="CO466" s="735" t="s">
        <v>2113</v>
      </c>
      <c r="CP466" s="677" t="s">
        <v>3753</v>
      </c>
      <c r="CQ466" s="145" t="s">
        <v>3754</v>
      </c>
      <c r="CR466" s="693" t="s">
        <v>3755</v>
      </c>
      <c r="CS466" s="693" t="s">
        <v>3756</v>
      </c>
      <c r="CT466" s="145" t="s">
        <v>200</v>
      </c>
      <c r="CU466" s="714" t="s">
        <v>162</v>
      </c>
      <c r="CV466" s="291">
        <v>0</v>
      </c>
      <c r="CW466" s="145" t="s">
        <v>163</v>
      </c>
      <c r="CX466" s="695">
        <v>46023</v>
      </c>
      <c r="CY466" s="695">
        <v>46387</v>
      </c>
      <c r="CZ466" s="146">
        <v>1</v>
      </c>
      <c r="DA466" s="146">
        <v>1</v>
      </c>
      <c r="DB466" s="146">
        <v>1</v>
      </c>
      <c r="DC466" s="146">
        <v>1</v>
      </c>
      <c r="DD466" s="146">
        <v>1</v>
      </c>
      <c r="DE466" s="665" t="s">
        <v>2951</v>
      </c>
      <c r="DF466" s="665" t="s">
        <v>3294</v>
      </c>
      <c r="DG466" s="665" t="s">
        <v>3295</v>
      </c>
      <c r="DH466" s="696">
        <v>0</v>
      </c>
      <c r="DI466" s="717"/>
      <c r="DJ466" s="717"/>
      <c r="DK466" s="717"/>
      <c r="DL466" s="665" t="s">
        <v>279</v>
      </c>
      <c r="DM466" s="665" t="s">
        <v>3296</v>
      </c>
      <c r="DN466" s="218"/>
      <c r="DO466" s="716"/>
      <c r="DP466" s="665"/>
      <c r="DQ466" s="716"/>
      <c r="DR466" s="716"/>
      <c r="DS466" s="218"/>
      <c r="DT466" s="716"/>
      <c r="DU466" s="665"/>
      <c r="DV466" s="716"/>
      <c r="DW466" s="716"/>
      <c r="DX466" s="218"/>
      <c r="DY466" s="716"/>
      <c r="DZ466" s="665"/>
      <c r="EA466" s="716"/>
      <c r="EB466" s="716"/>
      <c r="EC466" s="665"/>
      <c r="ED466" s="665"/>
      <c r="EE466" s="665"/>
      <c r="EF466" s="665"/>
      <c r="EG466" s="665"/>
      <c r="EH466" s="146"/>
      <c r="EI466" s="170"/>
      <c r="EJ466" s="170"/>
      <c r="EK466" s="262"/>
      <c r="EL466" s="91" t="str">
        <f t="shared" si="117"/>
        <v>No se reportó avance</v>
      </c>
      <c r="EM466" s="83" t="str">
        <f t="shared" si="118"/>
        <v>No se reportó avance</v>
      </c>
      <c r="EN466" s="697"/>
    </row>
    <row r="467" spans="1:144" ht="50.1" customHeight="1">
      <c r="A467" s="203" t="s">
        <v>4671</v>
      </c>
      <c r="B467" s="505" t="s">
        <v>3272</v>
      </c>
      <c r="C467" s="75" t="s">
        <v>3273</v>
      </c>
      <c r="D467" s="75" t="s">
        <v>3274</v>
      </c>
      <c r="E467" s="75" t="s">
        <v>3275</v>
      </c>
      <c r="F467" s="98" t="s">
        <v>280</v>
      </c>
      <c r="G467" s="98"/>
      <c r="H467" s="98" t="s">
        <v>3757</v>
      </c>
      <c r="I467" s="74" t="s">
        <v>3758</v>
      </c>
      <c r="J467" s="203" t="s">
        <v>3277</v>
      </c>
      <c r="K467" s="203" t="s">
        <v>3278</v>
      </c>
      <c r="L467" s="260">
        <v>12</v>
      </c>
      <c r="M467" s="78" t="s">
        <v>3759</v>
      </c>
      <c r="N467" s="78" t="s">
        <v>3760</v>
      </c>
      <c r="O467" s="78" t="s">
        <v>3281</v>
      </c>
      <c r="P467" s="78" t="s">
        <v>1161</v>
      </c>
      <c r="Q467" s="255" t="s">
        <v>162</v>
      </c>
      <c r="R467" s="638">
        <v>0</v>
      </c>
      <c r="S467" s="78" t="s">
        <v>163</v>
      </c>
      <c r="T467" s="80">
        <v>44927</v>
      </c>
      <c r="U467" s="80">
        <v>46357</v>
      </c>
      <c r="V467" s="531"/>
      <c r="W467" s="531"/>
      <c r="X467" s="531"/>
      <c r="Y467" s="531"/>
      <c r="Z467" s="79">
        <v>1</v>
      </c>
      <c r="AA467" s="75">
        <v>1</v>
      </c>
      <c r="AB467" s="75">
        <v>1</v>
      </c>
      <c r="AC467" s="75">
        <v>1</v>
      </c>
      <c r="AD467" s="75">
        <v>1</v>
      </c>
      <c r="AE467" s="79">
        <v>1</v>
      </c>
      <c r="AF467" s="79">
        <v>1</v>
      </c>
      <c r="AG467" s="79">
        <v>1</v>
      </c>
      <c r="AH467" s="79">
        <v>1</v>
      </c>
      <c r="AI467" s="79">
        <v>1</v>
      </c>
      <c r="AJ467" s="79">
        <v>1</v>
      </c>
      <c r="AK467" s="142">
        <v>1</v>
      </c>
      <c r="AL467" s="142">
        <v>1</v>
      </c>
      <c r="AM467" s="142">
        <v>1</v>
      </c>
      <c r="AN467" s="142">
        <v>1</v>
      </c>
      <c r="AO467" s="142">
        <v>1</v>
      </c>
      <c r="AP467" s="79">
        <v>1</v>
      </c>
      <c r="AQ467" s="262"/>
      <c r="AR467" s="262"/>
      <c r="AS467" s="262"/>
      <c r="AT467" s="262"/>
      <c r="AU467" s="262"/>
      <c r="AV467" s="262"/>
      <c r="AW467" s="262"/>
      <c r="AX467" s="262"/>
      <c r="AY467" s="173">
        <v>1</v>
      </c>
      <c r="AZ467" s="692" t="s">
        <v>3761</v>
      </c>
      <c r="BA467" s="173">
        <f>1/1</f>
        <v>1</v>
      </c>
      <c r="BB467" s="170" t="s">
        <v>3762</v>
      </c>
      <c r="BC467" s="173">
        <f>3/3</f>
        <v>1</v>
      </c>
      <c r="BD467" s="170" t="s">
        <v>3763</v>
      </c>
      <c r="BE467" s="173">
        <f>3/3</f>
        <v>1</v>
      </c>
      <c r="BF467" s="170" t="s">
        <v>3764</v>
      </c>
      <c r="BG467" s="173">
        <v>0</v>
      </c>
      <c r="BH467" s="170" t="s">
        <v>3286</v>
      </c>
      <c r="BI467" s="173">
        <f>+(BA467+BC467+BE467+BG467)/4</f>
        <v>0.75</v>
      </c>
      <c r="BJ467" s="692"/>
      <c r="BK467" s="173">
        <v>0</v>
      </c>
      <c r="BL467" s="692" t="s">
        <v>3287</v>
      </c>
      <c r="BM467" s="173">
        <v>0</v>
      </c>
      <c r="BN467" s="692" t="s">
        <v>3287</v>
      </c>
      <c r="BO467" s="173">
        <v>0</v>
      </c>
      <c r="BP467" s="692" t="s">
        <v>3287</v>
      </c>
      <c r="BQ467" s="262"/>
      <c r="BR467" s="262"/>
      <c r="BS467" s="83"/>
      <c r="BT467" s="262"/>
      <c r="BU467" s="262"/>
      <c r="BV467" s="262"/>
      <c r="BW467" s="262"/>
      <c r="BX467" s="262"/>
      <c r="BY467" s="262"/>
      <c r="BZ467" s="262"/>
      <c r="CA467" s="262"/>
      <c r="CB467" s="262"/>
      <c r="CC467" s="262"/>
      <c r="CD467" s="262"/>
      <c r="CE467" s="146"/>
      <c r="CF467" s="262"/>
      <c r="CG467" s="713">
        <f>SUBTOTAL(9,DH467:DH469)</f>
        <v>0</v>
      </c>
      <c r="CH467" s="515"/>
      <c r="CI467" s="515"/>
      <c r="CJ467" s="83" t="str">
        <f t="shared" si="113"/>
        <v>No aplica</v>
      </c>
      <c r="CK467" s="83" t="str">
        <f t="shared" si="119"/>
        <v>No aplica</v>
      </c>
      <c r="CL467" s="83" t="str">
        <f t="shared" si="114"/>
        <v>No se reportó avance</v>
      </c>
      <c r="CM467" s="89" t="str">
        <f t="shared" si="115"/>
        <v>No se reportó avance</v>
      </c>
      <c r="CN467" s="89" t="str">
        <f t="shared" si="116"/>
        <v>No se reportó avance</v>
      </c>
      <c r="CO467" s="735" t="s">
        <v>2159</v>
      </c>
      <c r="CP467" s="677" t="s">
        <v>3765</v>
      </c>
      <c r="CQ467" s="145" t="s">
        <v>3766</v>
      </c>
      <c r="CR467" s="694" t="s">
        <v>3767</v>
      </c>
      <c r="CS467" s="694" t="s">
        <v>3768</v>
      </c>
      <c r="CT467" s="145" t="s">
        <v>200</v>
      </c>
      <c r="CU467" s="714" t="s">
        <v>162</v>
      </c>
      <c r="CV467" s="291">
        <v>0</v>
      </c>
      <c r="CW467" s="145" t="s">
        <v>163</v>
      </c>
      <c r="CX467" s="695">
        <v>46023</v>
      </c>
      <c r="CY467" s="695">
        <v>46387</v>
      </c>
      <c r="CZ467" s="146">
        <v>1</v>
      </c>
      <c r="DA467" s="146">
        <v>1</v>
      </c>
      <c r="DB467" s="146">
        <v>1</v>
      </c>
      <c r="DC467" s="146">
        <v>1</v>
      </c>
      <c r="DD467" s="146">
        <v>1</v>
      </c>
      <c r="DE467" s="665" t="s">
        <v>2951</v>
      </c>
      <c r="DF467" s="665" t="s">
        <v>3294</v>
      </c>
      <c r="DG467" s="665" t="s">
        <v>3295</v>
      </c>
      <c r="DH467" s="696">
        <v>0</v>
      </c>
      <c r="DI467" s="717"/>
      <c r="DJ467" s="717"/>
      <c r="DK467" s="717"/>
      <c r="DL467" s="665" t="s">
        <v>279</v>
      </c>
      <c r="DM467" s="665" t="s">
        <v>3296</v>
      </c>
      <c r="DN467" s="218"/>
      <c r="DO467" s="716"/>
      <c r="DP467" s="665"/>
      <c r="DQ467" s="716"/>
      <c r="DR467" s="716"/>
      <c r="DS467" s="218"/>
      <c r="DT467" s="716"/>
      <c r="DU467" s="665"/>
      <c r="DV467" s="716"/>
      <c r="DW467" s="716"/>
      <c r="DX467" s="218"/>
      <c r="DY467" s="716"/>
      <c r="DZ467" s="665"/>
      <c r="EA467" s="716"/>
      <c r="EB467" s="716"/>
      <c r="EC467" s="665"/>
      <c r="ED467" s="665"/>
      <c r="EE467" s="665"/>
      <c r="EF467" s="665"/>
      <c r="EG467" s="665"/>
      <c r="EH467" s="146"/>
      <c r="EI467" s="170"/>
      <c r="EJ467" s="170"/>
      <c r="EK467" s="262"/>
      <c r="EL467" s="91" t="str">
        <f t="shared" si="117"/>
        <v>No se reportó avance</v>
      </c>
      <c r="EM467" s="83" t="str">
        <f t="shared" si="118"/>
        <v>No se reportó avance</v>
      </c>
      <c r="EN467" s="697"/>
    </row>
    <row r="468" spans="1:144" ht="50.1" customHeight="1">
      <c r="A468" s="170" t="s">
        <v>4671</v>
      </c>
      <c r="B468" s="517" t="s">
        <v>3272</v>
      </c>
      <c r="C468" s="85" t="s">
        <v>3273</v>
      </c>
      <c r="D468" s="85" t="s">
        <v>3274</v>
      </c>
      <c r="E468" s="85" t="s">
        <v>3275</v>
      </c>
      <c r="F468" s="94" t="s">
        <v>280</v>
      </c>
      <c r="G468" s="94"/>
      <c r="H468" s="94" t="s">
        <v>3757</v>
      </c>
      <c r="I468" s="84" t="s">
        <v>3758</v>
      </c>
      <c r="J468" s="170" t="s">
        <v>3277</v>
      </c>
      <c r="K468" s="170" t="s">
        <v>3278</v>
      </c>
      <c r="L468" s="262">
        <v>12</v>
      </c>
      <c r="M468" s="84" t="s">
        <v>3759</v>
      </c>
      <c r="N468" s="84" t="s">
        <v>3760</v>
      </c>
      <c r="O468" s="84" t="s">
        <v>3281</v>
      </c>
      <c r="P468" s="84" t="s">
        <v>1161</v>
      </c>
      <c r="Q468" s="170" t="s">
        <v>162</v>
      </c>
      <c r="R468" s="84">
        <v>0</v>
      </c>
      <c r="S468" s="84" t="s">
        <v>163</v>
      </c>
      <c r="T468" s="90">
        <v>44927</v>
      </c>
      <c r="U468" s="90">
        <v>46357</v>
      </c>
      <c r="V468" s="262"/>
      <c r="W468" s="262"/>
      <c r="X468" s="262"/>
      <c r="Y468" s="262"/>
      <c r="Z468" s="85"/>
      <c r="AA468" s="85"/>
      <c r="AB468" s="85"/>
      <c r="AC468" s="85"/>
      <c r="AD468" s="85"/>
      <c r="AE468" s="85"/>
      <c r="AF468" s="85"/>
      <c r="AG468" s="85"/>
      <c r="AH468" s="85"/>
      <c r="AI468" s="85"/>
      <c r="AJ468" s="85"/>
      <c r="AK468" s="157"/>
      <c r="AL468" s="157"/>
      <c r="AM468" s="157"/>
      <c r="AN468" s="157"/>
      <c r="AO468" s="157"/>
      <c r="AP468" s="262"/>
      <c r="AQ468" s="262"/>
      <c r="AR468" s="262"/>
      <c r="AS468" s="262"/>
      <c r="AT468" s="262"/>
      <c r="AU468" s="262"/>
      <c r="AV468" s="262"/>
      <c r="AW468" s="262"/>
      <c r="AX468" s="262"/>
      <c r="AY468" s="262"/>
      <c r="AZ468" s="697"/>
      <c r="BA468" s="262"/>
      <c r="BB468" s="262"/>
      <c r="BC468" s="262"/>
      <c r="BD468" s="262"/>
      <c r="BE468" s="262"/>
      <c r="BF468" s="262"/>
      <c r="BG468" s="262"/>
      <c r="BH468" s="262"/>
      <c r="BI468" s="262"/>
      <c r="BJ468" s="697"/>
      <c r="BK468" s="262"/>
      <c r="BL468" s="697"/>
      <c r="BM468" s="262"/>
      <c r="BN468" s="697"/>
      <c r="BO468" s="262"/>
      <c r="BP468" s="697"/>
      <c r="BQ468" s="262"/>
      <c r="BR468" s="262"/>
      <c r="BS468" s="262"/>
      <c r="BT468" s="262"/>
      <c r="BU468" s="262"/>
      <c r="BV468" s="262"/>
      <c r="BW468" s="262"/>
      <c r="BX468" s="262"/>
      <c r="BY468" s="262"/>
      <c r="BZ468" s="262"/>
      <c r="CA468" s="262"/>
      <c r="CB468" s="262"/>
      <c r="CC468" s="262"/>
      <c r="CD468" s="262"/>
      <c r="CE468" s="262"/>
      <c r="CF468" s="262"/>
      <c r="CG468" s="717"/>
      <c r="CH468" s="262"/>
      <c r="CI468" s="262"/>
      <c r="CJ468" s="83" t="str">
        <f t="shared" si="113"/>
        <v>No aplica</v>
      </c>
      <c r="CK468" s="83" t="str">
        <f t="shared" si="119"/>
        <v>No aplica</v>
      </c>
      <c r="CL468" s="83" t="str">
        <f t="shared" si="114"/>
        <v>No requiere reporte</v>
      </c>
      <c r="CM468" s="89" t="str">
        <f t="shared" si="115"/>
        <v>No requiere reporte</v>
      </c>
      <c r="CN468" s="89" t="str">
        <f t="shared" si="116"/>
        <v>No requiere reporte</v>
      </c>
      <c r="CO468" s="735" t="s">
        <v>2165</v>
      </c>
      <c r="CP468" s="677" t="s">
        <v>3769</v>
      </c>
      <c r="CQ468" s="145" t="s">
        <v>3770</v>
      </c>
      <c r="CR468" s="693" t="s">
        <v>3771</v>
      </c>
      <c r="CS468" s="693" t="s">
        <v>3772</v>
      </c>
      <c r="CT468" s="145" t="s">
        <v>200</v>
      </c>
      <c r="CU468" s="714" t="s">
        <v>162</v>
      </c>
      <c r="CV468" s="291">
        <v>0</v>
      </c>
      <c r="CW468" s="145" t="s">
        <v>163</v>
      </c>
      <c r="CX468" s="695">
        <v>46023</v>
      </c>
      <c r="CY468" s="695">
        <v>46387</v>
      </c>
      <c r="CZ468" s="146">
        <v>1</v>
      </c>
      <c r="DA468" s="146">
        <v>1</v>
      </c>
      <c r="DB468" s="146">
        <v>1</v>
      </c>
      <c r="DC468" s="146">
        <v>1</v>
      </c>
      <c r="DD468" s="146">
        <v>1</v>
      </c>
      <c r="DE468" s="665" t="s">
        <v>2951</v>
      </c>
      <c r="DF468" s="665" t="s">
        <v>3294</v>
      </c>
      <c r="DG468" s="665" t="s">
        <v>3295</v>
      </c>
      <c r="DH468" s="696">
        <v>0</v>
      </c>
      <c r="DI468" s="717"/>
      <c r="DJ468" s="717"/>
      <c r="DK468" s="717"/>
      <c r="DL468" s="665" t="s">
        <v>279</v>
      </c>
      <c r="DM468" s="665" t="s">
        <v>3296</v>
      </c>
      <c r="DN468" s="218"/>
      <c r="DO468" s="716"/>
      <c r="DP468" s="665"/>
      <c r="DQ468" s="716"/>
      <c r="DR468" s="716"/>
      <c r="DS468" s="218"/>
      <c r="DT468" s="716"/>
      <c r="DU468" s="665"/>
      <c r="DV468" s="716"/>
      <c r="DW468" s="716"/>
      <c r="DX468" s="218"/>
      <c r="DY468" s="716"/>
      <c r="DZ468" s="665"/>
      <c r="EA468" s="716"/>
      <c r="EB468" s="716"/>
      <c r="EC468" s="665"/>
      <c r="ED468" s="665"/>
      <c r="EE468" s="665"/>
      <c r="EF468" s="665"/>
      <c r="EG468" s="665"/>
      <c r="EH468" s="146"/>
      <c r="EI468" s="170"/>
      <c r="EJ468" s="170"/>
      <c r="EK468" s="262"/>
      <c r="EL468" s="91" t="str">
        <f t="shared" si="117"/>
        <v>No se reportó avance</v>
      </c>
      <c r="EM468" s="83" t="str">
        <f t="shared" si="118"/>
        <v>No se reportó avance</v>
      </c>
      <c r="EN468" s="697"/>
    </row>
    <row r="469" spans="1:144" ht="50.1" customHeight="1">
      <c r="A469" s="170" t="s">
        <v>4671</v>
      </c>
      <c r="B469" s="517" t="s">
        <v>3272</v>
      </c>
      <c r="C469" s="85" t="s">
        <v>3273</v>
      </c>
      <c r="D469" s="85" t="s">
        <v>3274</v>
      </c>
      <c r="E469" s="85" t="s">
        <v>3275</v>
      </c>
      <c r="F469" s="94" t="s">
        <v>280</v>
      </c>
      <c r="G469" s="94"/>
      <c r="H469" s="94" t="s">
        <v>3757</v>
      </c>
      <c r="I469" s="84" t="s">
        <v>3758</v>
      </c>
      <c r="J469" s="170" t="s">
        <v>3277</v>
      </c>
      <c r="K469" s="170" t="s">
        <v>3278</v>
      </c>
      <c r="L469" s="262">
        <v>12</v>
      </c>
      <c r="M469" s="84" t="s">
        <v>3759</v>
      </c>
      <c r="N469" s="84" t="s">
        <v>3760</v>
      </c>
      <c r="O469" s="84" t="s">
        <v>3281</v>
      </c>
      <c r="P469" s="84" t="s">
        <v>1161</v>
      </c>
      <c r="Q469" s="170" t="s">
        <v>162</v>
      </c>
      <c r="R469" s="84">
        <v>0</v>
      </c>
      <c r="S469" s="84" t="s">
        <v>163</v>
      </c>
      <c r="T469" s="90">
        <v>44927</v>
      </c>
      <c r="U469" s="90">
        <v>46357</v>
      </c>
      <c r="V469" s="262"/>
      <c r="W469" s="262"/>
      <c r="X469" s="262"/>
      <c r="Y469" s="262"/>
      <c r="Z469" s="85"/>
      <c r="AA469" s="85"/>
      <c r="AB469" s="85"/>
      <c r="AC469" s="85"/>
      <c r="AD469" s="85"/>
      <c r="AE469" s="85"/>
      <c r="AF469" s="85"/>
      <c r="AG469" s="85"/>
      <c r="AH469" s="85"/>
      <c r="AI469" s="85"/>
      <c r="AJ469" s="85"/>
      <c r="AK469" s="157"/>
      <c r="AL469" s="157"/>
      <c r="AM469" s="157"/>
      <c r="AN469" s="157"/>
      <c r="AO469" s="157"/>
      <c r="AP469" s="262"/>
      <c r="AQ469" s="262"/>
      <c r="AR469" s="262"/>
      <c r="AS469" s="262"/>
      <c r="AT469" s="262"/>
      <c r="AU469" s="262"/>
      <c r="AV469" s="262"/>
      <c r="AW469" s="262"/>
      <c r="AX469" s="262"/>
      <c r="AY469" s="262"/>
      <c r="AZ469" s="697"/>
      <c r="BA469" s="262"/>
      <c r="BB469" s="262"/>
      <c r="BC469" s="262"/>
      <c r="BD469" s="262"/>
      <c r="BE469" s="262"/>
      <c r="BF469" s="262"/>
      <c r="BG469" s="262"/>
      <c r="BH469" s="262"/>
      <c r="BI469" s="262"/>
      <c r="BJ469" s="697"/>
      <c r="BK469" s="262"/>
      <c r="BL469" s="697"/>
      <c r="BM469" s="262"/>
      <c r="BN469" s="697"/>
      <c r="BO469" s="262"/>
      <c r="BP469" s="697"/>
      <c r="BQ469" s="262"/>
      <c r="BR469" s="262"/>
      <c r="BS469" s="262"/>
      <c r="BT469" s="262"/>
      <c r="BU469" s="262"/>
      <c r="BV469" s="262"/>
      <c r="BW469" s="262"/>
      <c r="BX469" s="262"/>
      <c r="BY469" s="262"/>
      <c r="BZ469" s="262"/>
      <c r="CA469" s="262"/>
      <c r="CB469" s="262"/>
      <c r="CC469" s="262"/>
      <c r="CD469" s="262"/>
      <c r="CE469" s="262"/>
      <c r="CF469" s="262"/>
      <c r="CG469" s="717"/>
      <c r="CH469" s="262"/>
      <c r="CI469" s="262"/>
      <c r="CJ469" s="83" t="str">
        <f t="shared" si="113"/>
        <v>No aplica</v>
      </c>
      <c r="CK469" s="83" t="str">
        <f t="shared" si="119"/>
        <v>No aplica</v>
      </c>
      <c r="CL469" s="83" t="str">
        <f t="shared" si="114"/>
        <v>No requiere reporte</v>
      </c>
      <c r="CM469" s="89" t="str">
        <f t="shared" si="115"/>
        <v>No requiere reporte</v>
      </c>
      <c r="CN469" s="89" t="str">
        <f t="shared" si="116"/>
        <v>No requiere reporte</v>
      </c>
      <c r="CO469" s="735" t="s">
        <v>2168</v>
      </c>
      <c r="CP469" s="677" t="s">
        <v>3773</v>
      </c>
      <c r="CQ469" s="145" t="s">
        <v>3774</v>
      </c>
      <c r="CR469" s="693" t="s">
        <v>3775</v>
      </c>
      <c r="CS469" s="693" t="s">
        <v>3776</v>
      </c>
      <c r="CT469" s="145" t="s">
        <v>200</v>
      </c>
      <c r="CU469" s="714" t="s">
        <v>162</v>
      </c>
      <c r="CV469" s="291">
        <v>0</v>
      </c>
      <c r="CW469" s="145" t="s">
        <v>163</v>
      </c>
      <c r="CX469" s="695">
        <v>46023</v>
      </c>
      <c r="CY469" s="695">
        <v>46387</v>
      </c>
      <c r="CZ469" s="146">
        <v>1</v>
      </c>
      <c r="DA469" s="146">
        <v>1</v>
      </c>
      <c r="DB469" s="146">
        <v>1</v>
      </c>
      <c r="DC469" s="146">
        <v>1</v>
      </c>
      <c r="DD469" s="146">
        <v>1</v>
      </c>
      <c r="DE469" s="665" t="s">
        <v>2951</v>
      </c>
      <c r="DF469" s="665" t="s">
        <v>3294</v>
      </c>
      <c r="DG469" s="665" t="s">
        <v>3295</v>
      </c>
      <c r="DH469" s="696">
        <v>0</v>
      </c>
      <c r="DI469" s="717"/>
      <c r="DJ469" s="717"/>
      <c r="DK469" s="717"/>
      <c r="DL469" s="665" t="s">
        <v>279</v>
      </c>
      <c r="DM469" s="665" t="s">
        <v>3296</v>
      </c>
      <c r="DN469" s="218"/>
      <c r="DO469" s="716"/>
      <c r="DP469" s="665"/>
      <c r="DQ469" s="716"/>
      <c r="DR469" s="716"/>
      <c r="DS469" s="218"/>
      <c r="DT469" s="716"/>
      <c r="DU469" s="665"/>
      <c r="DV469" s="716"/>
      <c r="DW469" s="716"/>
      <c r="DX469" s="218"/>
      <c r="DY469" s="716"/>
      <c r="DZ469" s="665"/>
      <c r="EA469" s="716"/>
      <c r="EB469" s="716"/>
      <c r="EC469" s="665"/>
      <c r="ED469" s="665"/>
      <c r="EE469" s="665"/>
      <c r="EF469" s="665"/>
      <c r="EG469" s="665"/>
      <c r="EH469" s="146"/>
      <c r="EI469" s="170"/>
      <c r="EJ469" s="170"/>
      <c r="EK469" s="262"/>
      <c r="EL469" s="91" t="str">
        <f t="shared" si="117"/>
        <v>No se reportó avance</v>
      </c>
      <c r="EM469" s="83" t="str">
        <f t="shared" si="118"/>
        <v>No se reportó avance</v>
      </c>
      <c r="EN469" s="697"/>
    </row>
    <row r="470" spans="1:144" ht="50.1" customHeight="1">
      <c r="A470" s="203" t="s">
        <v>4671</v>
      </c>
      <c r="B470" s="505" t="s">
        <v>3272</v>
      </c>
      <c r="C470" s="75" t="s">
        <v>3273</v>
      </c>
      <c r="D470" s="75" t="s">
        <v>3274</v>
      </c>
      <c r="E470" s="75" t="s">
        <v>3275</v>
      </c>
      <c r="F470" s="98" t="s">
        <v>280</v>
      </c>
      <c r="G470" s="98" t="s">
        <v>280</v>
      </c>
      <c r="H470" s="98" t="s">
        <v>3777</v>
      </c>
      <c r="I470" s="74" t="s">
        <v>3778</v>
      </c>
      <c r="J470" s="203" t="s">
        <v>3277</v>
      </c>
      <c r="K470" s="203" t="s">
        <v>3278</v>
      </c>
      <c r="L470" s="260">
        <v>13</v>
      </c>
      <c r="M470" s="78" t="s">
        <v>3779</v>
      </c>
      <c r="N470" s="78" t="s">
        <v>3780</v>
      </c>
      <c r="O470" s="78" t="s">
        <v>3281</v>
      </c>
      <c r="P470" s="78" t="s">
        <v>1161</v>
      </c>
      <c r="Q470" s="255" t="s">
        <v>162</v>
      </c>
      <c r="R470" s="638">
        <v>0</v>
      </c>
      <c r="S470" s="78" t="s">
        <v>163</v>
      </c>
      <c r="T470" s="80">
        <v>44927</v>
      </c>
      <c r="U470" s="80">
        <v>46357</v>
      </c>
      <c r="V470" s="531"/>
      <c r="W470" s="531"/>
      <c r="X470" s="531"/>
      <c r="Y470" s="531"/>
      <c r="Z470" s="79">
        <v>1</v>
      </c>
      <c r="AA470" s="75">
        <v>1</v>
      </c>
      <c r="AB470" s="75">
        <v>1</v>
      </c>
      <c r="AC470" s="75">
        <v>1</v>
      </c>
      <c r="AD470" s="75">
        <v>1</v>
      </c>
      <c r="AE470" s="79">
        <v>1</v>
      </c>
      <c r="AF470" s="79">
        <v>1</v>
      </c>
      <c r="AG470" s="79">
        <v>1</v>
      </c>
      <c r="AH470" s="79">
        <v>1</v>
      </c>
      <c r="AI470" s="79">
        <v>1</v>
      </c>
      <c r="AJ470" s="79">
        <v>1</v>
      </c>
      <c r="AK470" s="142">
        <v>1</v>
      </c>
      <c r="AL470" s="142">
        <v>1</v>
      </c>
      <c r="AM470" s="142">
        <v>1</v>
      </c>
      <c r="AN470" s="142">
        <v>1</v>
      </c>
      <c r="AO470" s="142">
        <v>1</v>
      </c>
      <c r="AP470" s="79">
        <v>1</v>
      </c>
      <c r="AQ470" s="262"/>
      <c r="AR470" s="262"/>
      <c r="AS470" s="262"/>
      <c r="AT470" s="262"/>
      <c r="AU470" s="262"/>
      <c r="AV470" s="262"/>
      <c r="AW470" s="262"/>
      <c r="AX470" s="262"/>
      <c r="AY470" s="173" t="s">
        <v>201</v>
      </c>
      <c r="AZ470" s="692" t="s">
        <v>201</v>
      </c>
      <c r="BA470" s="173">
        <f>125/125</f>
        <v>1</v>
      </c>
      <c r="BB470" s="170" t="s">
        <v>3781</v>
      </c>
      <c r="BC470" s="173">
        <f>3/3</f>
        <v>1</v>
      </c>
      <c r="BD470" s="170" t="s">
        <v>3782</v>
      </c>
      <c r="BE470" s="173">
        <f>3/3</f>
        <v>1</v>
      </c>
      <c r="BF470" s="170" t="s">
        <v>3783</v>
      </c>
      <c r="BG470" s="173">
        <v>0</v>
      </c>
      <c r="BH470" s="170" t="s">
        <v>3286</v>
      </c>
      <c r="BI470" s="173">
        <f>+(BA470+BC470+BE470+BG470)/4</f>
        <v>0.75</v>
      </c>
      <c r="BJ470" s="697"/>
      <c r="BK470" s="173">
        <v>0</v>
      </c>
      <c r="BL470" s="692" t="s">
        <v>3287</v>
      </c>
      <c r="BM470" s="173">
        <v>0</v>
      </c>
      <c r="BN470" s="692" t="s">
        <v>3287</v>
      </c>
      <c r="BO470" s="173">
        <v>0.72699999999999998</v>
      </c>
      <c r="BP470" s="692" t="s">
        <v>3784</v>
      </c>
      <c r="BQ470" s="262"/>
      <c r="BR470" s="262"/>
      <c r="BS470" s="83"/>
      <c r="BT470" s="262"/>
      <c r="BU470" s="262"/>
      <c r="BV470" s="262"/>
      <c r="BW470" s="262"/>
      <c r="BX470" s="262"/>
      <c r="BY470" s="262"/>
      <c r="BZ470" s="262"/>
      <c r="CA470" s="262"/>
      <c r="CB470" s="262"/>
      <c r="CC470" s="262"/>
      <c r="CD470" s="262"/>
      <c r="CE470" s="157"/>
      <c r="CF470" s="262"/>
      <c r="CG470" s="713">
        <f>SUBTOTAL(9,DH470:DH472)</f>
        <v>150000000</v>
      </c>
      <c r="CH470" s="515"/>
      <c r="CI470" s="515"/>
      <c r="CJ470" s="83">
        <f t="shared" si="113"/>
        <v>0</v>
      </c>
      <c r="CK470" s="83">
        <f t="shared" si="119"/>
        <v>0</v>
      </c>
      <c r="CL470" s="83" t="str">
        <f t="shared" si="114"/>
        <v>No se reportó avance</v>
      </c>
      <c r="CM470" s="89" t="str">
        <f t="shared" si="115"/>
        <v>No se reportó avance</v>
      </c>
      <c r="CN470" s="89" t="str">
        <f t="shared" si="116"/>
        <v>No se reportó avance</v>
      </c>
      <c r="CO470" s="735" t="s">
        <v>2199</v>
      </c>
      <c r="CP470" s="677" t="s">
        <v>3785</v>
      </c>
      <c r="CQ470" s="145" t="s">
        <v>3786</v>
      </c>
      <c r="CR470" s="693" t="s">
        <v>3787</v>
      </c>
      <c r="CS470" s="693" t="s">
        <v>3788</v>
      </c>
      <c r="CT470" s="145" t="s">
        <v>200</v>
      </c>
      <c r="CU470" s="714" t="s">
        <v>162</v>
      </c>
      <c r="CV470" s="291">
        <v>0</v>
      </c>
      <c r="CW470" s="145" t="s">
        <v>163</v>
      </c>
      <c r="CX470" s="695">
        <v>46023</v>
      </c>
      <c r="CY470" s="695">
        <v>46387</v>
      </c>
      <c r="CZ470" s="146">
        <v>1</v>
      </c>
      <c r="DA470" s="146">
        <v>1</v>
      </c>
      <c r="DB470" s="146">
        <v>1</v>
      </c>
      <c r="DC470" s="146">
        <v>1</v>
      </c>
      <c r="DD470" s="146">
        <v>1</v>
      </c>
      <c r="DE470" s="665" t="s">
        <v>2951</v>
      </c>
      <c r="DF470" s="665" t="s">
        <v>3294</v>
      </c>
      <c r="DG470" s="665" t="s">
        <v>3295</v>
      </c>
      <c r="DH470" s="696">
        <v>100000000</v>
      </c>
      <c r="DI470" s="717"/>
      <c r="DJ470" s="717"/>
      <c r="DK470" s="717"/>
      <c r="DL470" s="665" t="s">
        <v>279</v>
      </c>
      <c r="DM470" s="665" t="s">
        <v>3296</v>
      </c>
      <c r="DN470" s="218"/>
      <c r="DO470" s="716"/>
      <c r="DP470" s="665"/>
      <c r="DQ470" s="716"/>
      <c r="DR470" s="716"/>
      <c r="DS470" s="218"/>
      <c r="DT470" s="716"/>
      <c r="DU470" s="665"/>
      <c r="DV470" s="716"/>
      <c r="DW470" s="716"/>
      <c r="DX470" s="218"/>
      <c r="DY470" s="716"/>
      <c r="DZ470" s="665"/>
      <c r="EA470" s="716"/>
      <c r="EB470" s="716"/>
      <c r="EC470" s="665"/>
      <c r="ED470" s="665"/>
      <c r="EE470" s="665"/>
      <c r="EF470" s="665"/>
      <c r="EG470" s="665"/>
      <c r="EH470" s="146"/>
      <c r="EI470" s="170"/>
      <c r="EJ470" s="170"/>
      <c r="EK470" s="262"/>
      <c r="EL470" s="91" t="str">
        <f t="shared" si="117"/>
        <v>No se reportó avance</v>
      </c>
      <c r="EM470" s="83" t="str">
        <f t="shared" si="118"/>
        <v>No se reportó avance</v>
      </c>
      <c r="EN470" s="697"/>
    </row>
    <row r="471" spans="1:144" ht="50.1" customHeight="1">
      <c r="A471" s="170" t="s">
        <v>4671</v>
      </c>
      <c r="B471" s="517" t="s">
        <v>3272</v>
      </c>
      <c r="C471" s="85" t="s">
        <v>3273</v>
      </c>
      <c r="D471" s="85" t="s">
        <v>3274</v>
      </c>
      <c r="E471" s="85" t="s">
        <v>3275</v>
      </c>
      <c r="F471" s="94" t="s">
        <v>280</v>
      </c>
      <c r="G471" s="94" t="s">
        <v>280</v>
      </c>
      <c r="H471" s="94" t="s">
        <v>3777</v>
      </c>
      <c r="I471" s="84" t="s">
        <v>3778</v>
      </c>
      <c r="J471" s="170" t="s">
        <v>3277</v>
      </c>
      <c r="K471" s="170" t="s">
        <v>3278</v>
      </c>
      <c r="L471" s="262">
        <v>13</v>
      </c>
      <c r="M471" s="84" t="s">
        <v>3779</v>
      </c>
      <c r="N471" s="84" t="s">
        <v>3780</v>
      </c>
      <c r="O471" s="84" t="s">
        <v>3281</v>
      </c>
      <c r="P471" s="84" t="s">
        <v>1161</v>
      </c>
      <c r="Q471" s="170" t="s">
        <v>162</v>
      </c>
      <c r="R471" s="84">
        <v>0</v>
      </c>
      <c r="S471" s="84" t="s">
        <v>163</v>
      </c>
      <c r="T471" s="90">
        <v>44927</v>
      </c>
      <c r="U471" s="90">
        <v>46357</v>
      </c>
      <c r="V471" s="262"/>
      <c r="W471" s="262"/>
      <c r="X471" s="262"/>
      <c r="Y471" s="262"/>
      <c r="Z471" s="85"/>
      <c r="AA471" s="85"/>
      <c r="AB471" s="85"/>
      <c r="AC471" s="85"/>
      <c r="AD471" s="85"/>
      <c r="AE471" s="85"/>
      <c r="AF471" s="85"/>
      <c r="AG471" s="85"/>
      <c r="AH471" s="85"/>
      <c r="AI471" s="85"/>
      <c r="AJ471" s="85"/>
      <c r="AK471" s="157"/>
      <c r="AL471" s="157"/>
      <c r="AM471" s="157"/>
      <c r="AN471" s="157"/>
      <c r="AO471" s="157"/>
      <c r="AP471" s="262"/>
      <c r="AQ471" s="262"/>
      <c r="AR471" s="262"/>
      <c r="AS471" s="262"/>
      <c r="AT471" s="262"/>
      <c r="AU471" s="262"/>
      <c r="AV471" s="262"/>
      <c r="AW471" s="262"/>
      <c r="AX471" s="262"/>
      <c r="AY471" s="262"/>
      <c r="AZ471" s="697"/>
      <c r="BA471" s="262"/>
      <c r="BB471" s="262"/>
      <c r="BC471" s="262"/>
      <c r="BD471" s="262"/>
      <c r="BE471" s="262"/>
      <c r="BF471" s="262"/>
      <c r="BG471" s="262"/>
      <c r="BH471" s="262"/>
      <c r="BI471" s="262"/>
      <c r="BJ471" s="697"/>
      <c r="BK471" s="262"/>
      <c r="BL471" s="697"/>
      <c r="BM471" s="262"/>
      <c r="BN471" s="697"/>
      <c r="BO471" s="262"/>
      <c r="BP471" s="697"/>
      <c r="BQ471" s="262"/>
      <c r="BR471" s="262"/>
      <c r="BS471" s="262"/>
      <c r="BT471" s="262"/>
      <c r="BU471" s="262"/>
      <c r="BV471" s="262"/>
      <c r="BW471" s="262"/>
      <c r="BX471" s="262"/>
      <c r="BY471" s="262"/>
      <c r="BZ471" s="262"/>
      <c r="CA471" s="262"/>
      <c r="CB471" s="262"/>
      <c r="CC471" s="262"/>
      <c r="CD471" s="262"/>
      <c r="CE471" s="262"/>
      <c r="CF471" s="262"/>
      <c r="CG471" s="717"/>
      <c r="CH471" s="262"/>
      <c r="CI471" s="262"/>
      <c r="CJ471" s="83" t="str">
        <f t="shared" si="113"/>
        <v>No aplica</v>
      </c>
      <c r="CK471" s="83" t="str">
        <f t="shared" si="119"/>
        <v>No aplica</v>
      </c>
      <c r="CL471" s="83" t="str">
        <f t="shared" si="114"/>
        <v>No requiere reporte</v>
      </c>
      <c r="CM471" s="89" t="str">
        <f t="shared" si="115"/>
        <v>No requiere reporte</v>
      </c>
      <c r="CN471" s="89" t="str">
        <f t="shared" si="116"/>
        <v>No requiere reporte</v>
      </c>
      <c r="CO471" s="735" t="s">
        <v>2204</v>
      </c>
      <c r="CP471" s="677" t="s">
        <v>3789</v>
      </c>
      <c r="CQ471" s="145" t="s">
        <v>3790</v>
      </c>
      <c r="CR471" s="693" t="s">
        <v>3791</v>
      </c>
      <c r="CS471" s="693" t="s">
        <v>3792</v>
      </c>
      <c r="CT471" s="145" t="s">
        <v>200</v>
      </c>
      <c r="CU471" s="714" t="s">
        <v>162</v>
      </c>
      <c r="CV471" s="291">
        <v>0</v>
      </c>
      <c r="CW471" s="145" t="s">
        <v>163</v>
      </c>
      <c r="CX471" s="695">
        <v>46023</v>
      </c>
      <c r="CY471" s="695">
        <v>46387</v>
      </c>
      <c r="CZ471" s="146">
        <v>1</v>
      </c>
      <c r="DA471" s="146">
        <v>1</v>
      </c>
      <c r="DB471" s="146">
        <v>1</v>
      </c>
      <c r="DC471" s="146">
        <v>1</v>
      </c>
      <c r="DD471" s="146">
        <v>1</v>
      </c>
      <c r="DE471" s="665" t="s">
        <v>2951</v>
      </c>
      <c r="DF471" s="665" t="s">
        <v>3294</v>
      </c>
      <c r="DG471" s="665" t="s">
        <v>3295</v>
      </c>
      <c r="DH471" s="696">
        <v>50000000</v>
      </c>
      <c r="DI471" s="717"/>
      <c r="DJ471" s="717"/>
      <c r="DK471" s="717"/>
      <c r="DL471" s="665" t="s">
        <v>279</v>
      </c>
      <c r="DM471" s="665" t="s">
        <v>3296</v>
      </c>
      <c r="DN471" s="218"/>
      <c r="DO471" s="716"/>
      <c r="DP471" s="665"/>
      <c r="DQ471" s="716"/>
      <c r="DR471" s="716"/>
      <c r="DS471" s="218"/>
      <c r="DT471" s="716"/>
      <c r="DU471" s="665"/>
      <c r="DV471" s="716"/>
      <c r="DW471" s="716"/>
      <c r="DX471" s="218"/>
      <c r="DY471" s="716"/>
      <c r="DZ471" s="665"/>
      <c r="EA471" s="716"/>
      <c r="EB471" s="716"/>
      <c r="EC471" s="665"/>
      <c r="ED471" s="665"/>
      <c r="EE471" s="665"/>
      <c r="EF471" s="665"/>
      <c r="EG471" s="665"/>
      <c r="EH471" s="146"/>
      <c r="EI471" s="170"/>
      <c r="EJ471" s="170"/>
      <c r="EK471" s="262"/>
      <c r="EL471" s="91" t="str">
        <f t="shared" si="117"/>
        <v>No se reportó avance</v>
      </c>
      <c r="EM471" s="83" t="str">
        <f t="shared" si="118"/>
        <v>No se reportó avance</v>
      </c>
      <c r="EN471" s="697"/>
    </row>
    <row r="472" spans="1:144" ht="50.1" customHeight="1">
      <c r="A472" s="170" t="s">
        <v>4671</v>
      </c>
      <c r="B472" s="517" t="s">
        <v>3272</v>
      </c>
      <c r="C472" s="85" t="s">
        <v>3273</v>
      </c>
      <c r="D472" s="85" t="s">
        <v>3274</v>
      </c>
      <c r="E472" s="85" t="s">
        <v>3275</v>
      </c>
      <c r="F472" s="94" t="s">
        <v>280</v>
      </c>
      <c r="G472" s="94" t="s">
        <v>280</v>
      </c>
      <c r="H472" s="94" t="s">
        <v>3777</v>
      </c>
      <c r="I472" s="84" t="s">
        <v>3778</v>
      </c>
      <c r="J472" s="170" t="s">
        <v>3277</v>
      </c>
      <c r="K472" s="170" t="s">
        <v>3278</v>
      </c>
      <c r="L472" s="262">
        <v>13</v>
      </c>
      <c r="M472" s="84" t="s">
        <v>3779</v>
      </c>
      <c r="N472" s="84" t="s">
        <v>3780</v>
      </c>
      <c r="O472" s="84" t="s">
        <v>3281</v>
      </c>
      <c r="P472" s="84" t="s">
        <v>1161</v>
      </c>
      <c r="Q472" s="170" t="s">
        <v>162</v>
      </c>
      <c r="R472" s="84">
        <v>0</v>
      </c>
      <c r="S472" s="84" t="s">
        <v>163</v>
      </c>
      <c r="T472" s="90">
        <v>44927</v>
      </c>
      <c r="U472" s="90">
        <v>46357</v>
      </c>
      <c r="V472" s="262"/>
      <c r="W472" s="262"/>
      <c r="X472" s="262"/>
      <c r="Y472" s="262"/>
      <c r="Z472" s="85"/>
      <c r="AA472" s="85"/>
      <c r="AB472" s="85"/>
      <c r="AC472" s="85"/>
      <c r="AD472" s="85"/>
      <c r="AE472" s="85"/>
      <c r="AF472" s="85"/>
      <c r="AG472" s="85"/>
      <c r="AH472" s="85"/>
      <c r="AI472" s="85"/>
      <c r="AJ472" s="85"/>
      <c r="AK472" s="157"/>
      <c r="AL472" s="157"/>
      <c r="AM472" s="157"/>
      <c r="AN472" s="157"/>
      <c r="AO472" s="157"/>
      <c r="AP472" s="262"/>
      <c r="AQ472" s="262"/>
      <c r="AR472" s="262"/>
      <c r="AS472" s="262"/>
      <c r="AT472" s="262"/>
      <c r="AU472" s="262"/>
      <c r="AV472" s="262"/>
      <c r="AW472" s="262"/>
      <c r="AX472" s="262"/>
      <c r="AY472" s="262"/>
      <c r="AZ472" s="697"/>
      <c r="BA472" s="262"/>
      <c r="BB472" s="262"/>
      <c r="BC472" s="262"/>
      <c r="BD472" s="262"/>
      <c r="BE472" s="262"/>
      <c r="BF472" s="262"/>
      <c r="BG472" s="262"/>
      <c r="BH472" s="262"/>
      <c r="BI472" s="262"/>
      <c r="BJ472" s="697"/>
      <c r="BK472" s="262"/>
      <c r="BL472" s="697"/>
      <c r="BM472" s="262"/>
      <c r="BN472" s="697"/>
      <c r="BO472" s="262"/>
      <c r="BP472" s="697"/>
      <c r="BQ472" s="262"/>
      <c r="BR472" s="262"/>
      <c r="BS472" s="262"/>
      <c r="BT472" s="262"/>
      <c r="BU472" s="262"/>
      <c r="BV472" s="262"/>
      <c r="BW472" s="262"/>
      <c r="BX472" s="262"/>
      <c r="BY472" s="262"/>
      <c r="BZ472" s="262"/>
      <c r="CA472" s="262"/>
      <c r="CB472" s="262"/>
      <c r="CC472" s="262"/>
      <c r="CD472" s="262"/>
      <c r="CE472" s="262"/>
      <c r="CF472" s="262"/>
      <c r="CG472" s="717"/>
      <c r="CH472" s="262"/>
      <c r="CI472" s="262"/>
      <c r="CJ472" s="83" t="str">
        <f t="shared" si="113"/>
        <v>No aplica</v>
      </c>
      <c r="CK472" s="83" t="str">
        <f t="shared" si="119"/>
        <v>No aplica</v>
      </c>
      <c r="CL472" s="83" t="str">
        <f t="shared" si="114"/>
        <v>No requiere reporte</v>
      </c>
      <c r="CM472" s="89" t="str">
        <f t="shared" si="115"/>
        <v>No requiere reporte</v>
      </c>
      <c r="CN472" s="89" t="str">
        <f t="shared" si="116"/>
        <v>No requiere reporte</v>
      </c>
      <c r="CO472" s="735" t="s">
        <v>2211</v>
      </c>
      <c r="CP472" s="677" t="s">
        <v>3793</v>
      </c>
      <c r="CQ472" s="145" t="s">
        <v>3794</v>
      </c>
      <c r="CR472" s="693" t="s">
        <v>3795</v>
      </c>
      <c r="CS472" s="693" t="s">
        <v>3796</v>
      </c>
      <c r="CT472" s="145" t="s">
        <v>200</v>
      </c>
      <c r="CU472" s="145" t="s">
        <v>275</v>
      </c>
      <c r="CV472" s="291">
        <v>0</v>
      </c>
      <c r="CW472" s="145" t="s">
        <v>163</v>
      </c>
      <c r="CX472" s="695">
        <v>46023</v>
      </c>
      <c r="CY472" s="695">
        <v>46387</v>
      </c>
      <c r="CZ472" s="736">
        <v>0.3</v>
      </c>
      <c r="DA472" s="736">
        <v>0.5</v>
      </c>
      <c r="DB472" s="736">
        <v>0.75</v>
      </c>
      <c r="DC472" s="146">
        <v>1</v>
      </c>
      <c r="DD472" s="146">
        <v>1</v>
      </c>
      <c r="DE472" s="665" t="s">
        <v>2951</v>
      </c>
      <c r="DF472" s="665" t="s">
        <v>3294</v>
      </c>
      <c r="DG472" s="665" t="s">
        <v>3295</v>
      </c>
      <c r="DH472" s="696">
        <v>0</v>
      </c>
      <c r="DI472" s="717"/>
      <c r="DJ472" s="717"/>
      <c r="DK472" s="717"/>
      <c r="DL472" s="665" t="s">
        <v>279</v>
      </c>
      <c r="DM472" s="665" t="s">
        <v>3296</v>
      </c>
      <c r="DN472" s="665"/>
      <c r="DO472" s="716"/>
      <c r="DP472" s="665"/>
      <c r="DQ472" s="716"/>
      <c r="DR472" s="716"/>
      <c r="DS472" s="665"/>
      <c r="DT472" s="716"/>
      <c r="DU472" s="665"/>
      <c r="DV472" s="716"/>
      <c r="DW472" s="716"/>
      <c r="DX472" s="665"/>
      <c r="DY472" s="716"/>
      <c r="DZ472" s="665"/>
      <c r="EA472" s="716"/>
      <c r="EB472" s="716"/>
      <c r="EC472" s="665"/>
      <c r="ED472" s="665"/>
      <c r="EE472" s="665"/>
      <c r="EF472" s="665"/>
      <c r="EG472" s="665"/>
      <c r="EH472" s="146"/>
      <c r="EI472" s="170"/>
      <c r="EJ472" s="170"/>
      <c r="EK472" s="262"/>
      <c r="EL472" s="91" t="str">
        <f t="shared" si="117"/>
        <v>No se reportó avance</v>
      </c>
      <c r="EM472" s="83" t="str">
        <f t="shared" si="118"/>
        <v>No se reportó avance</v>
      </c>
      <c r="EN472" s="697"/>
    </row>
    <row r="473" spans="1:144" ht="50.1" customHeight="1">
      <c r="A473" s="203" t="s">
        <v>4671</v>
      </c>
      <c r="B473" s="505" t="s">
        <v>3272</v>
      </c>
      <c r="C473" s="75" t="s">
        <v>3273</v>
      </c>
      <c r="D473" s="75" t="s">
        <v>3274</v>
      </c>
      <c r="E473" s="75" t="s">
        <v>3275</v>
      </c>
      <c r="F473" s="98" t="s">
        <v>280</v>
      </c>
      <c r="G473" s="98" t="s">
        <v>280</v>
      </c>
      <c r="H473" s="98" t="s">
        <v>3797</v>
      </c>
      <c r="I473" s="74" t="s">
        <v>3798</v>
      </c>
      <c r="J473" s="203" t="s">
        <v>3277</v>
      </c>
      <c r="K473" s="203" t="s">
        <v>3278</v>
      </c>
      <c r="L473" s="260">
        <v>14</v>
      </c>
      <c r="M473" s="78" t="s">
        <v>3799</v>
      </c>
      <c r="N473" s="78" t="s">
        <v>3800</v>
      </c>
      <c r="O473" s="78" t="s">
        <v>3801</v>
      </c>
      <c r="P473" s="78" t="s">
        <v>1161</v>
      </c>
      <c r="Q473" s="255" t="s">
        <v>162</v>
      </c>
      <c r="R473" s="638">
        <v>0</v>
      </c>
      <c r="S473" s="78" t="s">
        <v>163</v>
      </c>
      <c r="T473" s="80">
        <v>44927</v>
      </c>
      <c r="U473" s="80">
        <v>46357</v>
      </c>
      <c r="V473" s="531"/>
      <c r="W473" s="531"/>
      <c r="X473" s="531"/>
      <c r="Y473" s="531"/>
      <c r="Z473" s="79">
        <v>1</v>
      </c>
      <c r="AA473" s="75">
        <v>1</v>
      </c>
      <c r="AB473" s="75">
        <v>1</v>
      </c>
      <c r="AC473" s="75">
        <v>1</v>
      </c>
      <c r="AD473" s="75">
        <v>1</v>
      </c>
      <c r="AE473" s="79">
        <v>1</v>
      </c>
      <c r="AF473" s="79">
        <v>1</v>
      </c>
      <c r="AG473" s="79">
        <v>1</v>
      </c>
      <c r="AH473" s="79">
        <v>1</v>
      </c>
      <c r="AI473" s="79">
        <v>1</v>
      </c>
      <c r="AJ473" s="79">
        <v>1</v>
      </c>
      <c r="AK473" s="142">
        <v>1</v>
      </c>
      <c r="AL473" s="142">
        <v>1</v>
      </c>
      <c r="AM473" s="142">
        <v>1</v>
      </c>
      <c r="AN473" s="142">
        <v>1</v>
      </c>
      <c r="AO473" s="142">
        <v>1</v>
      </c>
      <c r="AP473" s="79">
        <v>1</v>
      </c>
      <c r="AQ473" s="262"/>
      <c r="AR473" s="262"/>
      <c r="AS473" s="262"/>
      <c r="AT473" s="262"/>
      <c r="AU473" s="262"/>
      <c r="AV473" s="262"/>
      <c r="AW473" s="262"/>
      <c r="AX473" s="262"/>
      <c r="AY473" s="173">
        <v>1</v>
      </c>
      <c r="AZ473" s="692" t="s">
        <v>3802</v>
      </c>
      <c r="BA473" s="173">
        <f>3/3</f>
        <v>1</v>
      </c>
      <c r="BB473" s="317" t="s">
        <v>3803</v>
      </c>
      <c r="BC473" s="173">
        <f>4720195717/14800000000</f>
        <v>0.31893214304054052</v>
      </c>
      <c r="BD473" s="317" t="s">
        <v>3804</v>
      </c>
      <c r="BE473" s="173">
        <f>3412086570/14800000000</f>
        <v>0.23054638986486486</v>
      </c>
      <c r="BF473" s="317" t="s">
        <v>3805</v>
      </c>
      <c r="BG473" s="173">
        <v>0</v>
      </c>
      <c r="BH473" s="170" t="s">
        <v>3286</v>
      </c>
      <c r="BI473" s="173">
        <f>+(BA473+BC473+BE473+BG473)/4</f>
        <v>0.38736963322635132</v>
      </c>
      <c r="BJ473" s="692"/>
      <c r="BK473" s="173">
        <v>0</v>
      </c>
      <c r="BL473" s="692" t="s">
        <v>3287</v>
      </c>
      <c r="BM473" s="712">
        <v>0.27300000000000002</v>
      </c>
      <c r="BN473" s="692" t="s">
        <v>3806</v>
      </c>
      <c r="BO473" s="712">
        <v>0.04</v>
      </c>
      <c r="BP473" s="692" t="s">
        <v>3807</v>
      </c>
      <c r="BQ473" s="262"/>
      <c r="BR473" s="262"/>
      <c r="BS473" s="83"/>
      <c r="BT473" s="262"/>
      <c r="BU473" s="262"/>
      <c r="BV473" s="262"/>
      <c r="BW473" s="262"/>
      <c r="BX473" s="262"/>
      <c r="BY473" s="262"/>
      <c r="BZ473" s="262"/>
      <c r="CA473" s="262"/>
      <c r="CB473" s="262"/>
      <c r="CC473" s="262"/>
      <c r="CD473" s="262"/>
      <c r="CE473" s="146"/>
      <c r="CF473" s="262"/>
      <c r="CG473" s="713">
        <f>SUBTOTAL(9,DH473:DH474)</f>
        <v>17300000000</v>
      </c>
      <c r="CH473" s="515"/>
      <c r="CI473" s="515"/>
      <c r="CJ473" s="83">
        <f t="shared" si="113"/>
        <v>0</v>
      </c>
      <c r="CK473" s="83">
        <f t="shared" si="119"/>
        <v>0</v>
      </c>
      <c r="CL473" s="83" t="str">
        <f t="shared" si="114"/>
        <v>No se reportó avance</v>
      </c>
      <c r="CM473" s="89" t="str">
        <f t="shared" si="115"/>
        <v>No se reportó avance</v>
      </c>
      <c r="CN473" s="89" t="str">
        <f t="shared" si="116"/>
        <v>No se reportó avance</v>
      </c>
      <c r="CO473" s="735" t="s">
        <v>2256</v>
      </c>
      <c r="CP473" s="677" t="s">
        <v>3808</v>
      </c>
      <c r="CQ473" s="145" t="s">
        <v>3809</v>
      </c>
      <c r="CR473" s="693" t="s">
        <v>3810</v>
      </c>
      <c r="CS473" s="693" t="s">
        <v>3801</v>
      </c>
      <c r="CT473" s="145" t="s">
        <v>161</v>
      </c>
      <c r="CU473" s="145" t="s">
        <v>275</v>
      </c>
      <c r="CV473" s="291">
        <v>0</v>
      </c>
      <c r="CW473" s="145" t="s">
        <v>163</v>
      </c>
      <c r="CX473" s="695">
        <v>46023</v>
      </c>
      <c r="CY473" s="695">
        <v>46387</v>
      </c>
      <c r="CZ473" s="736">
        <v>0.3</v>
      </c>
      <c r="DA473" s="736">
        <v>0.5</v>
      </c>
      <c r="DB473" s="736">
        <v>0.75</v>
      </c>
      <c r="DC473" s="146">
        <v>1</v>
      </c>
      <c r="DD473" s="146">
        <v>1</v>
      </c>
      <c r="DE473" s="665" t="s">
        <v>2951</v>
      </c>
      <c r="DF473" s="665" t="s">
        <v>3294</v>
      </c>
      <c r="DG473" s="665" t="s">
        <v>3295</v>
      </c>
      <c r="DH473" s="696">
        <f>11500000000+2800000000</f>
        <v>14300000000</v>
      </c>
      <c r="DI473" s="717"/>
      <c r="DJ473" s="717"/>
      <c r="DK473" s="717"/>
      <c r="DL473" s="665" t="s">
        <v>279</v>
      </c>
      <c r="DM473" s="665" t="s">
        <v>3296</v>
      </c>
      <c r="DN473" s="665"/>
      <c r="DO473" s="716"/>
      <c r="DP473" s="665"/>
      <c r="DQ473" s="716"/>
      <c r="DR473" s="716"/>
      <c r="DS473" s="665"/>
      <c r="DT473" s="716"/>
      <c r="DU473" s="665"/>
      <c r="DV473" s="716"/>
      <c r="DW473" s="716"/>
      <c r="DX473" s="665"/>
      <c r="DY473" s="716"/>
      <c r="DZ473" s="665"/>
      <c r="EA473" s="716"/>
      <c r="EB473" s="716"/>
      <c r="EC473" s="665"/>
      <c r="ED473" s="665"/>
      <c r="EE473" s="665"/>
      <c r="EF473" s="665"/>
      <c r="EG473" s="665"/>
      <c r="EH473" s="146"/>
      <c r="EI473" s="170"/>
      <c r="EJ473" s="170"/>
      <c r="EK473" s="262"/>
      <c r="EL473" s="91" t="str">
        <f t="shared" si="117"/>
        <v>No se reportó avance</v>
      </c>
      <c r="EM473" s="83" t="str">
        <f t="shared" si="118"/>
        <v>No se reportó avance</v>
      </c>
      <c r="EN473" s="697"/>
    </row>
    <row r="474" spans="1:144" ht="50.1" customHeight="1">
      <c r="A474" s="170" t="s">
        <v>4671</v>
      </c>
      <c r="B474" s="517" t="s">
        <v>3272</v>
      </c>
      <c r="C474" s="85" t="s">
        <v>3273</v>
      </c>
      <c r="D474" s="85" t="s">
        <v>3274</v>
      </c>
      <c r="E474" s="85" t="s">
        <v>3275</v>
      </c>
      <c r="F474" s="94" t="s">
        <v>280</v>
      </c>
      <c r="G474" s="94" t="s">
        <v>280</v>
      </c>
      <c r="H474" s="94" t="s">
        <v>3797</v>
      </c>
      <c r="I474" s="84" t="s">
        <v>3798</v>
      </c>
      <c r="J474" s="170" t="s">
        <v>3277</v>
      </c>
      <c r="K474" s="170" t="s">
        <v>3278</v>
      </c>
      <c r="L474" s="262">
        <v>14</v>
      </c>
      <c r="M474" s="84" t="s">
        <v>3799</v>
      </c>
      <c r="N474" s="84" t="s">
        <v>3800</v>
      </c>
      <c r="O474" s="84" t="s">
        <v>3801</v>
      </c>
      <c r="P474" s="84" t="s">
        <v>1161</v>
      </c>
      <c r="Q474" s="170" t="s">
        <v>162</v>
      </c>
      <c r="R474" s="84">
        <v>0</v>
      </c>
      <c r="S474" s="84" t="s">
        <v>163</v>
      </c>
      <c r="T474" s="90">
        <v>44927</v>
      </c>
      <c r="U474" s="90">
        <v>46357</v>
      </c>
      <c r="V474" s="262"/>
      <c r="W474" s="262"/>
      <c r="X474" s="262"/>
      <c r="Y474" s="262"/>
      <c r="Z474" s="85"/>
      <c r="AA474" s="85"/>
      <c r="AB474" s="85"/>
      <c r="AC474" s="85"/>
      <c r="AD474" s="85"/>
      <c r="AE474" s="85"/>
      <c r="AF474" s="85"/>
      <c r="AG474" s="85"/>
      <c r="AH474" s="85"/>
      <c r="AI474" s="85"/>
      <c r="AJ474" s="85"/>
      <c r="AK474" s="157"/>
      <c r="AL474" s="157"/>
      <c r="AM474" s="157"/>
      <c r="AN474" s="157"/>
      <c r="AO474" s="157"/>
      <c r="AP474" s="262"/>
      <c r="AQ474" s="262"/>
      <c r="AR474" s="262"/>
      <c r="AS474" s="262"/>
      <c r="AT474" s="262"/>
      <c r="AU474" s="262"/>
      <c r="AV474" s="262"/>
      <c r="AW474" s="262"/>
      <c r="AX474" s="262"/>
      <c r="AY474" s="262"/>
      <c r="AZ474" s="697"/>
      <c r="BA474" s="262"/>
      <c r="BB474" s="262"/>
      <c r="BC474" s="262"/>
      <c r="BD474" s="262"/>
      <c r="BE474" s="262"/>
      <c r="BF474" s="262"/>
      <c r="BG474" s="262"/>
      <c r="BH474" s="262"/>
      <c r="BI474" s="262"/>
      <c r="BJ474" s="697"/>
      <c r="BK474" s="262"/>
      <c r="BL474" s="697"/>
      <c r="BM474" s="262"/>
      <c r="BN474" s="697"/>
      <c r="BO474" s="262"/>
      <c r="BP474" s="697"/>
      <c r="BQ474" s="262"/>
      <c r="BR474" s="262"/>
      <c r="BS474" s="262"/>
      <c r="BT474" s="262"/>
      <c r="BU474" s="262"/>
      <c r="BV474" s="262"/>
      <c r="BW474" s="262"/>
      <c r="BX474" s="262"/>
      <c r="BY474" s="262"/>
      <c r="BZ474" s="262"/>
      <c r="CA474" s="262"/>
      <c r="CB474" s="262"/>
      <c r="CC474" s="262"/>
      <c r="CD474" s="262"/>
      <c r="CE474" s="262"/>
      <c r="CF474" s="262"/>
      <c r="CG474" s="717"/>
      <c r="CH474" s="262"/>
      <c r="CI474" s="262"/>
      <c r="CJ474" s="83" t="str">
        <f t="shared" si="113"/>
        <v>No aplica</v>
      </c>
      <c r="CK474" s="83" t="str">
        <f t="shared" si="119"/>
        <v>No aplica</v>
      </c>
      <c r="CL474" s="83" t="str">
        <f t="shared" si="114"/>
        <v>No requiere reporte</v>
      </c>
      <c r="CM474" s="89" t="str">
        <f t="shared" si="115"/>
        <v>No requiere reporte</v>
      </c>
      <c r="CN474" s="89" t="str">
        <f t="shared" si="116"/>
        <v>No requiere reporte</v>
      </c>
      <c r="CO474" s="735" t="s">
        <v>2263</v>
      </c>
      <c r="CP474" s="677" t="s">
        <v>3811</v>
      </c>
      <c r="CQ474" s="145" t="s">
        <v>3812</v>
      </c>
      <c r="CR474" s="693" t="s">
        <v>3813</v>
      </c>
      <c r="CS474" s="693" t="s">
        <v>3801</v>
      </c>
      <c r="CT474" s="145" t="s">
        <v>200</v>
      </c>
      <c r="CU474" s="145" t="s">
        <v>275</v>
      </c>
      <c r="CV474" s="291">
        <v>0</v>
      </c>
      <c r="CW474" s="145" t="s">
        <v>163</v>
      </c>
      <c r="CX474" s="695">
        <v>46023</v>
      </c>
      <c r="CY474" s="695">
        <v>46387</v>
      </c>
      <c r="CZ474" s="736">
        <v>0.3</v>
      </c>
      <c r="DA474" s="736">
        <v>0.5</v>
      </c>
      <c r="DB474" s="736">
        <v>0.75</v>
      </c>
      <c r="DC474" s="146">
        <v>1</v>
      </c>
      <c r="DD474" s="146">
        <v>1</v>
      </c>
      <c r="DE474" s="665" t="s">
        <v>2951</v>
      </c>
      <c r="DF474" s="665" t="s">
        <v>3294</v>
      </c>
      <c r="DG474" s="665" t="s">
        <v>3295</v>
      </c>
      <c r="DH474" s="696">
        <v>3000000000</v>
      </c>
      <c r="DI474" s="717"/>
      <c r="DJ474" s="717"/>
      <c r="DK474" s="717"/>
      <c r="DL474" s="665" t="s">
        <v>279</v>
      </c>
      <c r="DM474" s="665" t="s">
        <v>3296</v>
      </c>
      <c r="DN474" s="665"/>
      <c r="DO474" s="716"/>
      <c r="DP474" s="665"/>
      <c r="DQ474" s="716"/>
      <c r="DR474" s="716"/>
      <c r="DS474" s="737"/>
      <c r="DT474" s="738"/>
      <c r="DU474" s="739"/>
      <c r="DV474" s="716"/>
      <c r="DW474" s="716"/>
      <c r="DX474" s="737"/>
      <c r="DY474" s="738"/>
      <c r="DZ474" s="739"/>
      <c r="EA474" s="716"/>
      <c r="EB474" s="716"/>
      <c r="EC474" s="665"/>
      <c r="ED474" s="665"/>
      <c r="EE474" s="665"/>
      <c r="EF474" s="665"/>
      <c r="EG474" s="665"/>
      <c r="EH474" s="146"/>
      <c r="EI474" s="170"/>
      <c r="EJ474" s="170"/>
      <c r="EK474" s="262"/>
      <c r="EL474" s="91" t="str">
        <f t="shared" si="117"/>
        <v>No se reportó avance</v>
      </c>
      <c r="EM474" s="83" t="str">
        <f t="shared" si="118"/>
        <v>No se reportó avance</v>
      </c>
      <c r="EN474" s="697"/>
    </row>
    <row r="475" spans="1:144" ht="50.1" customHeight="1">
      <c r="A475" s="203" t="s">
        <v>4671</v>
      </c>
      <c r="B475" s="505" t="s">
        <v>3272</v>
      </c>
      <c r="C475" s="75" t="s">
        <v>3273</v>
      </c>
      <c r="D475" s="75" t="s">
        <v>3274</v>
      </c>
      <c r="E475" s="75" t="s">
        <v>3275</v>
      </c>
      <c r="F475" s="98" t="s">
        <v>280</v>
      </c>
      <c r="G475" s="98" t="s">
        <v>280</v>
      </c>
      <c r="H475" s="98" t="s">
        <v>3777</v>
      </c>
      <c r="I475" s="74" t="s">
        <v>3814</v>
      </c>
      <c r="J475" s="203" t="s">
        <v>3277</v>
      </c>
      <c r="K475" s="203" t="s">
        <v>3278</v>
      </c>
      <c r="L475" s="260">
        <v>15</v>
      </c>
      <c r="M475" s="78" t="s">
        <v>3815</v>
      </c>
      <c r="N475" s="78" t="s">
        <v>3816</v>
      </c>
      <c r="O475" s="78" t="s">
        <v>3281</v>
      </c>
      <c r="P475" s="78" t="s">
        <v>1161</v>
      </c>
      <c r="Q475" s="255" t="s">
        <v>162</v>
      </c>
      <c r="R475" s="638">
        <v>0</v>
      </c>
      <c r="S475" s="78" t="s">
        <v>163</v>
      </c>
      <c r="T475" s="80">
        <v>44927</v>
      </c>
      <c r="U475" s="80">
        <v>46357</v>
      </c>
      <c r="V475" s="531"/>
      <c r="W475" s="531"/>
      <c r="X475" s="531"/>
      <c r="Y475" s="531"/>
      <c r="Z475" s="79">
        <v>1</v>
      </c>
      <c r="AA475" s="75">
        <v>1</v>
      </c>
      <c r="AB475" s="75">
        <v>1</v>
      </c>
      <c r="AC475" s="75">
        <v>1</v>
      </c>
      <c r="AD475" s="75">
        <v>1</v>
      </c>
      <c r="AE475" s="79">
        <v>1</v>
      </c>
      <c r="AF475" s="79">
        <v>1</v>
      </c>
      <c r="AG475" s="79">
        <v>1</v>
      </c>
      <c r="AH475" s="79">
        <v>1</v>
      </c>
      <c r="AI475" s="79">
        <v>1</v>
      </c>
      <c r="AJ475" s="79">
        <v>1</v>
      </c>
      <c r="AK475" s="142">
        <v>1</v>
      </c>
      <c r="AL475" s="142">
        <v>1</v>
      </c>
      <c r="AM475" s="142">
        <v>1</v>
      </c>
      <c r="AN475" s="142">
        <v>1</v>
      </c>
      <c r="AO475" s="142">
        <v>1</v>
      </c>
      <c r="AP475" s="79">
        <v>1</v>
      </c>
      <c r="AQ475" s="262"/>
      <c r="AR475" s="262"/>
      <c r="AS475" s="262"/>
      <c r="AT475" s="262"/>
      <c r="AU475" s="262"/>
      <c r="AV475" s="262"/>
      <c r="AW475" s="262"/>
      <c r="AX475" s="262"/>
      <c r="AY475" s="173">
        <v>1</v>
      </c>
      <c r="AZ475" s="692" t="s">
        <v>3817</v>
      </c>
      <c r="BA475" s="173">
        <f>3/3</f>
        <v>1</v>
      </c>
      <c r="BB475" s="170" t="s">
        <v>3818</v>
      </c>
      <c r="BC475" s="173">
        <f>2/2</f>
        <v>1</v>
      </c>
      <c r="BD475" s="170" t="s">
        <v>3819</v>
      </c>
      <c r="BE475" s="173">
        <f>(2/2)*66%</f>
        <v>0.66</v>
      </c>
      <c r="BF475" s="170" t="s">
        <v>3820</v>
      </c>
      <c r="BG475" s="173">
        <v>0</v>
      </c>
      <c r="BH475" s="170" t="s">
        <v>3286</v>
      </c>
      <c r="BI475" s="173">
        <f>+(BA475+BC475+BE475+BG475)/4</f>
        <v>0.66500000000000004</v>
      </c>
      <c r="BJ475" s="692"/>
      <c r="BK475" s="173">
        <v>0</v>
      </c>
      <c r="BL475" s="692" t="s">
        <v>3287</v>
      </c>
      <c r="BM475" s="173">
        <v>0.17</v>
      </c>
      <c r="BN475" s="692" t="s">
        <v>3821</v>
      </c>
      <c r="BO475" s="173">
        <v>0.82699999999999996</v>
      </c>
      <c r="BP475" s="692" t="s">
        <v>3822</v>
      </c>
      <c r="BQ475" s="262"/>
      <c r="BR475" s="262"/>
      <c r="BS475" s="83"/>
      <c r="BT475" s="262"/>
      <c r="BU475" s="262"/>
      <c r="BV475" s="262"/>
      <c r="BW475" s="262"/>
      <c r="BX475" s="262"/>
      <c r="BY475" s="262"/>
      <c r="BZ475" s="262"/>
      <c r="CA475" s="262"/>
      <c r="CB475" s="262"/>
      <c r="CC475" s="262"/>
      <c r="CD475" s="262"/>
      <c r="CE475" s="146"/>
      <c r="CF475" s="262"/>
      <c r="CG475" s="713">
        <f>SUBTOTAL(9,DH475:DH481)</f>
        <v>10000000000</v>
      </c>
      <c r="CH475" s="515"/>
      <c r="CI475" s="515"/>
      <c r="CJ475" s="83">
        <f t="shared" si="113"/>
        <v>0</v>
      </c>
      <c r="CK475" s="83">
        <f t="shared" si="119"/>
        <v>0</v>
      </c>
      <c r="CL475" s="83" t="str">
        <f t="shared" si="114"/>
        <v>No se reportó avance</v>
      </c>
      <c r="CM475" s="89" t="str">
        <f t="shared" si="115"/>
        <v>No se reportó avance</v>
      </c>
      <c r="CN475" s="89" t="str">
        <f t="shared" si="116"/>
        <v>No se reportó avance</v>
      </c>
      <c r="CO475" s="735" t="s">
        <v>2331</v>
      </c>
      <c r="CP475" s="677" t="s">
        <v>3823</v>
      </c>
      <c r="CQ475" s="145" t="s">
        <v>3824</v>
      </c>
      <c r="CR475" s="693" t="s">
        <v>3825</v>
      </c>
      <c r="CS475" s="693" t="s">
        <v>3826</v>
      </c>
      <c r="CT475" s="145" t="s">
        <v>200</v>
      </c>
      <c r="CU475" s="714" t="s">
        <v>162</v>
      </c>
      <c r="CV475" s="291">
        <v>0</v>
      </c>
      <c r="CW475" s="145" t="s">
        <v>163</v>
      </c>
      <c r="CX475" s="695">
        <v>46023</v>
      </c>
      <c r="CY475" s="695">
        <v>46387</v>
      </c>
      <c r="CZ475" s="146">
        <v>1</v>
      </c>
      <c r="DA475" s="146">
        <v>1</v>
      </c>
      <c r="DB475" s="146">
        <v>1</v>
      </c>
      <c r="DC475" s="146">
        <v>1</v>
      </c>
      <c r="DD475" s="146">
        <v>1</v>
      </c>
      <c r="DE475" s="665" t="s">
        <v>396</v>
      </c>
      <c r="DF475" s="665" t="s">
        <v>3827</v>
      </c>
      <c r="DG475" s="665" t="s">
        <v>3828</v>
      </c>
      <c r="DH475" s="696">
        <f>1000000000-1000000000</f>
        <v>0</v>
      </c>
      <c r="DI475" s="717"/>
      <c r="DJ475" s="717"/>
      <c r="DK475" s="717"/>
      <c r="DL475" s="665" t="s">
        <v>279</v>
      </c>
      <c r="DM475" s="665" t="s">
        <v>3296</v>
      </c>
      <c r="DN475" s="218"/>
      <c r="DO475" s="716"/>
      <c r="DP475" s="665"/>
      <c r="DQ475" s="716"/>
      <c r="DR475" s="716"/>
      <c r="DS475" s="218"/>
      <c r="DT475" s="716"/>
      <c r="DU475" s="665"/>
      <c r="DV475" s="716"/>
      <c r="DW475" s="716"/>
      <c r="DX475" s="218"/>
      <c r="DY475" s="716"/>
      <c r="DZ475" s="665"/>
      <c r="EA475" s="716"/>
      <c r="EB475" s="716"/>
      <c r="EC475" s="665"/>
      <c r="ED475" s="665"/>
      <c r="EE475" s="665"/>
      <c r="EF475" s="665"/>
      <c r="EG475" s="665"/>
      <c r="EH475" s="146"/>
      <c r="EI475" s="170"/>
      <c r="EJ475" s="170"/>
      <c r="EK475" s="262"/>
      <c r="EL475" s="91" t="str">
        <f t="shared" si="117"/>
        <v>No se reportó avance</v>
      </c>
      <c r="EM475" s="83" t="str">
        <f t="shared" si="118"/>
        <v>No se reportó avance</v>
      </c>
      <c r="EN475" s="697"/>
    </row>
    <row r="476" spans="1:144" ht="50.1" customHeight="1">
      <c r="A476" s="170" t="s">
        <v>4671</v>
      </c>
      <c r="B476" s="517" t="s">
        <v>3272</v>
      </c>
      <c r="C476" s="85" t="s">
        <v>3273</v>
      </c>
      <c r="D476" s="85" t="s">
        <v>3274</v>
      </c>
      <c r="E476" s="85" t="s">
        <v>3275</v>
      </c>
      <c r="F476" s="94" t="s">
        <v>280</v>
      </c>
      <c r="G476" s="94" t="s">
        <v>280</v>
      </c>
      <c r="H476" s="94" t="s">
        <v>3777</v>
      </c>
      <c r="I476" s="84" t="s">
        <v>3814</v>
      </c>
      <c r="J476" s="170" t="s">
        <v>3277</v>
      </c>
      <c r="K476" s="170" t="s">
        <v>3278</v>
      </c>
      <c r="L476" s="262">
        <v>15</v>
      </c>
      <c r="M476" s="84" t="s">
        <v>3815</v>
      </c>
      <c r="N476" s="84" t="s">
        <v>3816</v>
      </c>
      <c r="O476" s="84" t="s">
        <v>3281</v>
      </c>
      <c r="P476" s="84" t="s">
        <v>1161</v>
      </c>
      <c r="Q476" s="170" t="s">
        <v>162</v>
      </c>
      <c r="R476" s="84">
        <v>0</v>
      </c>
      <c r="S476" s="84" t="s">
        <v>163</v>
      </c>
      <c r="T476" s="90">
        <v>44927</v>
      </c>
      <c r="U476" s="90">
        <v>46357</v>
      </c>
      <c r="V476" s="262"/>
      <c r="W476" s="262"/>
      <c r="X476" s="262"/>
      <c r="Y476" s="262"/>
      <c r="Z476" s="85"/>
      <c r="AA476" s="85"/>
      <c r="AB476" s="85"/>
      <c r="AC476" s="85"/>
      <c r="AD476" s="85"/>
      <c r="AE476" s="85"/>
      <c r="AF476" s="85"/>
      <c r="AG476" s="85"/>
      <c r="AH476" s="85"/>
      <c r="AI476" s="85"/>
      <c r="AJ476" s="85"/>
      <c r="AK476" s="157"/>
      <c r="AL476" s="157"/>
      <c r="AM476" s="157"/>
      <c r="AN476" s="157"/>
      <c r="AO476" s="157"/>
      <c r="AP476" s="262"/>
      <c r="AQ476" s="262"/>
      <c r="AR476" s="262"/>
      <c r="AS476" s="262"/>
      <c r="AT476" s="262"/>
      <c r="AU476" s="262"/>
      <c r="AV476" s="262"/>
      <c r="AW476" s="262"/>
      <c r="AX476" s="262"/>
      <c r="AY476" s="262"/>
      <c r="AZ476" s="697"/>
      <c r="BA476" s="262"/>
      <c r="BB476" s="262"/>
      <c r="BC476" s="262"/>
      <c r="BD476" s="262"/>
      <c r="BE476" s="262"/>
      <c r="BF476" s="262"/>
      <c r="BG476" s="262"/>
      <c r="BH476" s="262"/>
      <c r="BI476" s="262"/>
      <c r="BJ476" s="697"/>
      <c r="BK476" s="262"/>
      <c r="BL476" s="697"/>
      <c r="BM476" s="262"/>
      <c r="BN476" s="697"/>
      <c r="BO476" s="262"/>
      <c r="BP476" s="697"/>
      <c r="BQ476" s="262"/>
      <c r="BR476" s="262"/>
      <c r="BS476" s="262"/>
      <c r="BT476" s="262"/>
      <c r="BU476" s="262"/>
      <c r="BV476" s="262"/>
      <c r="BW476" s="262"/>
      <c r="BX476" s="262"/>
      <c r="BY476" s="262"/>
      <c r="BZ476" s="262"/>
      <c r="CA476" s="262"/>
      <c r="CB476" s="262"/>
      <c r="CC476" s="262"/>
      <c r="CD476" s="262"/>
      <c r="CE476" s="262"/>
      <c r="CF476" s="262"/>
      <c r="CG476" s="717"/>
      <c r="CH476" s="262"/>
      <c r="CI476" s="262"/>
      <c r="CJ476" s="83" t="str">
        <f t="shared" si="113"/>
        <v>No aplica</v>
      </c>
      <c r="CK476" s="83" t="str">
        <f t="shared" si="119"/>
        <v>No aplica</v>
      </c>
      <c r="CL476" s="83" t="str">
        <f t="shared" si="114"/>
        <v>No requiere reporte</v>
      </c>
      <c r="CM476" s="89" t="str">
        <f t="shared" si="115"/>
        <v>No requiere reporte</v>
      </c>
      <c r="CN476" s="89" t="str">
        <f t="shared" si="116"/>
        <v>No requiere reporte</v>
      </c>
      <c r="CO476" s="735" t="s">
        <v>2339</v>
      </c>
      <c r="CP476" s="677" t="s">
        <v>3829</v>
      </c>
      <c r="CQ476" s="145" t="s">
        <v>3830</v>
      </c>
      <c r="CR476" s="693" t="s">
        <v>3831</v>
      </c>
      <c r="CS476" s="693" t="s">
        <v>3832</v>
      </c>
      <c r="CT476" s="145" t="s">
        <v>200</v>
      </c>
      <c r="CU476" s="145" t="s">
        <v>233</v>
      </c>
      <c r="CV476" s="145">
        <v>0</v>
      </c>
      <c r="CW476" s="145" t="s">
        <v>234</v>
      </c>
      <c r="CX476" s="695">
        <v>46023</v>
      </c>
      <c r="CY476" s="695">
        <v>46387</v>
      </c>
      <c r="CZ476" s="154">
        <v>0</v>
      </c>
      <c r="DA476" s="154">
        <v>0</v>
      </c>
      <c r="DB476" s="154">
        <v>3</v>
      </c>
      <c r="DC476" s="154">
        <v>0</v>
      </c>
      <c r="DD476" s="154">
        <v>3</v>
      </c>
      <c r="DE476" s="665" t="s">
        <v>396</v>
      </c>
      <c r="DF476" s="665" t="s">
        <v>3827</v>
      </c>
      <c r="DG476" s="665" t="s">
        <v>3828</v>
      </c>
      <c r="DH476" s="696">
        <f>1000000000-1000000000</f>
        <v>0</v>
      </c>
      <c r="DI476" s="717"/>
      <c r="DJ476" s="717"/>
      <c r="DK476" s="717"/>
      <c r="DL476" s="665" t="s">
        <v>279</v>
      </c>
      <c r="DM476" s="665" t="s">
        <v>3296</v>
      </c>
      <c r="DN476" s="665"/>
      <c r="DO476" s="716"/>
      <c r="DP476" s="665"/>
      <c r="DQ476" s="716"/>
      <c r="DR476" s="716"/>
      <c r="DS476" s="665"/>
      <c r="DT476" s="716"/>
      <c r="DU476" s="665"/>
      <c r="DV476" s="716"/>
      <c r="DW476" s="716"/>
      <c r="DX476" s="665"/>
      <c r="DY476" s="716"/>
      <c r="DZ476" s="665"/>
      <c r="EA476" s="716"/>
      <c r="EB476" s="716"/>
      <c r="EC476" s="665"/>
      <c r="ED476" s="665"/>
      <c r="EE476" s="665"/>
      <c r="EF476" s="665"/>
      <c r="EG476" s="665"/>
      <c r="EH476" s="665"/>
      <c r="EI476" s="170"/>
      <c r="EJ476" s="170"/>
      <c r="EK476" s="262"/>
      <c r="EL476" s="91" t="str">
        <f t="shared" si="117"/>
        <v>No aplica, no hay meta</v>
      </c>
      <c r="EM476" s="83" t="str">
        <f t="shared" si="118"/>
        <v>No se reportó avance</v>
      </c>
      <c r="EN476" s="697"/>
    </row>
    <row r="477" spans="1:144" ht="50.1" customHeight="1">
      <c r="A477" s="170" t="s">
        <v>4671</v>
      </c>
      <c r="B477" s="517" t="s">
        <v>3272</v>
      </c>
      <c r="C477" s="85" t="s">
        <v>3273</v>
      </c>
      <c r="D477" s="85" t="s">
        <v>3274</v>
      </c>
      <c r="E477" s="85" t="s">
        <v>3275</v>
      </c>
      <c r="F477" s="94" t="s">
        <v>280</v>
      </c>
      <c r="G477" s="94" t="s">
        <v>280</v>
      </c>
      <c r="H477" s="94" t="s">
        <v>3777</v>
      </c>
      <c r="I477" s="84" t="s">
        <v>3814</v>
      </c>
      <c r="J477" s="170" t="s">
        <v>3277</v>
      </c>
      <c r="K477" s="170" t="s">
        <v>3278</v>
      </c>
      <c r="L477" s="262">
        <v>15</v>
      </c>
      <c r="M477" s="84" t="s">
        <v>3815</v>
      </c>
      <c r="N477" s="84" t="s">
        <v>3816</v>
      </c>
      <c r="O477" s="84" t="s">
        <v>3281</v>
      </c>
      <c r="P477" s="84" t="s">
        <v>1161</v>
      </c>
      <c r="Q477" s="170" t="s">
        <v>162</v>
      </c>
      <c r="R477" s="84">
        <v>0</v>
      </c>
      <c r="S477" s="84" t="s">
        <v>163</v>
      </c>
      <c r="T477" s="90">
        <v>44927</v>
      </c>
      <c r="U477" s="90">
        <v>46357</v>
      </c>
      <c r="V477" s="262"/>
      <c r="W477" s="262"/>
      <c r="X477" s="262"/>
      <c r="Y477" s="262"/>
      <c r="Z477" s="85"/>
      <c r="AA477" s="85"/>
      <c r="AB477" s="85"/>
      <c r="AC477" s="85"/>
      <c r="AD477" s="85"/>
      <c r="AE477" s="85"/>
      <c r="AF477" s="85"/>
      <c r="AG477" s="85"/>
      <c r="AH477" s="85"/>
      <c r="AI477" s="85"/>
      <c r="AJ477" s="85"/>
      <c r="AK477" s="157"/>
      <c r="AL477" s="157"/>
      <c r="AM477" s="157"/>
      <c r="AN477" s="157"/>
      <c r="AO477" s="157"/>
      <c r="AP477" s="262"/>
      <c r="AQ477" s="262"/>
      <c r="AR477" s="262"/>
      <c r="AS477" s="262"/>
      <c r="AT477" s="262"/>
      <c r="AU477" s="262"/>
      <c r="AV477" s="262"/>
      <c r="AW477" s="262"/>
      <c r="AX477" s="262"/>
      <c r="AY477" s="262"/>
      <c r="AZ477" s="697"/>
      <c r="BA477" s="262"/>
      <c r="BB477" s="262"/>
      <c r="BC477" s="262"/>
      <c r="BD477" s="262"/>
      <c r="BE477" s="262"/>
      <c r="BF477" s="262"/>
      <c r="BG477" s="262"/>
      <c r="BH477" s="262"/>
      <c r="BI477" s="262"/>
      <c r="BJ477" s="697"/>
      <c r="BK477" s="262"/>
      <c r="BL477" s="697"/>
      <c r="BM477" s="262"/>
      <c r="BN477" s="697"/>
      <c r="BO477" s="262"/>
      <c r="BP477" s="697"/>
      <c r="BQ477" s="262"/>
      <c r="BR477" s="262"/>
      <c r="BS477" s="262"/>
      <c r="BT477" s="262"/>
      <c r="BU477" s="262"/>
      <c r="BV477" s="262"/>
      <c r="BW477" s="262"/>
      <c r="BX477" s="262"/>
      <c r="BY477" s="262"/>
      <c r="BZ477" s="262"/>
      <c r="CA477" s="262"/>
      <c r="CB477" s="262"/>
      <c r="CC477" s="262"/>
      <c r="CD477" s="262"/>
      <c r="CE477" s="262"/>
      <c r="CF477" s="262"/>
      <c r="CG477" s="717"/>
      <c r="CH477" s="262"/>
      <c r="CI477" s="262"/>
      <c r="CJ477" s="83" t="str">
        <f t="shared" si="113"/>
        <v>No aplica</v>
      </c>
      <c r="CK477" s="83" t="str">
        <f t="shared" si="119"/>
        <v>No aplica</v>
      </c>
      <c r="CL477" s="83" t="str">
        <f t="shared" si="114"/>
        <v>No requiere reporte</v>
      </c>
      <c r="CM477" s="89" t="str">
        <f t="shared" si="115"/>
        <v>No requiere reporte</v>
      </c>
      <c r="CN477" s="89" t="str">
        <f t="shared" si="116"/>
        <v>No requiere reporte</v>
      </c>
      <c r="CO477" s="735" t="s">
        <v>2344</v>
      </c>
      <c r="CP477" s="677" t="s">
        <v>3833</v>
      </c>
      <c r="CQ477" s="145" t="s">
        <v>3834</v>
      </c>
      <c r="CR477" s="693" t="s">
        <v>3835</v>
      </c>
      <c r="CS477" s="693" t="s">
        <v>3836</v>
      </c>
      <c r="CT477" s="145" t="s">
        <v>200</v>
      </c>
      <c r="CU477" s="714" t="s">
        <v>162</v>
      </c>
      <c r="CV477" s="291">
        <v>0</v>
      </c>
      <c r="CW477" s="145" t="s">
        <v>163</v>
      </c>
      <c r="CX477" s="695">
        <v>46023</v>
      </c>
      <c r="CY477" s="695">
        <v>46387</v>
      </c>
      <c r="CZ477" s="146">
        <v>1</v>
      </c>
      <c r="DA477" s="146">
        <v>1</v>
      </c>
      <c r="DB477" s="146">
        <v>1</v>
      </c>
      <c r="DC477" s="146">
        <v>1</v>
      </c>
      <c r="DD477" s="146">
        <v>1</v>
      </c>
      <c r="DE477" s="665" t="s">
        <v>396</v>
      </c>
      <c r="DF477" s="665" t="s">
        <v>3827</v>
      </c>
      <c r="DG477" s="665" t="s">
        <v>3828</v>
      </c>
      <c r="DH477" s="696">
        <f>26000000000-26000000000</f>
        <v>0</v>
      </c>
      <c r="DI477" s="717"/>
      <c r="DJ477" s="717"/>
      <c r="DK477" s="717"/>
      <c r="DL477" s="665" t="s">
        <v>279</v>
      </c>
      <c r="DM477" s="665" t="s">
        <v>3296</v>
      </c>
      <c r="DN477" s="218"/>
      <c r="DO477" s="716"/>
      <c r="DP477" s="665"/>
      <c r="DQ477" s="716"/>
      <c r="DR477" s="716"/>
      <c r="DS477" s="218"/>
      <c r="DT477" s="716"/>
      <c r="DU477" s="665"/>
      <c r="DV477" s="716"/>
      <c r="DW477" s="716"/>
      <c r="DX477" s="218"/>
      <c r="DY477" s="716"/>
      <c r="DZ477" s="665"/>
      <c r="EA477" s="716"/>
      <c r="EB477" s="716"/>
      <c r="EC477" s="665"/>
      <c r="ED477" s="665"/>
      <c r="EE477" s="665"/>
      <c r="EF477" s="665"/>
      <c r="EG477" s="665"/>
      <c r="EH477" s="146"/>
      <c r="EI477" s="170"/>
      <c r="EJ477" s="170"/>
      <c r="EK477" s="262"/>
      <c r="EL477" s="91" t="str">
        <f t="shared" si="117"/>
        <v>No se reportó avance</v>
      </c>
      <c r="EM477" s="83" t="str">
        <f t="shared" si="118"/>
        <v>No se reportó avance</v>
      </c>
      <c r="EN477" s="697"/>
    </row>
    <row r="478" spans="1:144" ht="50.1" customHeight="1">
      <c r="A478" s="170" t="s">
        <v>4671</v>
      </c>
      <c r="B478" s="517" t="s">
        <v>3272</v>
      </c>
      <c r="C478" s="85" t="s">
        <v>3273</v>
      </c>
      <c r="D478" s="85" t="s">
        <v>3274</v>
      </c>
      <c r="E478" s="85" t="s">
        <v>3275</v>
      </c>
      <c r="F478" s="94" t="s">
        <v>280</v>
      </c>
      <c r="G478" s="94" t="s">
        <v>280</v>
      </c>
      <c r="H478" s="94" t="s">
        <v>3777</v>
      </c>
      <c r="I478" s="84" t="s">
        <v>3814</v>
      </c>
      <c r="J478" s="170" t="s">
        <v>3277</v>
      </c>
      <c r="K478" s="170" t="s">
        <v>3278</v>
      </c>
      <c r="L478" s="262">
        <v>15</v>
      </c>
      <c r="M478" s="84" t="s">
        <v>3815</v>
      </c>
      <c r="N478" s="84" t="s">
        <v>3816</v>
      </c>
      <c r="O478" s="84" t="s">
        <v>3281</v>
      </c>
      <c r="P478" s="84" t="s">
        <v>1161</v>
      </c>
      <c r="Q478" s="170" t="s">
        <v>162</v>
      </c>
      <c r="R478" s="84">
        <v>0</v>
      </c>
      <c r="S478" s="84" t="s">
        <v>163</v>
      </c>
      <c r="T478" s="90">
        <v>44927</v>
      </c>
      <c r="U478" s="90">
        <v>46357</v>
      </c>
      <c r="V478" s="262"/>
      <c r="W478" s="262"/>
      <c r="X478" s="262"/>
      <c r="Y478" s="262"/>
      <c r="Z478" s="85"/>
      <c r="AA478" s="85"/>
      <c r="AB478" s="85"/>
      <c r="AC478" s="85"/>
      <c r="AD478" s="85"/>
      <c r="AE478" s="85"/>
      <c r="AF478" s="85"/>
      <c r="AG478" s="85"/>
      <c r="AH478" s="85"/>
      <c r="AI478" s="85"/>
      <c r="AJ478" s="85"/>
      <c r="AK478" s="157"/>
      <c r="AL478" s="157"/>
      <c r="AM478" s="157"/>
      <c r="AN478" s="157"/>
      <c r="AO478" s="157"/>
      <c r="AP478" s="262"/>
      <c r="AQ478" s="262"/>
      <c r="AR478" s="262"/>
      <c r="AS478" s="262"/>
      <c r="AT478" s="262"/>
      <c r="AU478" s="262"/>
      <c r="AV478" s="262"/>
      <c r="AW478" s="262"/>
      <c r="AX478" s="262"/>
      <c r="AY478" s="262"/>
      <c r="AZ478" s="697"/>
      <c r="BA478" s="262"/>
      <c r="BB478" s="262"/>
      <c r="BC478" s="262"/>
      <c r="BD478" s="262"/>
      <c r="BE478" s="262"/>
      <c r="BF478" s="262"/>
      <c r="BG478" s="262"/>
      <c r="BH478" s="262"/>
      <c r="BI478" s="262"/>
      <c r="BJ478" s="697"/>
      <c r="BK478" s="262"/>
      <c r="BL478" s="697"/>
      <c r="BM478" s="262"/>
      <c r="BN478" s="697"/>
      <c r="BO478" s="262"/>
      <c r="BP478" s="697"/>
      <c r="BQ478" s="262"/>
      <c r="BR478" s="262"/>
      <c r="BS478" s="262"/>
      <c r="BT478" s="262"/>
      <c r="BU478" s="262"/>
      <c r="BV478" s="262"/>
      <c r="BW478" s="262"/>
      <c r="BX478" s="262"/>
      <c r="BY478" s="262"/>
      <c r="BZ478" s="262"/>
      <c r="CA478" s="262"/>
      <c r="CB478" s="262"/>
      <c r="CC478" s="262"/>
      <c r="CD478" s="262"/>
      <c r="CE478" s="262"/>
      <c r="CF478" s="262"/>
      <c r="CG478" s="717"/>
      <c r="CH478" s="262"/>
      <c r="CI478" s="262"/>
      <c r="CJ478" s="83" t="str">
        <f t="shared" si="113"/>
        <v>No aplica</v>
      </c>
      <c r="CK478" s="83" t="str">
        <f t="shared" si="119"/>
        <v>No aplica</v>
      </c>
      <c r="CL478" s="83" t="str">
        <f t="shared" si="114"/>
        <v>No requiere reporte</v>
      </c>
      <c r="CM478" s="89" t="str">
        <f t="shared" si="115"/>
        <v>No requiere reporte</v>
      </c>
      <c r="CN478" s="89" t="str">
        <f t="shared" si="116"/>
        <v>No requiere reporte</v>
      </c>
      <c r="CO478" s="735" t="s">
        <v>2348</v>
      </c>
      <c r="CP478" s="677" t="s">
        <v>3837</v>
      </c>
      <c r="CQ478" s="145" t="s">
        <v>3838</v>
      </c>
      <c r="CR478" s="693" t="s">
        <v>3839</v>
      </c>
      <c r="CS478" s="693" t="s">
        <v>3840</v>
      </c>
      <c r="CT478" s="145" t="s">
        <v>200</v>
      </c>
      <c r="CU478" s="714" t="s">
        <v>162</v>
      </c>
      <c r="CV478" s="291">
        <v>0</v>
      </c>
      <c r="CW478" s="145" t="s">
        <v>163</v>
      </c>
      <c r="CX478" s="695">
        <v>46023</v>
      </c>
      <c r="CY478" s="695">
        <v>46387</v>
      </c>
      <c r="CZ478" s="736">
        <v>0</v>
      </c>
      <c r="DA478" s="146">
        <v>1</v>
      </c>
      <c r="DB478" s="146">
        <v>1</v>
      </c>
      <c r="DC478" s="146">
        <v>1</v>
      </c>
      <c r="DD478" s="146">
        <v>1</v>
      </c>
      <c r="DE478" s="665" t="s">
        <v>396</v>
      </c>
      <c r="DF478" s="665" t="s">
        <v>3827</v>
      </c>
      <c r="DG478" s="665" t="s">
        <v>3828</v>
      </c>
      <c r="DH478" s="696">
        <v>9600000000</v>
      </c>
      <c r="DI478" s="717"/>
      <c r="DJ478" s="717"/>
      <c r="DK478" s="717"/>
      <c r="DL478" s="665" t="s">
        <v>279</v>
      </c>
      <c r="DM478" s="665"/>
      <c r="DN478" s="218"/>
      <c r="DO478" s="716"/>
      <c r="DP478" s="665"/>
      <c r="DQ478" s="716"/>
      <c r="DR478" s="716"/>
      <c r="DS478" s="218"/>
      <c r="DT478" s="716"/>
      <c r="DU478" s="665"/>
      <c r="DV478" s="716"/>
      <c r="DW478" s="716"/>
      <c r="DX478" s="218"/>
      <c r="DY478" s="716"/>
      <c r="DZ478" s="665"/>
      <c r="EA478" s="716"/>
      <c r="EB478" s="716"/>
      <c r="EC478" s="665"/>
      <c r="ED478" s="665"/>
      <c r="EE478" s="665"/>
      <c r="EF478" s="665"/>
      <c r="EG478" s="665"/>
      <c r="EH478" s="666"/>
      <c r="EI478" s="170"/>
      <c r="EJ478" s="170"/>
      <c r="EK478" s="262"/>
      <c r="EL478" s="91" t="str">
        <f t="shared" si="117"/>
        <v>No aplica, no hay meta</v>
      </c>
      <c r="EM478" s="83" t="str">
        <f t="shared" si="118"/>
        <v>No se reportó avance</v>
      </c>
      <c r="EN478" s="697"/>
    </row>
    <row r="479" spans="1:144" ht="50.1" customHeight="1">
      <c r="A479" s="170" t="s">
        <v>4671</v>
      </c>
      <c r="B479" s="517" t="s">
        <v>3272</v>
      </c>
      <c r="C479" s="85" t="s">
        <v>3273</v>
      </c>
      <c r="D479" s="85" t="s">
        <v>3274</v>
      </c>
      <c r="E479" s="85" t="s">
        <v>3275</v>
      </c>
      <c r="F479" s="94" t="s">
        <v>280</v>
      </c>
      <c r="G479" s="94" t="s">
        <v>280</v>
      </c>
      <c r="H479" s="94" t="s">
        <v>3777</v>
      </c>
      <c r="I479" s="84" t="s">
        <v>3814</v>
      </c>
      <c r="J479" s="170" t="s">
        <v>3277</v>
      </c>
      <c r="K479" s="170" t="s">
        <v>3278</v>
      </c>
      <c r="L479" s="262">
        <v>15</v>
      </c>
      <c r="M479" s="84" t="s">
        <v>3815</v>
      </c>
      <c r="N479" s="84" t="s">
        <v>3816</v>
      </c>
      <c r="O479" s="84" t="s">
        <v>3281</v>
      </c>
      <c r="P479" s="84" t="s">
        <v>1161</v>
      </c>
      <c r="Q479" s="170" t="s">
        <v>162</v>
      </c>
      <c r="R479" s="84">
        <v>0</v>
      </c>
      <c r="S479" s="84" t="s">
        <v>163</v>
      </c>
      <c r="T479" s="90">
        <v>44927</v>
      </c>
      <c r="U479" s="90">
        <v>46357</v>
      </c>
      <c r="V479" s="262"/>
      <c r="W479" s="262"/>
      <c r="X479" s="262"/>
      <c r="Y479" s="262"/>
      <c r="Z479" s="85"/>
      <c r="AA479" s="85"/>
      <c r="AB479" s="85"/>
      <c r="AC479" s="85"/>
      <c r="AD479" s="85"/>
      <c r="AE479" s="85"/>
      <c r="AF479" s="85"/>
      <c r="AG479" s="85"/>
      <c r="AH479" s="85"/>
      <c r="AI479" s="85"/>
      <c r="AJ479" s="85"/>
      <c r="AK479" s="157"/>
      <c r="AL479" s="157"/>
      <c r="AM479" s="157"/>
      <c r="AN479" s="157"/>
      <c r="AO479" s="157"/>
      <c r="AP479" s="262"/>
      <c r="AQ479" s="262"/>
      <c r="AR479" s="262"/>
      <c r="AS479" s="262"/>
      <c r="AT479" s="262"/>
      <c r="AU479" s="262"/>
      <c r="AV479" s="262"/>
      <c r="AW479" s="262"/>
      <c r="AX479" s="262"/>
      <c r="AY479" s="262"/>
      <c r="AZ479" s="697"/>
      <c r="BA479" s="262"/>
      <c r="BB479" s="262"/>
      <c r="BC479" s="262"/>
      <c r="BD479" s="262"/>
      <c r="BE479" s="262"/>
      <c r="BF479" s="262"/>
      <c r="BG479" s="262"/>
      <c r="BH479" s="262"/>
      <c r="BI479" s="262"/>
      <c r="BJ479" s="697"/>
      <c r="BK479" s="262"/>
      <c r="BL479" s="697"/>
      <c r="BM479" s="262"/>
      <c r="BN479" s="697"/>
      <c r="BO479" s="262"/>
      <c r="BP479" s="697"/>
      <c r="BQ479" s="262"/>
      <c r="BR479" s="262"/>
      <c r="BS479" s="262"/>
      <c r="BT479" s="262"/>
      <c r="BU479" s="262"/>
      <c r="BV479" s="262"/>
      <c r="BW479" s="262"/>
      <c r="BX479" s="262"/>
      <c r="BY479" s="262"/>
      <c r="BZ479" s="262"/>
      <c r="CA479" s="262"/>
      <c r="CB479" s="262"/>
      <c r="CC479" s="262"/>
      <c r="CD479" s="262"/>
      <c r="CE479" s="262"/>
      <c r="CF479" s="262"/>
      <c r="CG479" s="717"/>
      <c r="CH479" s="262"/>
      <c r="CI479" s="262"/>
      <c r="CJ479" s="83" t="str">
        <f t="shared" ref="CJ479:CJ542" si="120">+IFERROR(CH479/CG479,"No aplica")</f>
        <v>No aplica</v>
      </c>
      <c r="CK479" s="83" t="str">
        <f t="shared" si="119"/>
        <v>No aplica</v>
      </c>
      <c r="CL479" s="83" t="str">
        <f t="shared" si="114"/>
        <v>No requiere reporte</v>
      </c>
      <c r="CM479" s="89" t="str">
        <f t="shared" si="115"/>
        <v>No requiere reporte</v>
      </c>
      <c r="CN479" s="89" t="str">
        <f t="shared" si="116"/>
        <v>No requiere reporte</v>
      </c>
      <c r="CO479" s="735" t="s">
        <v>2350</v>
      </c>
      <c r="CP479" s="677" t="s">
        <v>3841</v>
      </c>
      <c r="CQ479" s="145" t="s">
        <v>3830</v>
      </c>
      <c r="CR479" s="693" t="s">
        <v>3831</v>
      </c>
      <c r="CS479" s="693" t="s">
        <v>3832</v>
      </c>
      <c r="CT479" s="145" t="s">
        <v>200</v>
      </c>
      <c r="CU479" s="145" t="s">
        <v>233</v>
      </c>
      <c r="CV479" s="145">
        <v>0</v>
      </c>
      <c r="CW479" s="145" t="s">
        <v>234</v>
      </c>
      <c r="CX479" s="695">
        <v>46023</v>
      </c>
      <c r="CY479" s="695">
        <v>46387</v>
      </c>
      <c r="CZ479" s="736">
        <v>0</v>
      </c>
      <c r="DA479" s="736">
        <v>1</v>
      </c>
      <c r="DB479" s="736">
        <v>1</v>
      </c>
      <c r="DC479" s="736">
        <v>1</v>
      </c>
      <c r="DD479" s="736">
        <v>1</v>
      </c>
      <c r="DE479" s="665" t="s">
        <v>396</v>
      </c>
      <c r="DF479" s="665" t="s">
        <v>3827</v>
      </c>
      <c r="DG479" s="665" t="s">
        <v>3828</v>
      </c>
      <c r="DH479" s="696">
        <v>200000000</v>
      </c>
      <c r="DI479" s="717"/>
      <c r="DJ479" s="717"/>
      <c r="DK479" s="717"/>
      <c r="DL479" s="665" t="s">
        <v>279</v>
      </c>
      <c r="DM479" s="665"/>
      <c r="DN479" s="665"/>
      <c r="DO479" s="716"/>
      <c r="DP479" s="665"/>
      <c r="DQ479" s="716"/>
      <c r="DR479" s="716"/>
      <c r="DS479" s="665"/>
      <c r="DT479" s="716"/>
      <c r="DU479" s="665"/>
      <c r="DV479" s="716"/>
      <c r="DW479" s="716"/>
      <c r="DX479" s="665"/>
      <c r="DY479" s="716"/>
      <c r="DZ479" s="665"/>
      <c r="EA479" s="716"/>
      <c r="EB479" s="716"/>
      <c r="EC479" s="665"/>
      <c r="ED479" s="665"/>
      <c r="EE479" s="665"/>
      <c r="EF479" s="665"/>
      <c r="EG479" s="665"/>
      <c r="EH479" s="665"/>
      <c r="EI479" s="170"/>
      <c r="EJ479" s="170"/>
      <c r="EK479" s="262"/>
      <c r="EL479" s="91" t="str">
        <f t="shared" si="117"/>
        <v>No aplica, no hay meta</v>
      </c>
      <c r="EM479" s="83" t="str">
        <f t="shared" si="118"/>
        <v>No se reportó avance</v>
      </c>
      <c r="EN479" s="697"/>
    </row>
    <row r="480" spans="1:144" ht="50.1" customHeight="1">
      <c r="A480" s="170" t="s">
        <v>4671</v>
      </c>
      <c r="B480" s="517" t="s">
        <v>3272</v>
      </c>
      <c r="C480" s="85" t="s">
        <v>3273</v>
      </c>
      <c r="D480" s="85" t="s">
        <v>3274</v>
      </c>
      <c r="E480" s="85" t="s">
        <v>3275</v>
      </c>
      <c r="F480" s="94" t="s">
        <v>280</v>
      </c>
      <c r="G480" s="94" t="s">
        <v>280</v>
      </c>
      <c r="H480" s="94" t="s">
        <v>3777</v>
      </c>
      <c r="I480" s="84" t="s">
        <v>3814</v>
      </c>
      <c r="J480" s="170" t="s">
        <v>3277</v>
      </c>
      <c r="K480" s="170" t="s">
        <v>3278</v>
      </c>
      <c r="L480" s="262">
        <v>15</v>
      </c>
      <c r="M480" s="84" t="s">
        <v>3815</v>
      </c>
      <c r="N480" s="84" t="s">
        <v>3816</v>
      </c>
      <c r="O480" s="84" t="s">
        <v>3281</v>
      </c>
      <c r="P480" s="84" t="s">
        <v>1161</v>
      </c>
      <c r="Q480" s="170" t="s">
        <v>162</v>
      </c>
      <c r="R480" s="84">
        <v>0</v>
      </c>
      <c r="S480" s="84" t="s">
        <v>163</v>
      </c>
      <c r="T480" s="90">
        <v>44927</v>
      </c>
      <c r="U480" s="90">
        <v>46357</v>
      </c>
      <c r="V480" s="262"/>
      <c r="W480" s="262"/>
      <c r="X480" s="262"/>
      <c r="Y480" s="262"/>
      <c r="Z480" s="85"/>
      <c r="AA480" s="85"/>
      <c r="AB480" s="85"/>
      <c r="AC480" s="85"/>
      <c r="AD480" s="85"/>
      <c r="AE480" s="85"/>
      <c r="AF480" s="85"/>
      <c r="AG480" s="85"/>
      <c r="AH480" s="85"/>
      <c r="AI480" s="85"/>
      <c r="AJ480" s="85"/>
      <c r="AK480" s="157"/>
      <c r="AL480" s="157"/>
      <c r="AM480" s="157"/>
      <c r="AN480" s="157"/>
      <c r="AO480" s="157"/>
      <c r="AP480" s="262"/>
      <c r="AQ480" s="262"/>
      <c r="AR480" s="262"/>
      <c r="AS480" s="262"/>
      <c r="AT480" s="262"/>
      <c r="AU480" s="262"/>
      <c r="AV480" s="262"/>
      <c r="AW480" s="262"/>
      <c r="AX480" s="262"/>
      <c r="AY480" s="262"/>
      <c r="AZ480" s="697"/>
      <c r="BA480" s="262"/>
      <c r="BB480" s="262"/>
      <c r="BC480" s="262"/>
      <c r="BD480" s="262"/>
      <c r="BE480" s="262"/>
      <c r="BF480" s="262"/>
      <c r="BG480" s="262"/>
      <c r="BH480" s="262"/>
      <c r="BI480" s="262"/>
      <c r="BJ480" s="697"/>
      <c r="BK480" s="262"/>
      <c r="BL480" s="697"/>
      <c r="BM480" s="262"/>
      <c r="BN480" s="697"/>
      <c r="BO480" s="262"/>
      <c r="BP480" s="697"/>
      <c r="BQ480" s="262"/>
      <c r="BR480" s="262"/>
      <c r="BS480" s="262"/>
      <c r="BT480" s="262"/>
      <c r="BU480" s="262"/>
      <c r="BV480" s="262"/>
      <c r="BW480" s="262"/>
      <c r="BX480" s="262"/>
      <c r="BY480" s="262"/>
      <c r="BZ480" s="262"/>
      <c r="CA480" s="262"/>
      <c r="CB480" s="262"/>
      <c r="CC480" s="262"/>
      <c r="CD480" s="262"/>
      <c r="CE480" s="262"/>
      <c r="CF480" s="262"/>
      <c r="CG480" s="717"/>
      <c r="CH480" s="262"/>
      <c r="CI480" s="262"/>
      <c r="CJ480" s="83" t="str">
        <f t="shared" si="120"/>
        <v>No aplica</v>
      </c>
      <c r="CK480" s="83" t="str">
        <f t="shared" si="119"/>
        <v>No aplica</v>
      </c>
      <c r="CL480" s="83" t="str">
        <f t="shared" si="114"/>
        <v>No requiere reporte</v>
      </c>
      <c r="CM480" s="89" t="str">
        <f t="shared" si="115"/>
        <v>No requiere reporte</v>
      </c>
      <c r="CN480" s="89" t="str">
        <f t="shared" si="116"/>
        <v>No requiere reporte</v>
      </c>
      <c r="CO480" s="735" t="s">
        <v>2352</v>
      </c>
      <c r="CP480" s="677" t="s">
        <v>3842</v>
      </c>
      <c r="CQ480" s="145" t="s">
        <v>3834</v>
      </c>
      <c r="CR480" s="693" t="s">
        <v>3835</v>
      </c>
      <c r="CS480" s="693" t="s">
        <v>3836</v>
      </c>
      <c r="CT480" s="145" t="s">
        <v>200</v>
      </c>
      <c r="CU480" s="714" t="s">
        <v>162</v>
      </c>
      <c r="CV480" s="291">
        <v>0</v>
      </c>
      <c r="CW480" s="145" t="s">
        <v>163</v>
      </c>
      <c r="CX480" s="695">
        <v>46023</v>
      </c>
      <c r="CY480" s="695">
        <v>46387</v>
      </c>
      <c r="CZ480" s="736">
        <v>0</v>
      </c>
      <c r="DA480" s="146">
        <v>1</v>
      </c>
      <c r="DB480" s="146">
        <v>1</v>
      </c>
      <c r="DC480" s="146">
        <v>1</v>
      </c>
      <c r="DD480" s="146">
        <v>1</v>
      </c>
      <c r="DE480" s="665" t="s">
        <v>396</v>
      </c>
      <c r="DF480" s="665" t="s">
        <v>3827</v>
      </c>
      <c r="DG480" s="665" t="s">
        <v>3828</v>
      </c>
      <c r="DH480" s="696">
        <v>100000000</v>
      </c>
      <c r="DI480" s="717"/>
      <c r="DJ480" s="717"/>
      <c r="DK480" s="717"/>
      <c r="DL480" s="665" t="s">
        <v>279</v>
      </c>
      <c r="DM480" s="665"/>
      <c r="DN480" s="218"/>
      <c r="DO480" s="716"/>
      <c r="DP480" s="665"/>
      <c r="DQ480" s="716"/>
      <c r="DR480" s="716"/>
      <c r="DS480" s="218"/>
      <c r="DT480" s="716"/>
      <c r="DU480" s="665"/>
      <c r="DV480" s="716"/>
      <c r="DW480" s="716"/>
      <c r="DX480" s="218"/>
      <c r="DY480" s="716"/>
      <c r="DZ480" s="665"/>
      <c r="EA480" s="716"/>
      <c r="EB480" s="716"/>
      <c r="EC480" s="665"/>
      <c r="ED480" s="665"/>
      <c r="EE480" s="665"/>
      <c r="EF480" s="665"/>
      <c r="EG480" s="665"/>
      <c r="EH480" s="666"/>
      <c r="EI480" s="170"/>
      <c r="EJ480" s="170"/>
      <c r="EK480" s="262"/>
      <c r="EL480" s="91" t="str">
        <f t="shared" si="117"/>
        <v>No aplica, no hay meta</v>
      </c>
      <c r="EM480" s="83" t="str">
        <f t="shared" si="118"/>
        <v>No se reportó avance</v>
      </c>
      <c r="EN480" s="697"/>
    </row>
    <row r="481" spans="1:144" ht="50.1" customHeight="1">
      <c r="A481" s="170" t="s">
        <v>4671</v>
      </c>
      <c r="B481" s="517" t="s">
        <v>3272</v>
      </c>
      <c r="C481" s="85" t="s">
        <v>3273</v>
      </c>
      <c r="D481" s="85" t="s">
        <v>3274</v>
      </c>
      <c r="E481" s="85" t="s">
        <v>3275</v>
      </c>
      <c r="F481" s="94" t="s">
        <v>280</v>
      </c>
      <c r="G481" s="94" t="s">
        <v>280</v>
      </c>
      <c r="H481" s="94" t="s">
        <v>3777</v>
      </c>
      <c r="I481" s="84" t="s">
        <v>3814</v>
      </c>
      <c r="J481" s="170" t="s">
        <v>3277</v>
      </c>
      <c r="K481" s="170" t="s">
        <v>3278</v>
      </c>
      <c r="L481" s="262">
        <v>15</v>
      </c>
      <c r="M481" s="84" t="s">
        <v>3815</v>
      </c>
      <c r="N481" s="84" t="s">
        <v>3816</v>
      </c>
      <c r="O481" s="84" t="s">
        <v>3281</v>
      </c>
      <c r="P481" s="84" t="s">
        <v>1161</v>
      </c>
      <c r="Q481" s="170" t="s">
        <v>162</v>
      </c>
      <c r="R481" s="84">
        <v>0</v>
      </c>
      <c r="S481" s="84" t="s">
        <v>163</v>
      </c>
      <c r="T481" s="90">
        <v>44927</v>
      </c>
      <c r="U481" s="90">
        <v>46357</v>
      </c>
      <c r="V481" s="262"/>
      <c r="W481" s="262"/>
      <c r="X481" s="262"/>
      <c r="Y481" s="262"/>
      <c r="Z481" s="85"/>
      <c r="AA481" s="85"/>
      <c r="AB481" s="85"/>
      <c r="AC481" s="85"/>
      <c r="AD481" s="85"/>
      <c r="AE481" s="85"/>
      <c r="AF481" s="85"/>
      <c r="AG481" s="85"/>
      <c r="AH481" s="85"/>
      <c r="AI481" s="85"/>
      <c r="AJ481" s="85"/>
      <c r="AK481" s="157"/>
      <c r="AL481" s="157"/>
      <c r="AM481" s="157"/>
      <c r="AN481" s="157"/>
      <c r="AO481" s="157"/>
      <c r="AP481" s="262"/>
      <c r="AQ481" s="262"/>
      <c r="AR481" s="262"/>
      <c r="AS481" s="262"/>
      <c r="AT481" s="262"/>
      <c r="AU481" s="262"/>
      <c r="AV481" s="262"/>
      <c r="AW481" s="262"/>
      <c r="AX481" s="262"/>
      <c r="AY481" s="262"/>
      <c r="AZ481" s="697"/>
      <c r="BA481" s="262"/>
      <c r="BB481" s="262"/>
      <c r="BC481" s="262"/>
      <c r="BD481" s="262"/>
      <c r="BE481" s="262"/>
      <c r="BF481" s="262"/>
      <c r="BG481" s="262"/>
      <c r="BH481" s="262"/>
      <c r="BI481" s="262"/>
      <c r="BJ481" s="697"/>
      <c r="BK481" s="262"/>
      <c r="BL481" s="697"/>
      <c r="BM481" s="262"/>
      <c r="BN481" s="697"/>
      <c r="BO481" s="262"/>
      <c r="BP481" s="697"/>
      <c r="BQ481" s="262"/>
      <c r="BR481" s="262"/>
      <c r="BS481" s="262"/>
      <c r="BT481" s="262"/>
      <c r="BU481" s="262"/>
      <c r="BV481" s="262"/>
      <c r="BW481" s="262"/>
      <c r="BX481" s="262"/>
      <c r="BY481" s="262"/>
      <c r="BZ481" s="262"/>
      <c r="CA481" s="262"/>
      <c r="CB481" s="262"/>
      <c r="CC481" s="262"/>
      <c r="CD481" s="262"/>
      <c r="CE481" s="262"/>
      <c r="CF481" s="262"/>
      <c r="CG481" s="717"/>
      <c r="CH481" s="262"/>
      <c r="CI481" s="262"/>
      <c r="CJ481" s="83" t="str">
        <f t="shared" si="120"/>
        <v>No aplica</v>
      </c>
      <c r="CK481" s="83" t="str">
        <f t="shared" si="119"/>
        <v>No aplica</v>
      </c>
      <c r="CL481" s="83" t="str">
        <f t="shared" si="114"/>
        <v>No requiere reporte</v>
      </c>
      <c r="CM481" s="89" t="str">
        <f t="shared" si="115"/>
        <v>No requiere reporte</v>
      </c>
      <c r="CN481" s="89" t="str">
        <f t="shared" si="116"/>
        <v>No requiere reporte</v>
      </c>
      <c r="CO481" s="735" t="s">
        <v>2357</v>
      </c>
      <c r="CP481" s="677" t="s">
        <v>3843</v>
      </c>
      <c r="CQ481" s="145" t="s">
        <v>3844</v>
      </c>
      <c r="CR481" s="693" t="s">
        <v>3845</v>
      </c>
      <c r="CS481" s="693" t="s">
        <v>3846</v>
      </c>
      <c r="CT481" s="145" t="s">
        <v>200</v>
      </c>
      <c r="CU481" s="714" t="s">
        <v>162</v>
      </c>
      <c r="CV481" s="291">
        <v>0</v>
      </c>
      <c r="CW481" s="145" t="s">
        <v>163</v>
      </c>
      <c r="CX481" s="695">
        <v>46023</v>
      </c>
      <c r="CY481" s="695">
        <v>46387</v>
      </c>
      <c r="CZ481" s="736">
        <v>0</v>
      </c>
      <c r="DA481" s="146">
        <v>1</v>
      </c>
      <c r="DB481" s="146">
        <v>1</v>
      </c>
      <c r="DC481" s="146">
        <v>1</v>
      </c>
      <c r="DD481" s="146">
        <v>1</v>
      </c>
      <c r="DE481" s="665" t="s">
        <v>396</v>
      </c>
      <c r="DF481" s="665" t="s">
        <v>3827</v>
      </c>
      <c r="DG481" s="665" t="s">
        <v>3828</v>
      </c>
      <c r="DH481" s="696">
        <v>100000000</v>
      </c>
      <c r="DI481" s="717"/>
      <c r="DJ481" s="717"/>
      <c r="DK481" s="717"/>
      <c r="DL481" s="665" t="s">
        <v>279</v>
      </c>
      <c r="DM481" s="665"/>
      <c r="DN481" s="218"/>
      <c r="DO481" s="716"/>
      <c r="DP481" s="665"/>
      <c r="DQ481" s="716"/>
      <c r="DR481" s="716"/>
      <c r="DS481" s="666"/>
      <c r="DT481" s="716"/>
      <c r="DU481" s="665"/>
      <c r="DV481" s="716"/>
      <c r="DW481" s="716"/>
      <c r="DX481" s="666"/>
      <c r="DY481" s="716"/>
      <c r="DZ481" s="665"/>
      <c r="EA481" s="716"/>
      <c r="EB481" s="716"/>
      <c r="EC481" s="665"/>
      <c r="ED481" s="665"/>
      <c r="EE481" s="665"/>
      <c r="EF481" s="665"/>
      <c r="EG481" s="665"/>
      <c r="EH481" s="146"/>
      <c r="EI481" s="170"/>
      <c r="EJ481" s="170"/>
      <c r="EK481" s="262"/>
      <c r="EL481" s="91" t="str">
        <f t="shared" si="117"/>
        <v>No aplica, no hay meta</v>
      </c>
      <c r="EM481" s="83" t="str">
        <f t="shared" si="118"/>
        <v>No se reportó avance</v>
      </c>
      <c r="EN481" s="697"/>
    </row>
    <row r="482" spans="1:144" ht="50.1" customHeight="1">
      <c r="A482" s="203" t="s">
        <v>4671</v>
      </c>
      <c r="B482" s="505" t="s">
        <v>3272</v>
      </c>
      <c r="C482" s="75" t="s">
        <v>3273</v>
      </c>
      <c r="D482" s="75" t="s">
        <v>3274</v>
      </c>
      <c r="E482" s="75" t="s">
        <v>3275</v>
      </c>
      <c r="F482" s="98" t="s">
        <v>280</v>
      </c>
      <c r="G482" s="98" t="s">
        <v>280</v>
      </c>
      <c r="H482" s="98" t="s">
        <v>3777</v>
      </c>
      <c r="I482" s="74" t="s">
        <v>3847</v>
      </c>
      <c r="J482" s="203" t="s">
        <v>3277</v>
      </c>
      <c r="K482" s="203" t="s">
        <v>3278</v>
      </c>
      <c r="L482" s="260">
        <v>16</v>
      </c>
      <c r="M482" s="78" t="s">
        <v>3848</v>
      </c>
      <c r="N482" s="78" t="s">
        <v>3849</v>
      </c>
      <c r="O482" s="78" t="s">
        <v>3281</v>
      </c>
      <c r="P482" s="78" t="s">
        <v>1161</v>
      </c>
      <c r="Q482" s="255" t="s">
        <v>162</v>
      </c>
      <c r="R482" s="638">
        <v>0</v>
      </c>
      <c r="S482" s="78" t="s">
        <v>163</v>
      </c>
      <c r="T482" s="80">
        <v>44927</v>
      </c>
      <c r="U482" s="80">
        <v>46357</v>
      </c>
      <c r="V482" s="531"/>
      <c r="W482" s="531"/>
      <c r="X482" s="531"/>
      <c r="Y482" s="531"/>
      <c r="Z482" s="79">
        <v>1</v>
      </c>
      <c r="AA482" s="75">
        <v>1</v>
      </c>
      <c r="AB482" s="75">
        <v>1</v>
      </c>
      <c r="AC482" s="75">
        <v>1</v>
      </c>
      <c r="AD482" s="75">
        <v>1</v>
      </c>
      <c r="AE482" s="79">
        <v>1</v>
      </c>
      <c r="AF482" s="79">
        <v>1</v>
      </c>
      <c r="AG482" s="79">
        <v>1</v>
      </c>
      <c r="AH482" s="79">
        <v>1</v>
      </c>
      <c r="AI482" s="79">
        <v>1</v>
      </c>
      <c r="AJ482" s="79">
        <v>1</v>
      </c>
      <c r="AK482" s="142">
        <v>1</v>
      </c>
      <c r="AL482" s="142">
        <v>1</v>
      </c>
      <c r="AM482" s="142">
        <v>1</v>
      </c>
      <c r="AN482" s="142">
        <v>1</v>
      </c>
      <c r="AO482" s="142">
        <v>1</v>
      </c>
      <c r="AP482" s="79">
        <v>1</v>
      </c>
      <c r="AQ482" s="262"/>
      <c r="AR482" s="262"/>
      <c r="AS482" s="262"/>
      <c r="AT482" s="262"/>
      <c r="AU482" s="262"/>
      <c r="AV482" s="262"/>
      <c r="AW482" s="262"/>
      <c r="AX482" s="262"/>
      <c r="AY482" s="173">
        <v>0.67</v>
      </c>
      <c r="AZ482" s="692" t="s">
        <v>3850</v>
      </c>
      <c r="BA482" s="173">
        <f>3/3</f>
        <v>1</v>
      </c>
      <c r="BB482" s="170" t="s">
        <v>3851</v>
      </c>
      <c r="BC482" s="173">
        <f>3/3</f>
        <v>1</v>
      </c>
      <c r="BD482" s="170" t="s">
        <v>3852</v>
      </c>
      <c r="BE482" s="173">
        <f>3/3</f>
        <v>1</v>
      </c>
      <c r="BF482" s="170" t="s">
        <v>3853</v>
      </c>
      <c r="BG482" s="173">
        <v>0</v>
      </c>
      <c r="BH482" s="170" t="s">
        <v>3286</v>
      </c>
      <c r="BI482" s="173">
        <f>+(BA482+BC482+BE482+BG482)/4</f>
        <v>0.75</v>
      </c>
      <c r="BJ482" s="692"/>
      <c r="BK482" s="173">
        <v>0</v>
      </c>
      <c r="BL482" s="692" t="s">
        <v>3287</v>
      </c>
      <c r="BM482" s="173">
        <v>0.47</v>
      </c>
      <c r="BN482" s="692" t="s">
        <v>3854</v>
      </c>
      <c r="BO482" s="173">
        <v>0.24</v>
      </c>
      <c r="BP482" s="692" t="s">
        <v>3855</v>
      </c>
      <c r="BQ482" s="262"/>
      <c r="BR482" s="262"/>
      <c r="BS482" s="83"/>
      <c r="BT482" s="262"/>
      <c r="BU482" s="262"/>
      <c r="BV482" s="262"/>
      <c r="BW482" s="262"/>
      <c r="BX482" s="262"/>
      <c r="BY482" s="262"/>
      <c r="BZ482" s="262"/>
      <c r="CA482" s="262"/>
      <c r="CB482" s="262"/>
      <c r="CC482" s="262"/>
      <c r="CD482" s="262"/>
      <c r="CE482" s="146"/>
      <c r="CF482" s="262"/>
      <c r="CG482" s="713">
        <f>SUBTOTAL(9,DH482:DH484)</f>
        <v>0</v>
      </c>
      <c r="CH482" s="515"/>
      <c r="CI482" s="515"/>
      <c r="CJ482" s="83" t="str">
        <f t="shared" si="120"/>
        <v>No aplica</v>
      </c>
      <c r="CK482" s="83" t="str">
        <f t="shared" si="119"/>
        <v>No aplica</v>
      </c>
      <c r="CL482" s="83" t="str">
        <f t="shared" si="114"/>
        <v>No se reportó avance</v>
      </c>
      <c r="CM482" s="89" t="str">
        <f t="shared" si="115"/>
        <v>No se reportó avance</v>
      </c>
      <c r="CN482" s="89" t="str">
        <f t="shared" si="116"/>
        <v>No se reportó avance</v>
      </c>
      <c r="CO482" s="735" t="s">
        <v>2884</v>
      </c>
      <c r="CP482" s="677" t="s">
        <v>3856</v>
      </c>
      <c r="CQ482" s="145" t="s">
        <v>3857</v>
      </c>
      <c r="CR482" s="693" t="s">
        <v>3858</v>
      </c>
      <c r="CS482" s="693" t="s">
        <v>3859</v>
      </c>
      <c r="CT482" s="145" t="s">
        <v>161</v>
      </c>
      <c r="CU482" s="145" t="s">
        <v>233</v>
      </c>
      <c r="CV482" s="291">
        <v>0</v>
      </c>
      <c r="CW482" s="145" t="s">
        <v>163</v>
      </c>
      <c r="CX482" s="695">
        <v>46023</v>
      </c>
      <c r="CY482" s="695">
        <v>46387</v>
      </c>
      <c r="CZ482" s="736">
        <v>0.2</v>
      </c>
      <c r="DA482" s="736">
        <v>0.2</v>
      </c>
      <c r="DB482" s="736">
        <v>0.3</v>
      </c>
      <c r="DC482" s="736">
        <v>0.3</v>
      </c>
      <c r="DD482" s="146">
        <v>1</v>
      </c>
      <c r="DE482" s="665" t="s">
        <v>2951</v>
      </c>
      <c r="DF482" s="665" t="s">
        <v>3294</v>
      </c>
      <c r="DG482" s="665" t="s">
        <v>3295</v>
      </c>
      <c r="DH482" s="696">
        <v>0</v>
      </c>
      <c r="DI482" s="717"/>
      <c r="DJ482" s="717"/>
      <c r="DK482" s="717"/>
      <c r="DL482" s="665" t="s">
        <v>279</v>
      </c>
      <c r="DM482" s="665" t="s">
        <v>3296</v>
      </c>
      <c r="DN482" s="665"/>
      <c r="DO482" s="716"/>
      <c r="DP482" s="665"/>
      <c r="DQ482" s="716"/>
      <c r="DR482" s="716"/>
      <c r="DS482" s="727"/>
      <c r="DT482" s="718"/>
      <c r="DU482" s="665"/>
      <c r="DV482" s="718"/>
      <c r="DW482" s="718"/>
      <c r="DX482" s="727"/>
      <c r="DY482" s="718"/>
      <c r="DZ482" s="665"/>
      <c r="EA482" s="718"/>
      <c r="EB482" s="718"/>
      <c r="EC482" s="665"/>
      <c r="ED482" s="665"/>
      <c r="EE482" s="665"/>
      <c r="EF482" s="665"/>
      <c r="EG482" s="665"/>
      <c r="EH482" s="666"/>
      <c r="EI482" s="170"/>
      <c r="EJ482" s="170"/>
      <c r="EK482" s="262"/>
      <c r="EL482" s="91" t="str">
        <f t="shared" si="117"/>
        <v>No se reportó avance</v>
      </c>
      <c r="EM482" s="83" t="str">
        <f t="shared" si="118"/>
        <v>No se reportó avance</v>
      </c>
      <c r="EN482" s="697"/>
    </row>
    <row r="483" spans="1:144" ht="50.1" customHeight="1">
      <c r="A483" s="170" t="s">
        <v>4671</v>
      </c>
      <c r="B483" s="517" t="s">
        <v>3272</v>
      </c>
      <c r="C483" s="85" t="s">
        <v>3273</v>
      </c>
      <c r="D483" s="85" t="s">
        <v>3274</v>
      </c>
      <c r="E483" s="85" t="s">
        <v>3275</v>
      </c>
      <c r="F483" s="94" t="s">
        <v>280</v>
      </c>
      <c r="G483" s="94" t="s">
        <v>280</v>
      </c>
      <c r="H483" s="94" t="s">
        <v>3777</v>
      </c>
      <c r="I483" s="84" t="s">
        <v>3847</v>
      </c>
      <c r="J483" s="170" t="s">
        <v>3277</v>
      </c>
      <c r="K483" s="170" t="s">
        <v>3278</v>
      </c>
      <c r="L483" s="262">
        <v>16</v>
      </c>
      <c r="M483" s="84" t="s">
        <v>3848</v>
      </c>
      <c r="N483" s="84" t="s">
        <v>3849</v>
      </c>
      <c r="O483" s="84" t="s">
        <v>3281</v>
      </c>
      <c r="P483" s="84" t="s">
        <v>1161</v>
      </c>
      <c r="Q483" s="170" t="s">
        <v>162</v>
      </c>
      <c r="R483" s="84">
        <v>0</v>
      </c>
      <c r="S483" s="84" t="s">
        <v>163</v>
      </c>
      <c r="T483" s="90">
        <v>44927</v>
      </c>
      <c r="U483" s="90">
        <v>46357</v>
      </c>
      <c r="V483" s="262"/>
      <c r="W483" s="262"/>
      <c r="X483" s="262"/>
      <c r="Y483" s="262"/>
      <c r="Z483" s="85"/>
      <c r="AA483" s="85"/>
      <c r="AB483" s="85"/>
      <c r="AC483" s="85"/>
      <c r="AD483" s="85"/>
      <c r="AE483" s="85"/>
      <c r="AF483" s="85"/>
      <c r="AG483" s="85"/>
      <c r="AH483" s="85"/>
      <c r="AI483" s="85"/>
      <c r="AJ483" s="85"/>
      <c r="AK483" s="157"/>
      <c r="AL483" s="157"/>
      <c r="AM483" s="157"/>
      <c r="AN483" s="157"/>
      <c r="AO483" s="157"/>
      <c r="AP483" s="262"/>
      <c r="AQ483" s="262"/>
      <c r="AR483" s="262"/>
      <c r="AS483" s="262"/>
      <c r="AT483" s="262"/>
      <c r="AU483" s="262"/>
      <c r="AV483" s="262"/>
      <c r="AW483" s="262"/>
      <c r="AX483" s="262"/>
      <c r="AY483" s="262"/>
      <c r="AZ483" s="697"/>
      <c r="BA483" s="262"/>
      <c r="BB483" s="262"/>
      <c r="BC483" s="262"/>
      <c r="BD483" s="262"/>
      <c r="BE483" s="262"/>
      <c r="BF483" s="262"/>
      <c r="BG483" s="262"/>
      <c r="BH483" s="262"/>
      <c r="BI483" s="262"/>
      <c r="BJ483" s="697"/>
      <c r="BK483" s="262"/>
      <c r="BL483" s="697"/>
      <c r="BM483" s="262"/>
      <c r="BN483" s="697"/>
      <c r="BO483" s="262"/>
      <c r="BP483" s="697"/>
      <c r="BQ483" s="262"/>
      <c r="BR483" s="262"/>
      <c r="BS483" s="262"/>
      <c r="BT483" s="262"/>
      <c r="BU483" s="262"/>
      <c r="BV483" s="262"/>
      <c r="BW483" s="262"/>
      <c r="BX483" s="262"/>
      <c r="BY483" s="262"/>
      <c r="BZ483" s="262"/>
      <c r="CA483" s="262"/>
      <c r="CB483" s="262"/>
      <c r="CC483" s="262"/>
      <c r="CD483" s="262"/>
      <c r="CE483" s="262"/>
      <c r="CF483" s="262"/>
      <c r="CG483" s="717"/>
      <c r="CH483" s="262"/>
      <c r="CI483" s="262"/>
      <c r="CJ483" s="83" t="str">
        <f t="shared" si="120"/>
        <v>No aplica</v>
      </c>
      <c r="CK483" s="83" t="str">
        <f t="shared" si="119"/>
        <v>No aplica</v>
      </c>
      <c r="CL483" s="83" t="str">
        <f t="shared" si="114"/>
        <v>No requiere reporte</v>
      </c>
      <c r="CM483" s="89" t="str">
        <f t="shared" si="115"/>
        <v>No requiere reporte</v>
      </c>
      <c r="CN483" s="89" t="str">
        <f t="shared" si="116"/>
        <v>No requiere reporte</v>
      </c>
      <c r="CO483" s="735" t="s">
        <v>3860</v>
      </c>
      <c r="CP483" s="677" t="s">
        <v>3861</v>
      </c>
      <c r="CQ483" s="145" t="s">
        <v>3862</v>
      </c>
      <c r="CR483" s="693" t="s">
        <v>3863</v>
      </c>
      <c r="CS483" s="693" t="s">
        <v>3864</v>
      </c>
      <c r="CT483" s="145" t="s">
        <v>953</v>
      </c>
      <c r="CU483" s="714" t="s">
        <v>162</v>
      </c>
      <c r="CV483" s="291">
        <v>0</v>
      </c>
      <c r="CW483" s="145" t="s">
        <v>163</v>
      </c>
      <c r="CX483" s="695">
        <v>46023</v>
      </c>
      <c r="CY483" s="695">
        <v>46387</v>
      </c>
      <c r="CZ483" s="146">
        <v>1</v>
      </c>
      <c r="DA483" s="146">
        <v>1</v>
      </c>
      <c r="DB483" s="146">
        <v>1</v>
      </c>
      <c r="DC483" s="146">
        <v>1</v>
      </c>
      <c r="DD483" s="146">
        <v>1</v>
      </c>
      <c r="DE483" s="665" t="s">
        <v>2951</v>
      </c>
      <c r="DF483" s="665" t="s">
        <v>3294</v>
      </c>
      <c r="DG483" s="665" t="s">
        <v>3295</v>
      </c>
      <c r="DH483" s="696">
        <v>0</v>
      </c>
      <c r="DI483" s="717"/>
      <c r="DJ483" s="717"/>
      <c r="DK483" s="717"/>
      <c r="DL483" s="665" t="s">
        <v>279</v>
      </c>
      <c r="DM483" s="665" t="s">
        <v>3296</v>
      </c>
      <c r="DN483" s="218"/>
      <c r="DO483" s="716"/>
      <c r="DP483" s="665"/>
      <c r="DQ483" s="716"/>
      <c r="DR483" s="716"/>
      <c r="DS483" s="666"/>
      <c r="DT483" s="718"/>
      <c r="DU483" s="665"/>
      <c r="DV483" s="718"/>
      <c r="DW483" s="718"/>
      <c r="DX483" s="666"/>
      <c r="DY483" s="718"/>
      <c r="DZ483" s="665"/>
      <c r="EA483" s="718"/>
      <c r="EB483" s="718"/>
      <c r="EC483" s="665"/>
      <c r="ED483" s="665"/>
      <c r="EE483" s="665"/>
      <c r="EF483" s="665"/>
      <c r="EG483" s="665"/>
      <c r="EH483" s="146"/>
      <c r="EI483" s="170"/>
      <c r="EJ483" s="170"/>
      <c r="EK483" s="262"/>
      <c r="EL483" s="91" t="str">
        <f t="shared" si="117"/>
        <v>No se reportó avance</v>
      </c>
      <c r="EM483" s="83" t="str">
        <f t="shared" si="118"/>
        <v>No se reportó avance</v>
      </c>
      <c r="EN483" s="697"/>
    </row>
    <row r="484" spans="1:144" ht="50.1" customHeight="1">
      <c r="A484" s="170" t="s">
        <v>4671</v>
      </c>
      <c r="B484" s="517" t="s">
        <v>3272</v>
      </c>
      <c r="C484" s="85" t="s">
        <v>3273</v>
      </c>
      <c r="D484" s="85" t="s">
        <v>3274</v>
      </c>
      <c r="E484" s="85" t="s">
        <v>3275</v>
      </c>
      <c r="F484" s="94" t="s">
        <v>280</v>
      </c>
      <c r="G484" s="94" t="s">
        <v>280</v>
      </c>
      <c r="H484" s="94" t="s">
        <v>3777</v>
      </c>
      <c r="I484" s="84" t="s">
        <v>3847</v>
      </c>
      <c r="J484" s="170" t="s">
        <v>3277</v>
      </c>
      <c r="K484" s="170" t="s">
        <v>3278</v>
      </c>
      <c r="L484" s="262">
        <v>16</v>
      </c>
      <c r="M484" s="84" t="s">
        <v>3848</v>
      </c>
      <c r="N484" s="84" t="s">
        <v>3849</v>
      </c>
      <c r="O484" s="84" t="s">
        <v>3281</v>
      </c>
      <c r="P484" s="84" t="s">
        <v>1161</v>
      </c>
      <c r="Q484" s="170" t="s">
        <v>162</v>
      </c>
      <c r="R484" s="84">
        <v>0</v>
      </c>
      <c r="S484" s="84" t="s">
        <v>163</v>
      </c>
      <c r="T484" s="90">
        <v>44927</v>
      </c>
      <c r="U484" s="90">
        <v>46357</v>
      </c>
      <c r="V484" s="262"/>
      <c r="W484" s="262"/>
      <c r="X484" s="262"/>
      <c r="Y484" s="262"/>
      <c r="Z484" s="85"/>
      <c r="AA484" s="85"/>
      <c r="AB484" s="85"/>
      <c r="AC484" s="85"/>
      <c r="AD484" s="85"/>
      <c r="AE484" s="85"/>
      <c r="AF484" s="85"/>
      <c r="AG484" s="85"/>
      <c r="AH484" s="85"/>
      <c r="AI484" s="85"/>
      <c r="AJ484" s="85"/>
      <c r="AK484" s="157"/>
      <c r="AL484" s="157"/>
      <c r="AM484" s="157"/>
      <c r="AN484" s="157"/>
      <c r="AO484" s="157"/>
      <c r="AP484" s="262"/>
      <c r="AQ484" s="262"/>
      <c r="AR484" s="262"/>
      <c r="AS484" s="262"/>
      <c r="AT484" s="262"/>
      <c r="AU484" s="262"/>
      <c r="AV484" s="262"/>
      <c r="AW484" s="262"/>
      <c r="AX484" s="262"/>
      <c r="AY484" s="262"/>
      <c r="AZ484" s="697"/>
      <c r="BA484" s="262"/>
      <c r="BB484" s="262"/>
      <c r="BC484" s="262"/>
      <c r="BD484" s="262"/>
      <c r="BE484" s="262"/>
      <c r="BF484" s="262"/>
      <c r="BG484" s="262"/>
      <c r="BH484" s="262"/>
      <c r="BI484" s="262"/>
      <c r="BJ484" s="697"/>
      <c r="BK484" s="262"/>
      <c r="BL484" s="697"/>
      <c r="BM484" s="262"/>
      <c r="BN484" s="697"/>
      <c r="BO484" s="262"/>
      <c r="BP484" s="697"/>
      <c r="BQ484" s="262"/>
      <c r="BR484" s="262"/>
      <c r="BS484" s="262"/>
      <c r="BT484" s="262"/>
      <c r="BU484" s="262"/>
      <c r="BV484" s="262"/>
      <c r="BW484" s="262"/>
      <c r="BX484" s="262"/>
      <c r="BY484" s="262"/>
      <c r="BZ484" s="262"/>
      <c r="CA484" s="262"/>
      <c r="CB484" s="262"/>
      <c r="CC484" s="262"/>
      <c r="CD484" s="262"/>
      <c r="CE484" s="262"/>
      <c r="CF484" s="262"/>
      <c r="CG484" s="717"/>
      <c r="CH484" s="262"/>
      <c r="CI484" s="262"/>
      <c r="CJ484" s="83" t="str">
        <f t="shared" si="120"/>
        <v>No aplica</v>
      </c>
      <c r="CK484" s="83" t="str">
        <f t="shared" si="119"/>
        <v>No aplica</v>
      </c>
      <c r="CL484" s="83" t="str">
        <f t="shared" si="114"/>
        <v>No requiere reporte</v>
      </c>
      <c r="CM484" s="89" t="str">
        <f t="shared" si="115"/>
        <v>No requiere reporte</v>
      </c>
      <c r="CN484" s="89" t="str">
        <f t="shared" si="116"/>
        <v>No requiere reporte</v>
      </c>
      <c r="CO484" s="735" t="s">
        <v>3865</v>
      </c>
      <c r="CP484" s="677" t="s">
        <v>3866</v>
      </c>
      <c r="CQ484" s="145" t="s">
        <v>3867</v>
      </c>
      <c r="CR484" s="693" t="s">
        <v>3868</v>
      </c>
      <c r="CS484" s="693" t="s">
        <v>3869</v>
      </c>
      <c r="CT484" s="145" t="s">
        <v>161</v>
      </c>
      <c r="CU484" s="714" t="s">
        <v>162</v>
      </c>
      <c r="CV484" s="291">
        <v>0</v>
      </c>
      <c r="CW484" s="145" t="s">
        <v>163</v>
      </c>
      <c r="CX484" s="695">
        <v>46023</v>
      </c>
      <c r="CY484" s="695">
        <v>46387</v>
      </c>
      <c r="CZ484" s="146">
        <v>1</v>
      </c>
      <c r="DA484" s="146">
        <v>1</v>
      </c>
      <c r="DB484" s="146">
        <v>1</v>
      </c>
      <c r="DC484" s="146">
        <v>1</v>
      </c>
      <c r="DD484" s="146">
        <v>1</v>
      </c>
      <c r="DE484" s="665" t="s">
        <v>2951</v>
      </c>
      <c r="DF484" s="665" t="s">
        <v>3294</v>
      </c>
      <c r="DG484" s="665" t="s">
        <v>3295</v>
      </c>
      <c r="DH484" s="696">
        <v>0</v>
      </c>
      <c r="DI484" s="717"/>
      <c r="DJ484" s="717"/>
      <c r="DK484" s="717"/>
      <c r="DL484" s="665" t="s">
        <v>279</v>
      </c>
      <c r="DM484" s="665" t="s">
        <v>3296</v>
      </c>
      <c r="DN484" s="218"/>
      <c r="DO484" s="716"/>
      <c r="DP484" s="665"/>
      <c r="DQ484" s="716"/>
      <c r="DR484" s="716"/>
      <c r="DS484" s="666"/>
      <c r="DT484" s="718"/>
      <c r="DU484" s="665"/>
      <c r="DV484" s="718"/>
      <c r="DW484" s="718"/>
      <c r="DX484" s="666"/>
      <c r="DY484" s="718"/>
      <c r="DZ484" s="665"/>
      <c r="EA484" s="718"/>
      <c r="EB484" s="718"/>
      <c r="EC484" s="665"/>
      <c r="ED484" s="665"/>
      <c r="EE484" s="665"/>
      <c r="EF484" s="665"/>
      <c r="EG484" s="665"/>
      <c r="EH484" s="146"/>
      <c r="EI484" s="170"/>
      <c r="EJ484" s="170"/>
      <c r="EK484" s="262"/>
      <c r="EL484" s="91" t="str">
        <f t="shared" si="117"/>
        <v>No se reportó avance</v>
      </c>
      <c r="EM484" s="83" t="str">
        <f t="shared" si="118"/>
        <v>No se reportó avance</v>
      </c>
      <c r="EN484" s="697"/>
    </row>
    <row r="485" spans="1:144" ht="50.1" customHeight="1">
      <c r="A485" s="203" t="s">
        <v>4671</v>
      </c>
      <c r="B485" s="505" t="s">
        <v>3272</v>
      </c>
      <c r="C485" s="75" t="s">
        <v>3273</v>
      </c>
      <c r="D485" s="75" t="s">
        <v>3274</v>
      </c>
      <c r="E485" s="75" t="s">
        <v>3275</v>
      </c>
      <c r="F485" s="98" t="s">
        <v>280</v>
      </c>
      <c r="G485" s="98" t="s">
        <v>280</v>
      </c>
      <c r="H485" s="98" t="s">
        <v>3777</v>
      </c>
      <c r="I485" s="74" t="s">
        <v>3814</v>
      </c>
      <c r="J485" s="203" t="s">
        <v>3277</v>
      </c>
      <c r="K485" s="203" t="s">
        <v>3278</v>
      </c>
      <c r="L485" s="260">
        <v>17</v>
      </c>
      <c r="M485" s="78" t="s">
        <v>3870</v>
      </c>
      <c r="N485" s="78" t="s">
        <v>3871</v>
      </c>
      <c r="O485" s="78" t="s">
        <v>3281</v>
      </c>
      <c r="P485" s="78" t="s">
        <v>1161</v>
      </c>
      <c r="Q485" s="255" t="s">
        <v>162</v>
      </c>
      <c r="R485" s="638">
        <v>0</v>
      </c>
      <c r="S485" s="78" t="s">
        <v>163</v>
      </c>
      <c r="T485" s="80">
        <v>44927</v>
      </c>
      <c r="U485" s="80">
        <v>46357</v>
      </c>
      <c r="V485" s="531"/>
      <c r="W485" s="531"/>
      <c r="X485" s="531"/>
      <c r="Y485" s="531"/>
      <c r="Z485" s="79">
        <v>1</v>
      </c>
      <c r="AA485" s="75">
        <v>1</v>
      </c>
      <c r="AB485" s="75">
        <v>1</v>
      </c>
      <c r="AC485" s="75">
        <v>1</v>
      </c>
      <c r="AD485" s="75">
        <v>1</v>
      </c>
      <c r="AE485" s="79">
        <v>1</v>
      </c>
      <c r="AF485" s="79">
        <v>1</v>
      </c>
      <c r="AG485" s="79">
        <v>1</v>
      </c>
      <c r="AH485" s="79">
        <v>1</v>
      </c>
      <c r="AI485" s="79">
        <v>1</v>
      </c>
      <c r="AJ485" s="79">
        <v>1</v>
      </c>
      <c r="AK485" s="142">
        <v>1</v>
      </c>
      <c r="AL485" s="142">
        <v>1</v>
      </c>
      <c r="AM485" s="142">
        <v>1</v>
      </c>
      <c r="AN485" s="142">
        <v>1</v>
      </c>
      <c r="AO485" s="142">
        <v>1</v>
      </c>
      <c r="AP485" s="79">
        <v>1</v>
      </c>
      <c r="AQ485" s="262"/>
      <c r="AR485" s="262"/>
      <c r="AS485" s="262"/>
      <c r="AT485" s="262"/>
      <c r="AU485" s="262"/>
      <c r="AV485" s="262"/>
      <c r="AW485" s="262"/>
      <c r="AX485" s="262"/>
      <c r="AY485" s="173">
        <v>1</v>
      </c>
      <c r="AZ485" s="692" t="s">
        <v>3872</v>
      </c>
      <c r="BA485" s="173">
        <f>7/7</f>
        <v>1</v>
      </c>
      <c r="BB485" s="170" t="s">
        <v>3873</v>
      </c>
      <c r="BC485" s="173">
        <f>1/1</f>
        <v>1</v>
      </c>
      <c r="BD485" s="170" t="s">
        <v>3874</v>
      </c>
      <c r="BE485" s="173">
        <f>1/1</f>
        <v>1</v>
      </c>
      <c r="BF485" s="170" t="s">
        <v>3875</v>
      </c>
      <c r="BG485" s="173">
        <v>0</v>
      </c>
      <c r="BH485" s="170" t="s">
        <v>3286</v>
      </c>
      <c r="BI485" s="173">
        <f>+(BA485+BC485+BE485+BG485)/4</f>
        <v>0.75</v>
      </c>
      <c r="BJ485" s="692"/>
      <c r="BK485" s="173">
        <v>0</v>
      </c>
      <c r="BL485" s="692" t="s">
        <v>3287</v>
      </c>
      <c r="BM485" s="173">
        <v>0.02</v>
      </c>
      <c r="BN485" s="692" t="s">
        <v>3876</v>
      </c>
      <c r="BO485" s="173">
        <v>0.27</v>
      </c>
      <c r="BP485" s="692" t="s">
        <v>3877</v>
      </c>
      <c r="BQ485" s="262"/>
      <c r="BR485" s="262"/>
      <c r="BS485" s="83"/>
      <c r="BT485" s="262"/>
      <c r="BU485" s="262"/>
      <c r="BV485" s="262"/>
      <c r="BW485" s="262"/>
      <c r="BX485" s="262"/>
      <c r="BY485" s="262"/>
      <c r="BZ485" s="262"/>
      <c r="CA485" s="262"/>
      <c r="CB485" s="262"/>
      <c r="CC485" s="262"/>
      <c r="CD485" s="262"/>
      <c r="CE485" s="146"/>
      <c r="CF485" s="262"/>
      <c r="CG485" s="713">
        <f>+DH485</f>
        <v>0</v>
      </c>
      <c r="CH485" s="515"/>
      <c r="CI485" s="515"/>
      <c r="CJ485" s="83" t="str">
        <f t="shared" si="120"/>
        <v>No aplica</v>
      </c>
      <c r="CK485" s="83" t="str">
        <f t="shared" si="119"/>
        <v>No aplica</v>
      </c>
      <c r="CL485" s="83" t="str">
        <f t="shared" si="114"/>
        <v>No se reportó avance</v>
      </c>
      <c r="CM485" s="89" t="str">
        <f t="shared" si="115"/>
        <v>No se reportó avance</v>
      </c>
      <c r="CN485" s="89" t="str">
        <f t="shared" si="116"/>
        <v>No se reportó avance</v>
      </c>
      <c r="CO485" s="735" t="s">
        <v>3878</v>
      </c>
      <c r="CP485" s="677" t="s">
        <v>3879</v>
      </c>
      <c r="CQ485" s="145" t="s">
        <v>3880</v>
      </c>
      <c r="CR485" s="693" t="s">
        <v>3881</v>
      </c>
      <c r="CS485" s="693" t="s">
        <v>3882</v>
      </c>
      <c r="CT485" s="145" t="s">
        <v>161</v>
      </c>
      <c r="CU485" s="714" t="s">
        <v>233</v>
      </c>
      <c r="CV485" s="145">
        <v>0</v>
      </c>
      <c r="CW485" s="145" t="s">
        <v>234</v>
      </c>
      <c r="CX485" s="695">
        <v>46023</v>
      </c>
      <c r="CY485" s="695">
        <v>46387</v>
      </c>
      <c r="CZ485" s="667">
        <v>1</v>
      </c>
      <c r="DA485" s="667">
        <v>1</v>
      </c>
      <c r="DB485" s="667">
        <v>1</v>
      </c>
      <c r="DC485" s="667">
        <v>1</v>
      </c>
      <c r="DD485" s="667">
        <v>4</v>
      </c>
      <c r="DE485" s="665" t="s">
        <v>2951</v>
      </c>
      <c r="DF485" s="665" t="s">
        <v>3294</v>
      </c>
      <c r="DG485" s="665" t="s">
        <v>3295</v>
      </c>
      <c r="DH485" s="696">
        <v>0</v>
      </c>
      <c r="DI485" s="717"/>
      <c r="DJ485" s="717"/>
      <c r="DK485" s="717"/>
      <c r="DL485" s="665" t="s">
        <v>279</v>
      </c>
      <c r="DM485" s="665" t="s">
        <v>3296</v>
      </c>
      <c r="DN485" s="218"/>
      <c r="DO485" s="716"/>
      <c r="DP485" s="665"/>
      <c r="DQ485" s="716"/>
      <c r="DR485" s="716"/>
      <c r="DS485" s="666"/>
      <c r="DT485" s="718"/>
      <c r="DU485" s="665"/>
      <c r="DV485" s="718"/>
      <c r="DW485" s="718"/>
      <c r="DX485" s="666"/>
      <c r="DY485" s="718"/>
      <c r="DZ485" s="665"/>
      <c r="EA485" s="718"/>
      <c r="EB485" s="718"/>
      <c r="EC485" s="665"/>
      <c r="ED485" s="665"/>
      <c r="EE485" s="665"/>
      <c r="EF485" s="665"/>
      <c r="EG485" s="665"/>
      <c r="EH485" s="146"/>
      <c r="EI485" s="170"/>
      <c r="EJ485" s="170"/>
      <c r="EK485" s="262"/>
      <c r="EL485" s="91" t="str">
        <f t="shared" si="117"/>
        <v>No se reportó avance</v>
      </c>
      <c r="EM485" s="83" t="str">
        <f t="shared" si="118"/>
        <v>No se reportó avance</v>
      </c>
      <c r="EN485" s="697"/>
    </row>
    <row r="486" spans="1:144" ht="50.1" customHeight="1">
      <c r="A486" s="203" t="s">
        <v>4671</v>
      </c>
      <c r="B486" s="505" t="s">
        <v>3272</v>
      </c>
      <c r="C486" s="75" t="s">
        <v>3273</v>
      </c>
      <c r="D486" s="75" t="s">
        <v>3274</v>
      </c>
      <c r="E486" s="75" t="s">
        <v>3275</v>
      </c>
      <c r="F486" s="98" t="s">
        <v>280</v>
      </c>
      <c r="G486" s="98" t="s">
        <v>280</v>
      </c>
      <c r="H486" s="98" t="s">
        <v>3883</v>
      </c>
      <c r="I486" s="74" t="s">
        <v>3884</v>
      </c>
      <c r="J486" s="203" t="s">
        <v>3277</v>
      </c>
      <c r="K486" s="203" t="s">
        <v>3278</v>
      </c>
      <c r="L486" s="260">
        <v>18</v>
      </c>
      <c r="M486" s="78" t="s">
        <v>3885</v>
      </c>
      <c r="N486" s="78" t="s">
        <v>3886</v>
      </c>
      <c r="O486" s="78" t="s">
        <v>3281</v>
      </c>
      <c r="P486" s="78" t="s">
        <v>1161</v>
      </c>
      <c r="Q486" s="255" t="s">
        <v>162</v>
      </c>
      <c r="R486" s="638">
        <v>0</v>
      </c>
      <c r="S486" s="78" t="s">
        <v>163</v>
      </c>
      <c r="T486" s="80">
        <v>44927</v>
      </c>
      <c r="U486" s="80">
        <v>46357</v>
      </c>
      <c r="V486" s="531"/>
      <c r="W486" s="531"/>
      <c r="X486" s="531"/>
      <c r="Y486" s="531"/>
      <c r="Z486" s="79">
        <v>1</v>
      </c>
      <c r="AA486" s="75">
        <v>1</v>
      </c>
      <c r="AB486" s="75">
        <v>1</v>
      </c>
      <c r="AC486" s="75">
        <v>1</v>
      </c>
      <c r="AD486" s="75">
        <v>1</v>
      </c>
      <c r="AE486" s="79">
        <v>1</v>
      </c>
      <c r="AF486" s="79">
        <v>1</v>
      </c>
      <c r="AG486" s="79">
        <v>1</v>
      </c>
      <c r="AH486" s="79">
        <v>1</v>
      </c>
      <c r="AI486" s="79">
        <v>1</v>
      </c>
      <c r="AJ486" s="79">
        <v>1</v>
      </c>
      <c r="AK486" s="142">
        <v>1</v>
      </c>
      <c r="AL486" s="142">
        <v>1</v>
      </c>
      <c r="AM486" s="142">
        <v>1</v>
      </c>
      <c r="AN486" s="142">
        <v>1</v>
      </c>
      <c r="AO486" s="142">
        <v>1</v>
      </c>
      <c r="AP486" s="79">
        <v>1</v>
      </c>
      <c r="AQ486" s="262"/>
      <c r="AR486" s="262"/>
      <c r="AS486" s="262"/>
      <c r="AT486" s="262"/>
      <c r="AU486" s="262"/>
      <c r="AV486" s="262"/>
      <c r="AW486" s="262"/>
      <c r="AX486" s="262"/>
      <c r="AY486" s="173">
        <v>0.97</v>
      </c>
      <c r="AZ486" s="692" t="s">
        <v>3887</v>
      </c>
      <c r="BA486" s="173">
        <f>7/7</f>
        <v>1</v>
      </c>
      <c r="BB486" s="170" t="s">
        <v>3888</v>
      </c>
      <c r="BC486" s="173">
        <f>4/4</f>
        <v>1</v>
      </c>
      <c r="BD486" s="170" t="s">
        <v>3889</v>
      </c>
      <c r="BE486" s="173">
        <f>4/4</f>
        <v>1</v>
      </c>
      <c r="BF486" s="170" t="s">
        <v>3890</v>
      </c>
      <c r="BG486" s="173">
        <v>0</v>
      </c>
      <c r="BH486" s="170" t="s">
        <v>3286</v>
      </c>
      <c r="BI486" s="173">
        <f>+(BA486+BC486+BE486+BG486)/4</f>
        <v>0.75</v>
      </c>
      <c r="BJ486" s="692"/>
      <c r="BK486" s="173">
        <v>0</v>
      </c>
      <c r="BL486" s="692" t="s">
        <v>3287</v>
      </c>
      <c r="BM486" s="324">
        <v>0.73399999999999999</v>
      </c>
      <c r="BN486" s="692" t="s">
        <v>3891</v>
      </c>
      <c r="BO486" s="324">
        <v>0.87</v>
      </c>
      <c r="BP486" s="692" t="s">
        <v>3892</v>
      </c>
      <c r="BQ486" s="262"/>
      <c r="BR486" s="262"/>
      <c r="BS486" s="83"/>
      <c r="BT486" s="262"/>
      <c r="BU486" s="262"/>
      <c r="BV486" s="262"/>
      <c r="BW486" s="262"/>
      <c r="BX486" s="262"/>
      <c r="BY486" s="262"/>
      <c r="BZ486" s="262"/>
      <c r="CA486" s="262"/>
      <c r="CB486" s="262"/>
      <c r="CC486" s="262"/>
      <c r="CD486" s="262"/>
      <c r="CE486" s="146"/>
      <c r="CF486" s="262"/>
      <c r="CG486" s="713">
        <f>SUBTOTAL(9,DH486:DH489)</f>
        <v>1000000000</v>
      </c>
      <c r="CH486" s="515"/>
      <c r="CI486" s="515"/>
      <c r="CJ486" s="83">
        <f t="shared" si="120"/>
        <v>0</v>
      </c>
      <c r="CK486" s="83">
        <f t="shared" si="119"/>
        <v>0</v>
      </c>
      <c r="CL486" s="83" t="str">
        <f t="shared" si="114"/>
        <v>No se reportó avance</v>
      </c>
      <c r="CM486" s="89" t="str">
        <f t="shared" si="115"/>
        <v>No se reportó avance</v>
      </c>
      <c r="CN486" s="89" t="str">
        <f t="shared" si="116"/>
        <v>No se reportó avance</v>
      </c>
      <c r="CO486" s="735" t="s">
        <v>3893</v>
      </c>
      <c r="CP486" s="677" t="s">
        <v>3894</v>
      </c>
      <c r="CQ486" s="145" t="s">
        <v>3895</v>
      </c>
      <c r="CR486" s="693" t="s">
        <v>3896</v>
      </c>
      <c r="CS486" s="693" t="s">
        <v>3897</v>
      </c>
      <c r="CT486" s="145" t="s">
        <v>953</v>
      </c>
      <c r="CU486" s="714" t="s">
        <v>162</v>
      </c>
      <c r="CV486" s="291">
        <v>0</v>
      </c>
      <c r="CW486" s="145" t="s">
        <v>163</v>
      </c>
      <c r="CX486" s="695">
        <v>46023</v>
      </c>
      <c r="CY486" s="695">
        <v>46387</v>
      </c>
      <c r="CZ486" s="146">
        <v>1</v>
      </c>
      <c r="DA486" s="146">
        <v>1</v>
      </c>
      <c r="DB486" s="146">
        <v>1</v>
      </c>
      <c r="DC486" s="146">
        <v>1</v>
      </c>
      <c r="DD486" s="146">
        <v>1</v>
      </c>
      <c r="DE486" s="665" t="s">
        <v>2951</v>
      </c>
      <c r="DF486" s="665" t="s">
        <v>3294</v>
      </c>
      <c r="DG486" s="665" t="s">
        <v>3295</v>
      </c>
      <c r="DH486" s="696">
        <v>1000000000</v>
      </c>
      <c r="DI486" s="717"/>
      <c r="DJ486" s="717"/>
      <c r="DK486" s="717"/>
      <c r="DL486" s="665" t="s">
        <v>279</v>
      </c>
      <c r="DM486" s="665" t="s">
        <v>3296</v>
      </c>
      <c r="DN486" s="218"/>
      <c r="DO486" s="716"/>
      <c r="DP486" s="665"/>
      <c r="DQ486" s="716"/>
      <c r="DR486" s="716"/>
      <c r="DS486" s="666"/>
      <c r="DT486" s="718"/>
      <c r="DU486" s="665"/>
      <c r="DV486" s="718"/>
      <c r="DW486" s="718"/>
      <c r="DX486" s="740"/>
      <c r="DY486" s="718"/>
      <c r="DZ486" s="665"/>
      <c r="EA486" s="718"/>
      <c r="EB486" s="718"/>
      <c r="EC486" s="665"/>
      <c r="ED486" s="665"/>
      <c r="EE486" s="665"/>
      <c r="EF486" s="665"/>
      <c r="EG486" s="665"/>
      <c r="EH486" s="146"/>
      <c r="EI486" s="170"/>
      <c r="EJ486" s="170"/>
      <c r="EK486" s="262"/>
      <c r="EL486" s="91" t="str">
        <f t="shared" si="117"/>
        <v>No se reportó avance</v>
      </c>
      <c r="EM486" s="83" t="str">
        <f t="shared" si="118"/>
        <v>No se reportó avance</v>
      </c>
      <c r="EN486" s="697"/>
    </row>
    <row r="487" spans="1:144" ht="50.1" customHeight="1">
      <c r="A487" s="170" t="s">
        <v>4671</v>
      </c>
      <c r="B487" s="517" t="s">
        <v>3272</v>
      </c>
      <c r="C487" s="85" t="s">
        <v>3273</v>
      </c>
      <c r="D487" s="85" t="s">
        <v>3274</v>
      </c>
      <c r="E487" s="85" t="s">
        <v>3275</v>
      </c>
      <c r="F487" s="94" t="s">
        <v>280</v>
      </c>
      <c r="G487" s="94" t="s">
        <v>280</v>
      </c>
      <c r="H487" s="94" t="s">
        <v>3883</v>
      </c>
      <c r="I487" s="84" t="s">
        <v>3884</v>
      </c>
      <c r="J487" s="170" t="s">
        <v>3277</v>
      </c>
      <c r="K487" s="170" t="s">
        <v>3278</v>
      </c>
      <c r="L487" s="262">
        <v>18</v>
      </c>
      <c r="M487" s="84" t="s">
        <v>3885</v>
      </c>
      <c r="N487" s="84" t="s">
        <v>3886</v>
      </c>
      <c r="O487" s="84" t="s">
        <v>3281</v>
      </c>
      <c r="P487" s="84" t="s">
        <v>1161</v>
      </c>
      <c r="Q487" s="170" t="s">
        <v>162</v>
      </c>
      <c r="R487" s="84">
        <v>0</v>
      </c>
      <c r="S487" s="84" t="s">
        <v>163</v>
      </c>
      <c r="T487" s="90">
        <v>44927</v>
      </c>
      <c r="U487" s="90">
        <v>46357</v>
      </c>
      <c r="V487" s="262"/>
      <c r="W487" s="262"/>
      <c r="X487" s="262"/>
      <c r="Y487" s="262"/>
      <c r="Z487" s="85"/>
      <c r="AA487" s="85"/>
      <c r="AB487" s="85"/>
      <c r="AC487" s="85"/>
      <c r="AD487" s="85"/>
      <c r="AE487" s="85"/>
      <c r="AF487" s="85"/>
      <c r="AG487" s="85"/>
      <c r="AH487" s="85"/>
      <c r="AI487" s="85"/>
      <c r="AJ487" s="85"/>
      <c r="AK487" s="157"/>
      <c r="AL487" s="157"/>
      <c r="AM487" s="157"/>
      <c r="AN487" s="157"/>
      <c r="AO487" s="157"/>
      <c r="AP487" s="262"/>
      <c r="AQ487" s="262"/>
      <c r="AR487" s="262"/>
      <c r="AS487" s="262"/>
      <c r="AT487" s="262"/>
      <c r="AU487" s="262"/>
      <c r="AV487" s="262"/>
      <c r="AW487" s="262"/>
      <c r="AX487" s="262"/>
      <c r="AY487" s="262"/>
      <c r="AZ487" s="697"/>
      <c r="BA487" s="262"/>
      <c r="BB487" s="262"/>
      <c r="BC487" s="262"/>
      <c r="BD487" s="262"/>
      <c r="BE487" s="262"/>
      <c r="BF487" s="262"/>
      <c r="BG487" s="262"/>
      <c r="BH487" s="262"/>
      <c r="BI487" s="262"/>
      <c r="BJ487" s="697"/>
      <c r="BK487" s="262"/>
      <c r="BL487" s="697"/>
      <c r="BM487" s="262"/>
      <c r="BN487" s="697"/>
      <c r="BO487" s="262"/>
      <c r="BP487" s="697"/>
      <c r="BQ487" s="262"/>
      <c r="BR487" s="262"/>
      <c r="BS487" s="262"/>
      <c r="BT487" s="262"/>
      <c r="BU487" s="262"/>
      <c r="BV487" s="262"/>
      <c r="BW487" s="262"/>
      <c r="BX487" s="262"/>
      <c r="BY487" s="262"/>
      <c r="BZ487" s="262"/>
      <c r="CA487" s="262"/>
      <c r="CB487" s="262"/>
      <c r="CC487" s="262"/>
      <c r="CD487" s="262"/>
      <c r="CE487" s="262"/>
      <c r="CF487" s="262"/>
      <c r="CG487" s="717"/>
      <c r="CH487" s="262"/>
      <c r="CI487" s="262"/>
      <c r="CJ487" s="83" t="str">
        <f t="shared" si="120"/>
        <v>No aplica</v>
      </c>
      <c r="CK487" s="83" t="str">
        <f t="shared" si="119"/>
        <v>No aplica</v>
      </c>
      <c r="CL487" s="83" t="str">
        <f t="shared" si="114"/>
        <v>No requiere reporte</v>
      </c>
      <c r="CM487" s="89" t="str">
        <f t="shared" si="115"/>
        <v>No requiere reporte</v>
      </c>
      <c r="CN487" s="89" t="str">
        <f t="shared" si="116"/>
        <v>No requiere reporte</v>
      </c>
      <c r="CO487" s="735" t="s">
        <v>3898</v>
      </c>
      <c r="CP487" s="677" t="s">
        <v>3899</v>
      </c>
      <c r="CQ487" s="145" t="s">
        <v>3900</v>
      </c>
      <c r="CR487" s="693" t="s">
        <v>3901</v>
      </c>
      <c r="CS487" s="693" t="s">
        <v>3902</v>
      </c>
      <c r="CT487" s="145" t="s">
        <v>161</v>
      </c>
      <c r="CU487" s="145" t="s">
        <v>233</v>
      </c>
      <c r="CV487" s="145">
        <v>0</v>
      </c>
      <c r="CW487" s="145" t="s">
        <v>234</v>
      </c>
      <c r="CX487" s="695">
        <v>46023</v>
      </c>
      <c r="CY487" s="695">
        <v>46387</v>
      </c>
      <c r="CZ487" s="741">
        <v>1</v>
      </c>
      <c r="DA487" s="741">
        <v>1</v>
      </c>
      <c r="DB487" s="154">
        <v>1</v>
      </c>
      <c r="DC487" s="154">
        <v>1</v>
      </c>
      <c r="DD487" s="154">
        <v>4</v>
      </c>
      <c r="DE487" s="665" t="s">
        <v>2951</v>
      </c>
      <c r="DF487" s="665" t="s">
        <v>3294</v>
      </c>
      <c r="DG487" s="665" t="s">
        <v>3295</v>
      </c>
      <c r="DH487" s="696">
        <v>0</v>
      </c>
      <c r="DI487" s="717"/>
      <c r="DJ487" s="717"/>
      <c r="DK487" s="717"/>
      <c r="DL487" s="665" t="s">
        <v>279</v>
      </c>
      <c r="DM487" s="665" t="s">
        <v>3296</v>
      </c>
      <c r="DN487" s="665"/>
      <c r="DO487" s="716"/>
      <c r="DP487" s="665"/>
      <c r="DQ487" s="716"/>
      <c r="DR487" s="716"/>
      <c r="DS487" s="720"/>
      <c r="DT487" s="718"/>
      <c r="DU487" s="665"/>
      <c r="DV487" s="718"/>
      <c r="DW487" s="718"/>
      <c r="DX487" s="720"/>
      <c r="DY487" s="718"/>
      <c r="DZ487" s="665"/>
      <c r="EA487" s="718"/>
      <c r="EB487" s="718"/>
      <c r="EC487" s="665"/>
      <c r="ED487" s="665"/>
      <c r="EE487" s="665"/>
      <c r="EF487" s="665"/>
      <c r="EG487" s="665"/>
      <c r="EH487" s="730"/>
      <c r="EI487" s="170"/>
      <c r="EJ487" s="170"/>
      <c r="EK487" s="262"/>
      <c r="EL487" s="91" t="str">
        <f t="shared" si="117"/>
        <v>No se reportó avance</v>
      </c>
      <c r="EM487" s="83" t="str">
        <f t="shared" si="118"/>
        <v>No se reportó avance</v>
      </c>
      <c r="EN487" s="697"/>
    </row>
    <row r="488" spans="1:144" ht="50.1" customHeight="1">
      <c r="A488" s="170" t="s">
        <v>4671</v>
      </c>
      <c r="B488" s="517" t="s">
        <v>3272</v>
      </c>
      <c r="C488" s="85" t="s">
        <v>3273</v>
      </c>
      <c r="D488" s="85" t="s">
        <v>3274</v>
      </c>
      <c r="E488" s="85" t="s">
        <v>3275</v>
      </c>
      <c r="F488" s="94" t="s">
        <v>280</v>
      </c>
      <c r="G488" s="94" t="s">
        <v>280</v>
      </c>
      <c r="H488" s="94" t="s">
        <v>3883</v>
      </c>
      <c r="I488" s="84" t="s">
        <v>3884</v>
      </c>
      <c r="J488" s="170" t="s">
        <v>3277</v>
      </c>
      <c r="K488" s="170" t="s">
        <v>3278</v>
      </c>
      <c r="L488" s="262">
        <v>18</v>
      </c>
      <c r="M488" s="84" t="s">
        <v>3885</v>
      </c>
      <c r="N488" s="84" t="s">
        <v>3886</v>
      </c>
      <c r="O488" s="84" t="s">
        <v>3281</v>
      </c>
      <c r="P488" s="84" t="s">
        <v>1161</v>
      </c>
      <c r="Q488" s="170" t="s">
        <v>162</v>
      </c>
      <c r="R488" s="84">
        <v>0</v>
      </c>
      <c r="S488" s="84" t="s">
        <v>163</v>
      </c>
      <c r="T488" s="90">
        <v>44927</v>
      </c>
      <c r="U488" s="90">
        <v>46357</v>
      </c>
      <c r="V488" s="262"/>
      <c r="W488" s="262"/>
      <c r="X488" s="262"/>
      <c r="Y488" s="262"/>
      <c r="Z488" s="85"/>
      <c r="AA488" s="85"/>
      <c r="AB488" s="85"/>
      <c r="AC488" s="85"/>
      <c r="AD488" s="85"/>
      <c r="AE488" s="85"/>
      <c r="AF488" s="85"/>
      <c r="AG488" s="85"/>
      <c r="AH488" s="85"/>
      <c r="AI488" s="85"/>
      <c r="AJ488" s="85"/>
      <c r="AK488" s="157"/>
      <c r="AL488" s="157"/>
      <c r="AM488" s="157"/>
      <c r="AN488" s="157"/>
      <c r="AO488" s="157"/>
      <c r="AP488" s="262"/>
      <c r="AQ488" s="262"/>
      <c r="AR488" s="262"/>
      <c r="AS488" s="262"/>
      <c r="AT488" s="262"/>
      <c r="AU488" s="262"/>
      <c r="AV488" s="262"/>
      <c r="AW488" s="262"/>
      <c r="AX488" s="262"/>
      <c r="AY488" s="262"/>
      <c r="AZ488" s="697"/>
      <c r="BA488" s="262"/>
      <c r="BB488" s="262"/>
      <c r="BC488" s="262"/>
      <c r="BD488" s="262"/>
      <c r="BE488" s="262"/>
      <c r="BF488" s="262"/>
      <c r="BG488" s="262"/>
      <c r="BH488" s="262"/>
      <c r="BI488" s="262"/>
      <c r="BJ488" s="697"/>
      <c r="BK488" s="262"/>
      <c r="BL488" s="697"/>
      <c r="BM488" s="262"/>
      <c r="BN488" s="697"/>
      <c r="BO488" s="262"/>
      <c r="BP488" s="697"/>
      <c r="BQ488" s="262"/>
      <c r="BR488" s="262"/>
      <c r="BS488" s="262"/>
      <c r="BT488" s="262"/>
      <c r="BU488" s="262"/>
      <c r="BV488" s="262"/>
      <c r="BW488" s="262"/>
      <c r="BX488" s="262"/>
      <c r="BY488" s="262"/>
      <c r="BZ488" s="262"/>
      <c r="CA488" s="262"/>
      <c r="CB488" s="262"/>
      <c r="CC488" s="262"/>
      <c r="CD488" s="262"/>
      <c r="CE488" s="262"/>
      <c r="CF488" s="262"/>
      <c r="CG488" s="717"/>
      <c r="CH488" s="262"/>
      <c r="CI488" s="262"/>
      <c r="CJ488" s="83" t="str">
        <f t="shared" si="120"/>
        <v>No aplica</v>
      </c>
      <c r="CK488" s="83" t="str">
        <f t="shared" si="119"/>
        <v>No aplica</v>
      </c>
      <c r="CL488" s="83" t="str">
        <f t="shared" si="114"/>
        <v>No requiere reporte</v>
      </c>
      <c r="CM488" s="89" t="str">
        <f t="shared" si="115"/>
        <v>No requiere reporte</v>
      </c>
      <c r="CN488" s="89" t="str">
        <f t="shared" si="116"/>
        <v>No requiere reporte</v>
      </c>
      <c r="CO488" s="735" t="s">
        <v>3903</v>
      </c>
      <c r="CP488" s="677" t="s">
        <v>3904</v>
      </c>
      <c r="CQ488" s="145" t="s">
        <v>3905</v>
      </c>
      <c r="CR488" s="693" t="s">
        <v>3906</v>
      </c>
      <c r="CS488" s="693" t="s">
        <v>3907</v>
      </c>
      <c r="CT488" s="145" t="s">
        <v>953</v>
      </c>
      <c r="CU488" s="714" t="s">
        <v>162</v>
      </c>
      <c r="CV488" s="291">
        <v>0</v>
      </c>
      <c r="CW488" s="145" t="s">
        <v>163</v>
      </c>
      <c r="CX488" s="695">
        <v>46023</v>
      </c>
      <c r="CY488" s="695">
        <v>46387</v>
      </c>
      <c r="CZ488" s="146">
        <v>1</v>
      </c>
      <c r="DA488" s="146">
        <v>1</v>
      </c>
      <c r="DB488" s="146">
        <v>1</v>
      </c>
      <c r="DC488" s="146">
        <v>1</v>
      </c>
      <c r="DD488" s="146">
        <v>1</v>
      </c>
      <c r="DE488" s="665" t="s">
        <v>2951</v>
      </c>
      <c r="DF488" s="665" t="s">
        <v>3294</v>
      </c>
      <c r="DG488" s="665" t="s">
        <v>3295</v>
      </c>
      <c r="DH488" s="696">
        <v>0</v>
      </c>
      <c r="DI488" s="717"/>
      <c r="DJ488" s="717"/>
      <c r="DK488" s="717"/>
      <c r="DL488" s="665" t="s">
        <v>279</v>
      </c>
      <c r="DM488" s="665" t="s">
        <v>3296</v>
      </c>
      <c r="DN488" s="218"/>
      <c r="DO488" s="716"/>
      <c r="DP488" s="665"/>
      <c r="DQ488" s="716"/>
      <c r="DR488" s="716"/>
      <c r="DS488" s="666"/>
      <c r="DT488" s="718"/>
      <c r="DU488" s="665"/>
      <c r="DV488" s="718"/>
      <c r="DW488" s="718"/>
      <c r="DX488" s="666"/>
      <c r="DY488" s="718"/>
      <c r="DZ488" s="665"/>
      <c r="EA488" s="718"/>
      <c r="EB488" s="718"/>
      <c r="EC488" s="665"/>
      <c r="ED488" s="665"/>
      <c r="EE488" s="665"/>
      <c r="EF488" s="665"/>
      <c r="EG488" s="665"/>
      <c r="EH488" s="146"/>
      <c r="EI488" s="170"/>
      <c r="EJ488" s="170"/>
      <c r="EK488" s="262"/>
      <c r="EL488" s="91" t="str">
        <f t="shared" si="117"/>
        <v>No se reportó avance</v>
      </c>
      <c r="EM488" s="83" t="str">
        <f t="shared" si="118"/>
        <v>No se reportó avance</v>
      </c>
      <c r="EN488" s="697"/>
    </row>
    <row r="489" spans="1:144" ht="50.1" customHeight="1">
      <c r="A489" s="170" t="s">
        <v>4671</v>
      </c>
      <c r="B489" s="517" t="s">
        <v>3272</v>
      </c>
      <c r="C489" s="85" t="s">
        <v>3273</v>
      </c>
      <c r="D489" s="85" t="s">
        <v>3274</v>
      </c>
      <c r="E489" s="85" t="s">
        <v>3275</v>
      </c>
      <c r="F489" s="94" t="s">
        <v>280</v>
      </c>
      <c r="G489" s="94" t="s">
        <v>280</v>
      </c>
      <c r="H489" s="94" t="s">
        <v>3883</v>
      </c>
      <c r="I489" s="84" t="s">
        <v>3884</v>
      </c>
      <c r="J489" s="170" t="s">
        <v>3277</v>
      </c>
      <c r="K489" s="170" t="s">
        <v>3278</v>
      </c>
      <c r="L489" s="262">
        <v>18</v>
      </c>
      <c r="M489" s="84" t="s">
        <v>3885</v>
      </c>
      <c r="N489" s="84" t="s">
        <v>3886</v>
      </c>
      <c r="O489" s="84" t="s">
        <v>3281</v>
      </c>
      <c r="P489" s="84" t="s">
        <v>1161</v>
      </c>
      <c r="Q489" s="170" t="s">
        <v>162</v>
      </c>
      <c r="R489" s="84">
        <v>0</v>
      </c>
      <c r="S489" s="84" t="s">
        <v>163</v>
      </c>
      <c r="T489" s="90">
        <v>44927</v>
      </c>
      <c r="U489" s="90">
        <v>46357</v>
      </c>
      <c r="V489" s="262"/>
      <c r="W489" s="262"/>
      <c r="X489" s="262"/>
      <c r="Y489" s="262"/>
      <c r="Z489" s="85"/>
      <c r="AA489" s="85"/>
      <c r="AB489" s="85"/>
      <c r="AC489" s="85"/>
      <c r="AD489" s="85"/>
      <c r="AE489" s="85"/>
      <c r="AF489" s="85"/>
      <c r="AG489" s="85"/>
      <c r="AH489" s="85"/>
      <c r="AI489" s="85"/>
      <c r="AJ489" s="85"/>
      <c r="AK489" s="157"/>
      <c r="AL489" s="157"/>
      <c r="AM489" s="157"/>
      <c r="AN489" s="157"/>
      <c r="AO489" s="157"/>
      <c r="AP489" s="262"/>
      <c r="AQ489" s="262"/>
      <c r="AR489" s="262"/>
      <c r="AS489" s="262"/>
      <c r="AT489" s="262"/>
      <c r="AU489" s="262"/>
      <c r="AV489" s="262"/>
      <c r="AW489" s="262"/>
      <c r="AX489" s="262"/>
      <c r="AY489" s="262"/>
      <c r="AZ489" s="697"/>
      <c r="BA489" s="262"/>
      <c r="BB489" s="262"/>
      <c r="BC489" s="262"/>
      <c r="BD489" s="262"/>
      <c r="BE489" s="262"/>
      <c r="BF489" s="262"/>
      <c r="BG489" s="262"/>
      <c r="BH489" s="262"/>
      <c r="BI489" s="262"/>
      <c r="BJ489" s="697"/>
      <c r="BK489" s="262"/>
      <c r="BL489" s="697"/>
      <c r="BM489" s="262"/>
      <c r="BN489" s="697"/>
      <c r="BO489" s="262"/>
      <c r="BP489" s="697"/>
      <c r="BQ489" s="262"/>
      <c r="BR489" s="262"/>
      <c r="BS489" s="262"/>
      <c r="BT489" s="262"/>
      <c r="BU489" s="262"/>
      <c r="BV489" s="262"/>
      <c r="BW489" s="262"/>
      <c r="BX489" s="262"/>
      <c r="BY489" s="262"/>
      <c r="BZ489" s="262"/>
      <c r="CA489" s="262"/>
      <c r="CB489" s="262"/>
      <c r="CC489" s="262"/>
      <c r="CD489" s="262"/>
      <c r="CE489" s="262"/>
      <c r="CF489" s="262"/>
      <c r="CG489" s="717"/>
      <c r="CH489" s="262"/>
      <c r="CI489" s="262"/>
      <c r="CJ489" s="83" t="str">
        <f t="shared" si="120"/>
        <v>No aplica</v>
      </c>
      <c r="CK489" s="83" t="str">
        <f t="shared" si="119"/>
        <v>No aplica</v>
      </c>
      <c r="CL489" s="83" t="str">
        <f t="shared" si="114"/>
        <v>No requiere reporte</v>
      </c>
      <c r="CM489" s="89" t="str">
        <f t="shared" si="115"/>
        <v>No requiere reporte</v>
      </c>
      <c r="CN489" s="89" t="str">
        <f t="shared" si="116"/>
        <v>No requiere reporte</v>
      </c>
      <c r="CO489" s="735" t="s">
        <v>3908</v>
      </c>
      <c r="CP489" s="677" t="s">
        <v>3909</v>
      </c>
      <c r="CQ489" s="145" t="s">
        <v>3910</v>
      </c>
      <c r="CR489" s="693" t="s">
        <v>3901</v>
      </c>
      <c r="CS489" s="693" t="s">
        <v>3911</v>
      </c>
      <c r="CT489" s="145" t="s">
        <v>953</v>
      </c>
      <c r="CU489" s="145" t="s">
        <v>233</v>
      </c>
      <c r="CV489" s="145">
        <v>0</v>
      </c>
      <c r="CW489" s="145" t="s">
        <v>234</v>
      </c>
      <c r="CX489" s="695">
        <v>46023</v>
      </c>
      <c r="CY489" s="695">
        <v>46387</v>
      </c>
      <c r="CZ489" s="741">
        <v>1</v>
      </c>
      <c r="DA489" s="741">
        <v>1</v>
      </c>
      <c r="DB489" s="154">
        <v>1</v>
      </c>
      <c r="DC489" s="154">
        <v>1</v>
      </c>
      <c r="DD489" s="154">
        <v>4</v>
      </c>
      <c r="DE489" s="665" t="s">
        <v>2951</v>
      </c>
      <c r="DF489" s="665" t="s">
        <v>3294</v>
      </c>
      <c r="DG489" s="665" t="s">
        <v>3295</v>
      </c>
      <c r="DH489" s="696">
        <v>0</v>
      </c>
      <c r="DI489" s="717"/>
      <c r="DJ489" s="717"/>
      <c r="DK489" s="717"/>
      <c r="DL489" s="665" t="s">
        <v>279</v>
      </c>
      <c r="DM489" s="665" t="s">
        <v>3296</v>
      </c>
      <c r="DN489" s="665"/>
      <c r="DO489" s="716"/>
      <c r="DP489" s="665"/>
      <c r="DQ489" s="716"/>
      <c r="DR489" s="716"/>
      <c r="DS489" s="720"/>
      <c r="DT489" s="718"/>
      <c r="DU489" s="665"/>
      <c r="DV489" s="718"/>
      <c r="DW489" s="718"/>
      <c r="DX489" s="720"/>
      <c r="DY489" s="718"/>
      <c r="DZ489" s="665"/>
      <c r="EA489" s="718"/>
      <c r="EB489" s="718"/>
      <c r="EC489" s="665"/>
      <c r="ED489" s="665"/>
      <c r="EE489" s="665"/>
      <c r="EF489" s="665"/>
      <c r="EG489" s="665"/>
      <c r="EH489" s="730"/>
      <c r="EI489" s="170"/>
      <c r="EJ489" s="170"/>
      <c r="EK489" s="262"/>
      <c r="EL489" s="91" t="str">
        <f t="shared" si="117"/>
        <v>No se reportó avance</v>
      </c>
      <c r="EM489" s="83" t="str">
        <f t="shared" si="118"/>
        <v>No se reportó avance</v>
      </c>
      <c r="EN489" s="697"/>
    </row>
    <row r="490" spans="1:144" ht="50.1" customHeight="1">
      <c r="A490" s="203" t="s">
        <v>4671</v>
      </c>
      <c r="B490" s="505" t="s">
        <v>3272</v>
      </c>
      <c r="C490" s="75" t="s">
        <v>3273</v>
      </c>
      <c r="D490" s="75" t="s">
        <v>3274</v>
      </c>
      <c r="E490" s="75" t="s">
        <v>3275</v>
      </c>
      <c r="F490" s="98" t="s">
        <v>280</v>
      </c>
      <c r="G490" s="98" t="s">
        <v>280</v>
      </c>
      <c r="H490" s="98" t="s">
        <v>3912</v>
      </c>
      <c r="I490" s="74" t="s">
        <v>3913</v>
      </c>
      <c r="J490" s="203" t="s">
        <v>3277</v>
      </c>
      <c r="K490" s="203" t="s">
        <v>3278</v>
      </c>
      <c r="L490" s="260">
        <v>19</v>
      </c>
      <c r="M490" s="78" t="s">
        <v>3914</v>
      </c>
      <c r="N490" s="78" t="s">
        <v>3915</v>
      </c>
      <c r="O490" s="78" t="s">
        <v>3281</v>
      </c>
      <c r="P490" s="78" t="s">
        <v>1161</v>
      </c>
      <c r="Q490" s="255" t="s">
        <v>162</v>
      </c>
      <c r="R490" s="638">
        <v>0</v>
      </c>
      <c r="S490" s="78" t="s">
        <v>163</v>
      </c>
      <c r="T490" s="80">
        <v>44927</v>
      </c>
      <c r="U490" s="80">
        <v>46357</v>
      </c>
      <c r="V490" s="531"/>
      <c r="W490" s="531"/>
      <c r="X490" s="531"/>
      <c r="Y490" s="531"/>
      <c r="Z490" s="79">
        <v>1</v>
      </c>
      <c r="AA490" s="75">
        <v>1</v>
      </c>
      <c r="AB490" s="75">
        <v>1</v>
      </c>
      <c r="AC490" s="75">
        <v>1</v>
      </c>
      <c r="AD490" s="75">
        <v>1</v>
      </c>
      <c r="AE490" s="79">
        <v>1</v>
      </c>
      <c r="AF490" s="79">
        <v>1</v>
      </c>
      <c r="AG490" s="79">
        <v>1</v>
      </c>
      <c r="AH490" s="79">
        <v>1</v>
      </c>
      <c r="AI490" s="79">
        <v>1</v>
      </c>
      <c r="AJ490" s="79">
        <v>1</v>
      </c>
      <c r="AK490" s="142">
        <v>1</v>
      </c>
      <c r="AL490" s="142">
        <v>1</v>
      </c>
      <c r="AM490" s="142">
        <v>1</v>
      </c>
      <c r="AN490" s="142">
        <v>1</v>
      </c>
      <c r="AO490" s="142">
        <v>1</v>
      </c>
      <c r="AP490" s="79">
        <v>1</v>
      </c>
      <c r="AQ490" s="262"/>
      <c r="AR490" s="262"/>
      <c r="AS490" s="262"/>
      <c r="AT490" s="262"/>
      <c r="AU490" s="262"/>
      <c r="AV490" s="262"/>
      <c r="AW490" s="262"/>
      <c r="AX490" s="262"/>
      <c r="AY490" s="173">
        <v>0.47</v>
      </c>
      <c r="AZ490" s="692" t="s">
        <v>3916</v>
      </c>
      <c r="BA490" s="173">
        <f>7/7</f>
        <v>1</v>
      </c>
      <c r="BB490" s="170" t="s">
        <v>3917</v>
      </c>
      <c r="BC490" s="173">
        <f>10/10</f>
        <v>1</v>
      </c>
      <c r="BD490" s="170" t="s">
        <v>3918</v>
      </c>
      <c r="BE490" s="173">
        <f>3/3</f>
        <v>1</v>
      </c>
      <c r="BF490" s="170" t="s">
        <v>3919</v>
      </c>
      <c r="BG490" s="173">
        <v>0</v>
      </c>
      <c r="BH490" s="170" t="s">
        <v>3286</v>
      </c>
      <c r="BI490" s="173">
        <f>+(BA490+BC490+BE490+BG490)/4</f>
        <v>0.75</v>
      </c>
      <c r="BJ490" s="692"/>
      <c r="BK490" s="173">
        <v>0</v>
      </c>
      <c r="BL490" s="692" t="s">
        <v>3287</v>
      </c>
      <c r="BM490" s="173">
        <v>0</v>
      </c>
      <c r="BN490" s="692" t="s">
        <v>3287</v>
      </c>
      <c r="BO490" s="173">
        <v>0.5</v>
      </c>
      <c r="BP490" s="692" t="s">
        <v>3920</v>
      </c>
      <c r="BQ490" s="262"/>
      <c r="BR490" s="262"/>
      <c r="BS490" s="83"/>
      <c r="BT490" s="262"/>
      <c r="BU490" s="262"/>
      <c r="BV490" s="262"/>
      <c r="BW490" s="262"/>
      <c r="BX490" s="262"/>
      <c r="BY490" s="262"/>
      <c r="BZ490" s="262"/>
      <c r="CA490" s="262"/>
      <c r="CB490" s="262"/>
      <c r="CC490" s="262"/>
      <c r="CD490" s="262"/>
      <c r="CE490" s="146"/>
      <c r="CF490" s="262"/>
      <c r="CG490" s="713">
        <f>SUBTOTAL(9,DH490:DH492)</f>
        <v>13028150700</v>
      </c>
      <c r="CH490" s="515"/>
      <c r="CI490" s="515"/>
      <c r="CJ490" s="83">
        <f t="shared" si="120"/>
        <v>0</v>
      </c>
      <c r="CK490" s="83">
        <f t="shared" si="119"/>
        <v>0</v>
      </c>
      <c r="CL490" s="83" t="str">
        <f t="shared" si="114"/>
        <v>No se reportó avance</v>
      </c>
      <c r="CM490" s="89" t="str">
        <f t="shared" si="115"/>
        <v>No se reportó avance</v>
      </c>
      <c r="CN490" s="89" t="str">
        <f t="shared" si="116"/>
        <v>No se reportó avance</v>
      </c>
      <c r="CO490" s="735" t="s">
        <v>2407</v>
      </c>
      <c r="CP490" s="677" t="s">
        <v>3921</v>
      </c>
      <c r="CQ490" s="145" t="s">
        <v>3922</v>
      </c>
      <c r="CR490" s="693" t="s">
        <v>3923</v>
      </c>
      <c r="CS490" s="694" t="s">
        <v>3924</v>
      </c>
      <c r="CT490" s="145" t="s">
        <v>953</v>
      </c>
      <c r="CU490" s="714" t="s">
        <v>162</v>
      </c>
      <c r="CV490" s="291">
        <v>0</v>
      </c>
      <c r="CW490" s="145" t="s">
        <v>163</v>
      </c>
      <c r="CX490" s="695">
        <v>46023</v>
      </c>
      <c r="CY490" s="695">
        <v>46387</v>
      </c>
      <c r="CZ490" s="146">
        <v>1</v>
      </c>
      <c r="DA490" s="146">
        <v>1</v>
      </c>
      <c r="DB490" s="146">
        <v>1</v>
      </c>
      <c r="DC490" s="146">
        <v>1</v>
      </c>
      <c r="DD490" s="146">
        <v>1</v>
      </c>
      <c r="DE490" s="665" t="s">
        <v>2951</v>
      </c>
      <c r="DF490" s="665" t="s">
        <v>762</v>
      </c>
      <c r="DG490" s="665" t="s">
        <v>3359</v>
      </c>
      <c r="DH490" s="696">
        <v>13028150700</v>
      </c>
      <c r="DI490" s="717"/>
      <c r="DJ490" s="717"/>
      <c r="DK490" s="717"/>
      <c r="DL490" s="665" t="s">
        <v>279</v>
      </c>
      <c r="DM490" s="665" t="s">
        <v>3296</v>
      </c>
      <c r="DN490" s="218"/>
      <c r="DO490" s="716"/>
      <c r="DP490" s="665"/>
      <c r="DQ490" s="716"/>
      <c r="DR490" s="716"/>
      <c r="DS490" s="218"/>
      <c r="DT490" s="716"/>
      <c r="DU490" s="665"/>
      <c r="DV490" s="716"/>
      <c r="DW490" s="716"/>
      <c r="DX490" s="218"/>
      <c r="DY490" s="716"/>
      <c r="DZ490" s="711"/>
      <c r="EA490" s="716"/>
      <c r="EB490" s="716"/>
      <c r="EC490" s="665"/>
      <c r="ED490" s="665"/>
      <c r="EE490" s="665"/>
      <c r="EF490" s="665"/>
      <c r="EG490" s="665"/>
      <c r="EH490" s="146"/>
      <c r="EI490" s="170"/>
      <c r="EJ490" s="170"/>
      <c r="EK490" s="262"/>
      <c r="EL490" s="91" t="str">
        <f t="shared" si="117"/>
        <v>No se reportó avance</v>
      </c>
      <c r="EM490" s="83" t="str">
        <f t="shared" si="118"/>
        <v>No se reportó avance</v>
      </c>
      <c r="EN490" s="697"/>
    </row>
    <row r="491" spans="1:144" ht="50.1" customHeight="1">
      <c r="A491" s="170" t="s">
        <v>4671</v>
      </c>
      <c r="B491" s="517" t="s">
        <v>3272</v>
      </c>
      <c r="C491" s="85" t="s">
        <v>3273</v>
      </c>
      <c r="D491" s="85" t="s">
        <v>3274</v>
      </c>
      <c r="E491" s="85" t="s">
        <v>3275</v>
      </c>
      <c r="F491" s="94" t="s">
        <v>280</v>
      </c>
      <c r="G491" s="94" t="s">
        <v>280</v>
      </c>
      <c r="H491" s="94" t="s">
        <v>3912</v>
      </c>
      <c r="I491" s="84" t="s">
        <v>3913</v>
      </c>
      <c r="J491" s="170" t="s">
        <v>3277</v>
      </c>
      <c r="K491" s="170" t="s">
        <v>3278</v>
      </c>
      <c r="L491" s="262">
        <v>19</v>
      </c>
      <c r="M491" s="84" t="s">
        <v>3914</v>
      </c>
      <c r="N491" s="84" t="s">
        <v>3915</v>
      </c>
      <c r="O491" s="84" t="s">
        <v>3281</v>
      </c>
      <c r="P491" s="84" t="s">
        <v>1161</v>
      </c>
      <c r="Q491" s="170" t="s">
        <v>162</v>
      </c>
      <c r="R491" s="84">
        <v>0</v>
      </c>
      <c r="S491" s="84" t="s">
        <v>163</v>
      </c>
      <c r="T491" s="90">
        <v>44927</v>
      </c>
      <c r="U491" s="90">
        <v>46357</v>
      </c>
      <c r="V491" s="262"/>
      <c r="W491" s="262"/>
      <c r="X491" s="262"/>
      <c r="Y491" s="262"/>
      <c r="Z491" s="85"/>
      <c r="AA491" s="85"/>
      <c r="AB491" s="85"/>
      <c r="AC491" s="85"/>
      <c r="AD491" s="85"/>
      <c r="AE491" s="85"/>
      <c r="AF491" s="85"/>
      <c r="AG491" s="85"/>
      <c r="AH491" s="85"/>
      <c r="AI491" s="85"/>
      <c r="AJ491" s="85"/>
      <c r="AK491" s="157"/>
      <c r="AL491" s="157"/>
      <c r="AM491" s="157"/>
      <c r="AN491" s="157"/>
      <c r="AO491" s="157"/>
      <c r="AP491" s="262"/>
      <c r="AQ491" s="262"/>
      <c r="AR491" s="262"/>
      <c r="AS491" s="262"/>
      <c r="AT491" s="262"/>
      <c r="AU491" s="262"/>
      <c r="AV491" s="262"/>
      <c r="AW491" s="262"/>
      <c r="AX491" s="262"/>
      <c r="AY491" s="262"/>
      <c r="AZ491" s="697"/>
      <c r="BA491" s="262"/>
      <c r="BB491" s="262"/>
      <c r="BC491" s="262"/>
      <c r="BD491" s="262"/>
      <c r="BE491" s="262"/>
      <c r="BF491" s="262"/>
      <c r="BG491" s="262"/>
      <c r="BH491" s="262"/>
      <c r="BI491" s="262"/>
      <c r="BJ491" s="697"/>
      <c r="BK491" s="262"/>
      <c r="BL491" s="697"/>
      <c r="BM491" s="262"/>
      <c r="BN491" s="697"/>
      <c r="BO491" s="262"/>
      <c r="BP491" s="697"/>
      <c r="BQ491" s="262"/>
      <c r="BR491" s="262"/>
      <c r="BS491" s="262"/>
      <c r="BT491" s="262"/>
      <c r="BU491" s="262"/>
      <c r="BV491" s="262"/>
      <c r="BW491" s="262"/>
      <c r="BX491" s="262"/>
      <c r="BY491" s="262"/>
      <c r="BZ491" s="262"/>
      <c r="CA491" s="262"/>
      <c r="CB491" s="262"/>
      <c r="CC491" s="262"/>
      <c r="CD491" s="262"/>
      <c r="CE491" s="262"/>
      <c r="CF491" s="262"/>
      <c r="CG491" s="717"/>
      <c r="CH491" s="262"/>
      <c r="CI491" s="262"/>
      <c r="CJ491" s="83" t="str">
        <f t="shared" si="120"/>
        <v>No aplica</v>
      </c>
      <c r="CK491" s="83" t="str">
        <f t="shared" si="119"/>
        <v>No aplica</v>
      </c>
      <c r="CL491" s="83" t="str">
        <f t="shared" si="114"/>
        <v>No requiere reporte</v>
      </c>
      <c r="CM491" s="89" t="str">
        <f t="shared" si="115"/>
        <v>No requiere reporte</v>
      </c>
      <c r="CN491" s="89" t="str">
        <f t="shared" si="116"/>
        <v>No requiere reporte</v>
      </c>
      <c r="CO491" s="735" t="s">
        <v>2415</v>
      </c>
      <c r="CP491" s="677" t="s">
        <v>3925</v>
      </c>
      <c r="CQ491" s="145" t="s">
        <v>3926</v>
      </c>
      <c r="CR491" s="693" t="s">
        <v>3927</v>
      </c>
      <c r="CS491" s="693" t="s">
        <v>3928</v>
      </c>
      <c r="CT491" s="145" t="s">
        <v>953</v>
      </c>
      <c r="CU491" s="145" t="s">
        <v>233</v>
      </c>
      <c r="CV491" s="145">
        <v>0</v>
      </c>
      <c r="CW491" s="145" t="s">
        <v>402</v>
      </c>
      <c r="CX491" s="695">
        <v>46023</v>
      </c>
      <c r="CY491" s="695">
        <v>46387</v>
      </c>
      <c r="CZ491" s="741">
        <v>0</v>
      </c>
      <c r="DA491" s="742">
        <v>0</v>
      </c>
      <c r="DB491" s="154">
        <v>0</v>
      </c>
      <c r="DC491" s="743">
        <v>1</v>
      </c>
      <c r="DD491" s="743">
        <v>1</v>
      </c>
      <c r="DE491" s="665" t="s">
        <v>2951</v>
      </c>
      <c r="DF491" s="665" t="s">
        <v>762</v>
      </c>
      <c r="DG491" s="665" t="s">
        <v>3359</v>
      </c>
      <c r="DH491" s="696">
        <v>0</v>
      </c>
      <c r="DI491" s="717"/>
      <c r="DJ491" s="717"/>
      <c r="DK491" s="717"/>
      <c r="DL491" s="665" t="s">
        <v>279</v>
      </c>
      <c r="DM491" s="665" t="s">
        <v>3296</v>
      </c>
      <c r="DN491" s="665"/>
      <c r="DO491" s="716"/>
      <c r="DP491" s="665"/>
      <c r="DQ491" s="716"/>
      <c r="DR491" s="716"/>
      <c r="DS491" s="665"/>
      <c r="DT491" s="716"/>
      <c r="DU491" s="665"/>
      <c r="DV491" s="716"/>
      <c r="DW491" s="716"/>
      <c r="DX491" s="665"/>
      <c r="DY491" s="716"/>
      <c r="DZ491" s="665"/>
      <c r="EA491" s="716"/>
      <c r="EB491" s="716"/>
      <c r="EC491" s="665"/>
      <c r="ED491" s="665"/>
      <c r="EE491" s="665"/>
      <c r="EF491" s="665"/>
      <c r="EG491" s="665"/>
      <c r="EH491" s="665"/>
      <c r="EI491" s="170"/>
      <c r="EJ491" s="170"/>
      <c r="EK491" s="262"/>
      <c r="EL491" s="91" t="str">
        <f t="shared" si="117"/>
        <v>No aplica, no hay meta</v>
      </c>
      <c r="EM491" s="83" t="str">
        <f t="shared" si="118"/>
        <v>No se reportó avance</v>
      </c>
      <c r="EN491" s="697"/>
    </row>
    <row r="492" spans="1:144" ht="50.1" customHeight="1">
      <c r="A492" s="170" t="s">
        <v>4671</v>
      </c>
      <c r="B492" s="517" t="s">
        <v>3272</v>
      </c>
      <c r="C492" s="85" t="s">
        <v>3273</v>
      </c>
      <c r="D492" s="85" t="s">
        <v>3274</v>
      </c>
      <c r="E492" s="85" t="s">
        <v>3275</v>
      </c>
      <c r="F492" s="94" t="s">
        <v>280</v>
      </c>
      <c r="G492" s="94" t="s">
        <v>280</v>
      </c>
      <c r="H492" s="94" t="s">
        <v>3912</v>
      </c>
      <c r="I492" s="84" t="s">
        <v>3913</v>
      </c>
      <c r="J492" s="170" t="s">
        <v>3277</v>
      </c>
      <c r="K492" s="170" t="s">
        <v>3278</v>
      </c>
      <c r="L492" s="262">
        <v>19</v>
      </c>
      <c r="M492" s="84" t="s">
        <v>3914</v>
      </c>
      <c r="N492" s="84" t="s">
        <v>3915</v>
      </c>
      <c r="O492" s="84" t="s">
        <v>3281</v>
      </c>
      <c r="P492" s="84" t="s">
        <v>1161</v>
      </c>
      <c r="Q492" s="170" t="s">
        <v>162</v>
      </c>
      <c r="R492" s="84">
        <v>0</v>
      </c>
      <c r="S492" s="84" t="s">
        <v>163</v>
      </c>
      <c r="T492" s="90">
        <v>44927</v>
      </c>
      <c r="U492" s="90">
        <v>46357</v>
      </c>
      <c r="V492" s="262"/>
      <c r="W492" s="262"/>
      <c r="X492" s="262"/>
      <c r="Y492" s="262"/>
      <c r="Z492" s="85"/>
      <c r="AA492" s="85"/>
      <c r="AB492" s="85"/>
      <c r="AC492" s="85"/>
      <c r="AD492" s="85"/>
      <c r="AE492" s="85"/>
      <c r="AF492" s="85"/>
      <c r="AG492" s="85"/>
      <c r="AH492" s="85"/>
      <c r="AI492" s="85"/>
      <c r="AJ492" s="85"/>
      <c r="AK492" s="157"/>
      <c r="AL492" s="157"/>
      <c r="AM492" s="157"/>
      <c r="AN492" s="157"/>
      <c r="AO492" s="157"/>
      <c r="AP492" s="262"/>
      <c r="AQ492" s="262"/>
      <c r="AR492" s="262"/>
      <c r="AS492" s="262"/>
      <c r="AT492" s="262"/>
      <c r="AU492" s="262"/>
      <c r="AV492" s="262"/>
      <c r="AW492" s="262"/>
      <c r="AX492" s="262"/>
      <c r="AY492" s="262"/>
      <c r="AZ492" s="697"/>
      <c r="BA492" s="262"/>
      <c r="BB492" s="262"/>
      <c r="BC492" s="262"/>
      <c r="BD492" s="262"/>
      <c r="BE492" s="262"/>
      <c r="BF492" s="262"/>
      <c r="BG492" s="262"/>
      <c r="BH492" s="262"/>
      <c r="BI492" s="262"/>
      <c r="BJ492" s="697"/>
      <c r="BK492" s="262"/>
      <c r="BL492" s="697"/>
      <c r="BM492" s="262"/>
      <c r="BN492" s="697"/>
      <c r="BO492" s="262"/>
      <c r="BP492" s="697"/>
      <c r="BQ492" s="262"/>
      <c r="BR492" s="262"/>
      <c r="BS492" s="262"/>
      <c r="BT492" s="262"/>
      <c r="BU492" s="262"/>
      <c r="BV492" s="262"/>
      <c r="BW492" s="262"/>
      <c r="BX492" s="262"/>
      <c r="BY492" s="262"/>
      <c r="BZ492" s="262"/>
      <c r="CA492" s="262"/>
      <c r="CB492" s="262"/>
      <c r="CC492" s="262"/>
      <c r="CD492" s="262"/>
      <c r="CE492" s="262"/>
      <c r="CF492" s="262"/>
      <c r="CG492" s="717"/>
      <c r="CH492" s="262"/>
      <c r="CI492" s="262"/>
      <c r="CJ492" s="83" t="str">
        <f t="shared" si="120"/>
        <v>No aplica</v>
      </c>
      <c r="CK492" s="83" t="str">
        <f t="shared" si="119"/>
        <v>No aplica</v>
      </c>
      <c r="CL492" s="83" t="str">
        <f t="shared" si="114"/>
        <v>No requiere reporte</v>
      </c>
      <c r="CM492" s="89" t="str">
        <f t="shared" si="115"/>
        <v>No requiere reporte</v>
      </c>
      <c r="CN492" s="89" t="str">
        <f t="shared" si="116"/>
        <v>No requiere reporte</v>
      </c>
      <c r="CO492" s="735" t="s">
        <v>2916</v>
      </c>
      <c r="CP492" s="734" t="s">
        <v>3929</v>
      </c>
      <c r="CQ492" s="178" t="s">
        <v>3930</v>
      </c>
      <c r="CR492" s="694" t="s">
        <v>3931</v>
      </c>
      <c r="CS492" s="178" t="s">
        <v>3932</v>
      </c>
      <c r="CT492" s="178" t="s">
        <v>953</v>
      </c>
      <c r="CU492" s="714" t="s">
        <v>162</v>
      </c>
      <c r="CV492" s="291">
        <v>0</v>
      </c>
      <c r="CW492" s="178" t="s">
        <v>163</v>
      </c>
      <c r="CX492" s="695">
        <v>46023</v>
      </c>
      <c r="CY492" s="695">
        <v>46387</v>
      </c>
      <c r="CZ492" s="146">
        <v>1</v>
      </c>
      <c r="DA492" s="146">
        <v>1</v>
      </c>
      <c r="DB492" s="146">
        <v>1</v>
      </c>
      <c r="DC492" s="146">
        <v>1</v>
      </c>
      <c r="DD492" s="146">
        <v>1</v>
      </c>
      <c r="DE492" s="665" t="s">
        <v>2951</v>
      </c>
      <c r="DF492" s="665" t="s">
        <v>762</v>
      </c>
      <c r="DG492" s="665" t="s">
        <v>3359</v>
      </c>
      <c r="DH492" s="696">
        <v>0</v>
      </c>
      <c r="DI492" s="717"/>
      <c r="DJ492" s="717"/>
      <c r="DK492" s="717"/>
      <c r="DL492" s="665" t="s">
        <v>279</v>
      </c>
      <c r="DM492" s="665" t="s">
        <v>3296</v>
      </c>
      <c r="DN492" s="218"/>
      <c r="DO492" s="716"/>
      <c r="DP492" s="665"/>
      <c r="DQ492" s="716"/>
      <c r="DR492" s="716"/>
      <c r="DS492" s="218"/>
      <c r="DT492" s="716"/>
      <c r="DU492" s="665"/>
      <c r="DV492" s="716"/>
      <c r="DW492" s="716"/>
      <c r="DX492" s="218"/>
      <c r="DY492" s="716"/>
      <c r="DZ492" s="665"/>
      <c r="EA492" s="716"/>
      <c r="EB492" s="716"/>
      <c r="EC492" s="665"/>
      <c r="ED492" s="665"/>
      <c r="EE492" s="665"/>
      <c r="EF492" s="665"/>
      <c r="EG492" s="665"/>
      <c r="EH492" s="146"/>
      <c r="EI492" s="170"/>
      <c r="EJ492" s="170"/>
      <c r="EK492" s="262"/>
      <c r="EL492" s="91" t="str">
        <f t="shared" si="117"/>
        <v>No se reportó avance</v>
      </c>
      <c r="EM492" s="83" t="str">
        <f t="shared" si="118"/>
        <v>No se reportó avance</v>
      </c>
      <c r="EN492" s="697"/>
    </row>
    <row r="493" spans="1:144" ht="50.1" customHeight="1">
      <c r="A493" s="203" t="s">
        <v>4671</v>
      </c>
      <c r="B493" s="505" t="s">
        <v>3272</v>
      </c>
      <c r="C493" s="75" t="s">
        <v>3273</v>
      </c>
      <c r="D493" s="75" t="s">
        <v>3274</v>
      </c>
      <c r="E493" s="75" t="s">
        <v>3275</v>
      </c>
      <c r="F493" s="98" t="s">
        <v>280</v>
      </c>
      <c r="G493" s="98" t="s">
        <v>280</v>
      </c>
      <c r="H493" s="98" t="s">
        <v>3933</v>
      </c>
      <c r="I493" s="74" t="s">
        <v>3934</v>
      </c>
      <c r="J493" s="203" t="s">
        <v>3277</v>
      </c>
      <c r="K493" s="203" t="s">
        <v>3278</v>
      </c>
      <c r="L493" s="260">
        <v>20</v>
      </c>
      <c r="M493" s="78" t="s">
        <v>3935</v>
      </c>
      <c r="N493" s="78" t="s">
        <v>3936</v>
      </c>
      <c r="O493" s="78" t="s">
        <v>3281</v>
      </c>
      <c r="P493" s="78" t="s">
        <v>1161</v>
      </c>
      <c r="Q493" s="255" t="s">
        <v>162</v>
      </c>
      <c r="R493" s="638">
        <v>0</v>
      </c>
      <c r="S493" s="78" t="s">
        <v>163</v>
      </c>
      <c r="T493" s="80">
        <v>44927</v>
      </c>
      <c r="U493" s="80">
        <v>46357</v>
      </c>
      <c r="V493" s="531"/>
      <c r="W493" s="531"/>
      <c r="X493" s="531"/>
      <c r="Y493" s="531"/>
      <c r="Z493" s="79">
        <v>1</v>
      </c>
      <c r="AA493" s="75">
        <v>1</v>
      </c>
      <c r="AB493" s="75">
        <v>1</v>
      </c>
      <c r="AC493" s="75">
        <v>1</v>
      </c>
      <c r="AD493" s="75">
        <v>1</v>
      </c>
      <c r="AE493" s="79">
        <v>1</v>
      </c>
      <c r="AF493" s="79">
        <v>1</v>
      </c>
      <c r="AG493" s="79">
        <v>1</v>
      </c>
      <c r="AH493" s="79">
        <v>1</v>
      </c>
      <c r="AI493" s="79">
        <v>1</v>
      </c>
      <c r="AJ493" s="79">
        <v>1</v>
      </c>
      <c r="AK493" s="142">
        <v>1</v>
      </c>
      <c r="AL493" s="142">
        <v>1</v>
      </c>
      <c r="AM493" s="142">
        <v>1</v>
      </c>
      <c r="AN493" s="142">
        <v>1</v>
      </c>
      <c r="AO493" s="142">
        <v>1</v>
      </c>
      <c r="AP493" s="79">
        <v>1</v>
      </c>
      <c r="AQ493" s="262"/>
      <c r="AR493" s="262"/>
      <c r="AS493" s="262"/>
      <c r="AT493" s="262"/>
      <c r="AU493" s="262"/>
      <c r="AV493" s="262"/>
      <c r="AW493" s="262"/>
      <c r="AX493" s="262"/>
      <c r="AY493" s="173">
        <v>0.2</v>
      </c>
      <c r="AZ493" s="692" t="s">
        <v>3937</v>
      </c>
      <c r="BA493" s="173">
        <v>0</v>
      </c>
      <c r="BB493" s="170" t="s">
        <v>3938</v>
      </c>
      <c r="BC493" s="173">
        <v>0</v>
      </c>
      <c r="BD493" s="170" t="s">
        <v>3939</v>
      </c>
      <c r="BE493" s="173">
        <v>0</v>
      </c>
      <c r="BF493" s="170" t="s">
        <v>3940</v>
      </c>
      <c r="BG493" s="173">
        <v>0</v>
      </c>
      <c r="BH493" s="170" t="s">
        <v>3286</v>
      </c>
      <c r="BI493" s="173">
        <f>+(BA493+BC493+BE493+BG493)/4</f>
        <v>0</v>
      </c>
      <c r="BJ493" s="692"/>
      <c r="BK493" s="173">
        <v>0</v>
      </c>
      <c r="BL493" s="692" t="s">
        <v>3287</v>
      </c>
      <c r="BM493" s="173">
        <v>0.5</v>
      </c>
      <c r="BN493" s="692" t="s">
        <v>3941</v>
      </c>
      <c r="BO493" s="173">
        <v>0</v>
      </c>
      <c r="BP493" s="692" t="s">
        <v>3287</v>
      </c>
      <c r="BQ493" s="262"/>
      <c r="BR493" s="262"/>
      <c r="BS493" s="83"/>
      <c r="BT493" s="262"/>
      <c r="BU493" s="262"/>
      <c r="BV493" s="262"/>
      <c r="BW493" s="262"/>
      <c r="BX493" s="262"/>
      <c r="BY493" s="262"/>
      <c r="BZ493" s="262"/>
      <c r="CA493" s="262"/>
      <c r="CB493" s="262"/>
      <c r="CC493" s="262"/>
      <c r="CD493" s="262"/>
      <c r="CE493" s="146"/>
      <c r="CF493" s="262"/>
      <c r="CG493" s="713">
        <f>SUBTOTAL(9,DH493:DH494)</f>
        <v>7450000000</v>
      </c>
      <c r="CH493" s="515"/>
      <c r="CI493" s="515"/>
      <c r="CJ493" s="83">
        <f t="shared" si="120"/>
        <v>0</v>
      </c>
      <c r="CK493" s="83">
        <f t="shared" si="119"/>
        <v>0</v>
      </c>
      <c r="CL493" s="83" t="str">
        <f t="shared" si="114"/>
        <v>No se reportó avance</v>
      </c>
      <c r="CM493" s="89" t="str">
        <f t="shared" si="115"/>
        <v>No se reportó avance</v>
      </c>
      <c r="CN493" s="89" t="str">
        <f t="shared" si="116"/>
        <v>No se reportó avance</v>
      </c>
      <c r="CO493" s="735" t="s">
        <v>3942</v>
      </c>
      <c r="CP493" s="677" t="s">
        <v>3943</v>
      </c>
      <c r="CQ493" s="145" t="s">
        <v>3944</v>
      </c>
      <c r="CR493" s="693" t="s">
        <v>3945</v>
      </c>
      <c r="CS493" s="693" t="s">
        <v>3946</v>
      </c>
      <c r="CT493" s="145" t="s">
        <v>953</v>
      </c>
      <c r="CU493" s="714" t="s">
        <v>162</v>
      </c>
      <c r="CV493" s="291">
        <v>0</v>
      </c>
      <c r="CW493" s="145" t="s">
        <v>163</v>
      </c>
      <c r="CX493" s="695">
        <v>46023</v>
      </c>
      <c r="CY493" s="695">
        <v>46387</v>
      </c>
      <c r="CZ493" s="146">
        <v>1</v>
      </c>
      <c r="DA493" s="146">
        <v>1</v>
      </c>
      <c r="DB493" s="146">
        <v>1</v>
      </c>
      <c r="DC493" s="146">
        <v>1</v>
      </c>
      <c r="DD493" s="146">
        <v>1</v>
      </c>
      <c r="DE493" s="665" t="s">
        <v>2951</v>
      </c>
      <c r="DF493" s="665" t="s">
        <v>3947</v>
      </c>
      <c r="DG493" s="665" t="s">
        <v>3948</v>
      </c>
      <c r="DH493" s="696">
        <v>7450000000</v>
      </c>
      <c r="DI493" s="717"/>
      <c r="DJ493" s="717"/>
      <c r="DK493" s="717"/>
      <c r="DL493" s="665" t="s">
        <v>279</v>
      </c>
      <c r="DM493" s="665" t="s">
        <v>3296</v>
      </c>
      <c r="DN493" s="218"/>
      <c r="DO493" s="716"/>
      <c r="DP493" s="665"/>
      <c r="DQ493" s="716"/>
      <c r="DR493" s="716"/>
      <c r="DS493" s="666"/>
      <c r="DT493" s="716"/>
      <c r="DU493" s="665"/>
      <c r="DV493" s="716"/>
      <c r="DW493" s="716"/>
      <c r="DX493" s="666"/>
      <c r="DY493" s="716"/>
      <c r="DZ493" s="665"/>
      <c r="EA493" s="716"/>
      <c r="EB493" s="716"/>
      <c r="EC493" s="665"/>
      <c r="ED493" s="665"/>
      <c r="EE493" s="665"/>
      <c r="EF493" s="665"/>
      <c r="EG493" s="665"/>
      <c r="EH493" s="146"/>
      <c r="EI493" s="170"/>
      <c r="EJ493" s="170"/>
      <c r="EK493" s="262"/>
      <c r="EL493" s="91" t="str">
        <f t="shared" si="117"/>
        <v>No se reportó avance</v>
      </c>
      <c r="EM493" s="83" t="str">
        <f t="shared" si="118"/>
        <v>No se reportó avance</v>
      </c>
      <c r="EN493" s="697"/>
    </row>
    <row r="494" spans="1:144" ht="50.1" customHeight="1">
      <c r="A494" s="170" t="s">
        <v>4671</v>
      </c>
      <c r="B494" s="517" t="s">
        <v>3272</v>
      </c>
      <c r="C494" s="85" t="s">
        <v>3273</v>
      </c>
      <c r="D494" s="85" t="s">
        <v>3274</v>
      </c>
      <c r="E494" s="85" t="s">
        <v>3275</v>
      </c>
      <c r="F494" s="94" t="s">
        <v>280</v>
      </c>
      <c r="G494" s="94" t="s">
        <v>280</v>
      </c>
      <c r="H494" s="94" t="s">
        <v>3933</v>
      </c>
      <c r="I494" s="84" t="s">
        <v>3934</v>
      </c>
      <c r="J494" s="170" t="s">
        <v>3277</v>
      </c>
      <c r="K494" s="170" t="s">
        <v>3278</v>
      </c>
      <c r="L494" s="262">
        <v>20</v>
      </c>
      <c r="M494" s="84" t="s">
        <v>3935</v>
      </c>
      <c r="N494" s="84" t="s">
        <v>3936</v>
      </c>
      <c r="O494" s="84" t="s">
        <v>3281</v>
      </c>
      <c r="P494" s="84" t="s">
        <v>1161</v>
      </c>
      <c r="Q494" s="170" t="s">
        <v>162</v>
      </c>
      <c r="R494" s="84">
        <v>0</v>
      </c>
      <c r="S494" s="84" t="s">
        <v>163</v>
      </c>
      <c r="T494" s="90">
        <v>44927</v>
      </c>
      <c r="U494" s="90">
        <v>46357</v>
      </c>
      <c r="V494" s="262"/>
      <c r="W494" s="262"/>
      <c r="X494" s="262"/>
      <c r="Y494" s="262"/>
      <c r="Z494" s="85"/>
      <c r="AA494" s="85"/>
      <c r="AB494" s="85"/>
      <c r="AC494" s="85"/>
      <c r="AD494" s="85"/>
      <c r="AE494" s="85"/>
      <c r="AF494" s="85"/>
      <c r="AG494" s="85"/>
      <c r="AH494" s="85"/>
      <c r="AI494" s="85"/>
      <c r="AJ494" s="85"/>
      <c r="AK494" s="157"/>
      <c r="AL494" s="157"/>
      <c r="AM494" s="157"/>
      <c r="AN494" s="157"/>
      <c r="AO494" s="157"/>
      <c r="AP494" s="262"/>
      <c r="AQ494" s="262"/>
      <c r="AR494" s="262"/>
      <c r="AS494" s="262"/>
      <c r="AT494" s="262"/>
      <c r="AU494" s="262"/>
      <c r="AV494" s="262"/>
      <c r="AW494" s="262"/>
      <c r="AX494" s="262"/>
      <c r="AY494" s="262"/>
      <c r="AZ494" s="697"/>
      <c r="BA494" s="262"/>
      <c r="BB494" s="262"/>
      <c r="BC494" s="262"/>
      <c r="BD494" s="262"/>
      <c r="BE494" s="262"/>
      <c r="BF494" s="262"/>
      <c r="BG494" s="262"/>
      <c r="BH494" s="262"/>
      <c r="BI494" s="262"/>
      <c r="BJ494" s="697"/>
      <c r="BK494" s="262"/>
      <c r="BL494" s="697"/>
      <c r="BM494" s="262"/>
      <c r="BN494" s="697"/>
      <c r="BO494" s="262"/>
      <c r="BP494" s="697"/>
      <c r="BQ494" s="262"/>
      <c r="BR494" s="262"/>
      <c r="BS494" s="262"/>
      <c r="BT494" s="262"/>
      <c r="BU494" s="262"/>
      <c r="BV494" s="262"/>
      <c r="BW494" s="262"/>
      <c r="BX494" s="262"/>
      <c r="BY494" s="262"/>
      <c r="BZ494" s="262"/>
      <c r="CA494" s="262"/>
      <c r="CB494" s="262"/>
      <c r="CC494" s="262"/>
      <c r="CD494" s="262"/>
      <c r="CE494" s="262"/>
      <c r="CF494" s="262"/>
      <c r="CG494" s="717"/>
      <c r="CH494" s="262"/>
      <c r="CI494" s="262"/>
      <c r="CJ494" s="83" t="str">
        <f t="shared" si="120"/>
        <v>No aplica</v>
      </c>
      <c r="CK494" s="83" t="str">
        <f t="shared" si="119"/>
        <v>No aplica</v>
      </c>
      <c r="CL494" s="83" t="str">
        <f t="shared" si="114"/>
        <v>No requiere reporte</v>
      </c>
      <c r="CM494" s="89" t="str">
        <f t="shared" si="115"/>
        <v>No requiere reporte</v>
      </c>
      <c r="CN494" s="89" t="str">
        <f t="shared" si="116"/>
        <v>No requiere reporte</v>
      </c>
      <c r="CO494" s="735" t="s">
        <v>3949</v>
      </c>
      <c r="CP494" s="677" t="s">
        <v>3950</v>
      </c>
      <c r="CQ494" s="145" t="s">
        <v>3951</v>
      </c>
      <c r="CR494" s="693" t="s">
        <v>3952</v>
      </c>
      <c r="CS494" s="693" t="s">
        <v>3953</v>
      </c>
      <c r="CT494" s="145" t="s">
        <v>953</v>
      </c>
      <c r="CU494" s="714" t="s">
        <v>162</v>
      </c>
      <c r="CV494" s="291">
        <v>0</v>
      </c>
      <c r="CW494" s="145" t="s">
        <v>163</v>
      </c>
      <c r="CX494" s="695">
        <v>46023</v>
      </c>
      <c r="CY494" s="695">
        <v>46387</v>
      </c>
      <c r="CZ494" s="146">
        <v>1</v>
      </c>
      <c r="DA494" s="146">
        <v>1</v>
      </c>
      <c r="DB494" s="146">
        <v>1</v>
      </c>
      <c r="DC494" s="146">
        <v>1</v>
      </c>
      <c r="DD494" s="146">
        <v>1</v>
      </c>
      <c r="DE494" s="665" t="s">
        <v>2951</v>
      </c>
      <c r="DF494" s="665" t="s">
        <v>3947</v>
      </c>
      <c r="DG494" s="665" t="s">
        <v>3948</v>
      </c>
      <c r="DH494" s="696">
        <v>0</v>
      </c>
      <c r="DI494" s="717"/>
      <c r="DJ494" s="717"/>
      <c r="DK494" s="717"/>
      <c r="DL494" s="665" t="s">
        <v>279</v>
      </c>
      <c r="DM494" s="665" t="s">
        <v>3296</v>
      </c>
      <c r="DN494" s="218"/>
      <c r="DO494" s="716"/>
      <c r="DP494" s="665"/>
      <c r="DQ494" s="716"/>
      <c r="DR494" s="716"/>
      <c r="DS494" s="218"/>
      <c r="DT494" s="716"/>
      <c r="DU494" s="665"/>
      <c r="DV494" s="716"/>
      <c r="DW494" s="716"/>
      <c r="DX494" s="218"/>
      <c r="DY494" s="716"/>
      <c r="DZ494" s="665"/>
      <c r="EA494" s="716"/>
      <c r="EB494" s="716"/>
      <c r="EC494" s="665"/>
      <c r="ED494" s="665"/>
      <c r="EE494" s="665"/>
      <c r="EF494" s="665"/>
      <c r="EG494" s="665"/>
      <c r="EH494" s="146"/>
      <c r="EI494" s="170"/>
      <c r="EJ494" s="170"/>
      <c r="EK494" s="262"/>
      <c r="EL494" s="91" t="str">
        <f t="shared" si="117"/>
        <v>No se reportó avance</v>
      </c>
      <c r="EM494" s="83" t="str">
        <f t="shared" si="118"/>
        <v>No se reportó avance</v>
      </c>
      <c r="EN494" s="697"/>
    </row>
    <row r="495" spans="1:144" ht="50.1" customHeight="1">
      <c r="A495" s="203" t="s">
        <v>4671</v>
      </c>
      <c r="B495" s="505" t="s">
        <v>3272</v>
      </c>
      <c r="C495" s="75" t="s">
        <v>3273</v>
      </c>
      <c r="D495" s="75" t="s">
        <v>3274</v>
      </c>
      <c r="E495" s="75" t="s">
        <v>3275</v>
      </c>
      <c r="F495" s="98" t="s">
        <v>280</v>
      </c>
      <c r="G495" s="98" t="s">
        <v>280</v>
      </c>
      <c r="H495" s="98" t="s">
        <v>3954</v>
      </c>
      <c r="I495" s="74" t="s">
        <v>3955</v>
      </c>
      <c r="J495" s="203" t="s">
        <v>3277</v>
      </c>
      <c r="K495" s="203" t="s">
        <v>3278</v>
      </c>
      <c r="L495" s="260">
        <v>21</v>
      </c>
      <c r="M495" s="78" t="s">
        <v>3956</v>
      </c>
      <c r="N495" s="78" t="s">
        <v>3957</v>
      </c>
      <c r="O495" s="78" t="s">
        <v>3281</v>
      </c>
      <c r="P495" s="78" t="s">
        <v>1161</v>
      </c>
      <c r="Q495" s="255" t="s">
        <v>162</v>
      </c>
      <c r="R495" s="638">
        <v>0</v>
      </c>
      <c r="S495" s="78" t="s">
        <v>163</v>
      </c>
      <c r="T495" s="80">
        <v>44927</v>
      </c>
      <c r="U495" s="80">
        <v>46357</v>
      </c>
      <c r="V495" s="531"/>
      <c r="W495" s="531"/>
      <c r="X495" s="531"/>
      <c r="Y495" s="531"/>
      <c r="Z495" s="79">
        <v>1</v>
      </c>
      <c r="AA495" s="75">
        <v>1</v>
      </c>
      <c r="AB495" s="75">
        <v>1</v>
      </c>
      <c r="AC495" s="75">
        <v>1</v>
      </c>
      <c r="AD495" s="75">
        <v>1</v>
      </c>
      <c r="AE495" s="79">
        <v>1</v>
      </c>
      <c r="AF495" s="79">
        <v>1</v>
      </c>
      <c r="AG495" s="79">
        <v>1</v>
      </c>
      <c r="AH495" s="79">
        <v>1</v>
      </c>
      <c r="AI495" s="79">
        <v>1</v>
      </c>
      <c r="AJ495" s="79">
        <v>1</v>
      </c>
      <c r="AK495" s="142">
        <v>1</v>
      </c>
      <c r="AL495" s="142">
        <v>1</v>
      </c>
      <c r="AM495" s="142">
        <v>1</v>
      </c>
      <c r="AN495" s="142">
        <v>1</v>
      </c>
      <c r="AO495" s="142">
        <v>1</v>
      </c>
      <c r="AP495" s="79">
        <v>1</v>
      </c>
      <c r="AQ495" s="262"/>
      <c r="AR495" s="262"/>
      <c r="AS495" s="262"/>
      <c r="AT495" s="262"/>
      <c r="AU495" s="262"/>
      <c r="AV495" s="262"/>
      <c r="AW495" s="262"/>
      <c r="AX495" s="262"/>
      <c r="AY495" s="173" t="s">
        <v>201</v>
      </c>
      <c r="AZ495" s="692" t="s">
        <v>201</v>
      </c>
      <c r="BA495" s="173">
        <v>0</v>
      </c>
      <c r="BB495" s="170" t="s">
        <v>3958</v>
      </c>
      <c r="BC495" s="173">
        <f>+AW495/4</f>
        <v>0</v>
      </c>
      <c r="BD495" s="170" t="s">
        <v>3959</v>
      </c>
      <c r="BE495" s="173">
        <f>1/3</f>
        <v>0.33333333333333331</v>
      </c>
      <c r="BF495" s="170" t="s">
        <v>3960</v>
      </c>
      <c r="BG495" s="173">
        <v>0</v>
      </c>
      <c r="BH495" s="170" t="s">
        <v>3286</v>
      </c>
      <c r="BI495" s="173">
        <f>+(BA495+BC495+BE495+BG495)/4</f>
        <v>8.3333333333333329E-2</v>
      </c>
      <c r="BJ495" s="692"/>
      <c r="BK495" s="173">
        <v>0</v>
      </c>
      <c r="BL495" s="692" t="s">
        <v>3287</v>
      </c>
      <c r="BM495" s="173">
        <v>0</v>
      </c>
      <c r="BN495" s="692" t="s">
        <v>3287</v>
      </c>
      <c r="BO495" s="173">
        <v>0</v>
      </c>
      <c r="BP495" s="692" t="s">
        <v>3287</v>
      </c>
      <c r="BQ495" s="262"/>
      <c r="BR495" s="262"/>
      <c r="BS495" s="83"/>
      <c r="BT495" s="262"/>
      <c r="BU495" s="262"/>
      <c r="BV495" s="262"/>
      <c r="BW495" s="262"/>
      <c r="BX495" s="262"/>
      <c r="BY495" s="262"/>
      <c r="BZ495" s="262"/>
      <c r="CA495" s="262"/>
      <c r="CB495" s="262"/>
      <c r="CC495" s="262"/>
      <c r="CD495" s="262"/>
      <c r="CE495" s="157"/>
      <c r="CF495" s="262"/>
      <c r="CG495" s="713">
        <f>SUBTOTAL(9,DH495:DH497)</f>
        <v>0</v>
      </c>
      <c r="CH495" s="515"/>
      <c r="CI495" s="515"/>
      <c r="CJ495" s="83" t="str">
        <f t="shared" si="120"/>
        <v>No aplica</v>
      </c>
      <c r="CK495" s="83" t="str">
        <f t="shared" si="119"/>
        <v>No aplica</v>
      </c>
      <c r="CL495" s="83" t="str">
        <f t="shared" si="114"/>
        <v>No se reportó avance</v>
      </c>
      <c r="CM495" s="89" t="str">
        <f t="shared" si="115"/>
        <v>No se reportó avance</v>
      </c>
      <c r="CN495" s="89" t="str">
        <f t="shared" si="116"/>
        <v>No se reportó avance</v>
      </c>
      <c r="CO495" s="735" t="s">
        <v>3961</v>
      </c>
      <c r="CP495" s="677" t="s">
        <v>3962</v>
      </c>
      <c r="CQ495" s="145" t="s">
        <v>3963</v>
      </c>
      <c r="CR495" s="693" t="s">
        <v>3964</v>
      </c>
      <c r="CS495" s="693" t="s">
        <v>3965</v>
      </c>
      <c r="CT495" s="145" t="s">
        <v>953</v>
      </c>
      <c r="CU495" s="714" t="s">
        <v>162</v>
      </c>
      <c r="CV495" s="291">
        <v>0</v>
      </c>
      <c r="CW495" s="145" t="s">
        <v>163</v>
      </c>
      <c r="CX495" s="695">
        <v>46023</v>
      </c>
      <c r="CY495" s="695">
        <v>46387</v>
      </c>
      <c r="CZ495" s="146">
        <v>1</v>
      </c>
      <c r="DA495" s="146">
        <v>1</v>
      </c>
      <c r="DB495" s="146">
        <v>1</v>
      </c>
      <c r="DC495" s="146">
        <v>1</v>
      </c>
      <c r="DD495" s="146">
        <v>1</v>
      </c>
      <c r="DE495" s="665" t="s">
        <v>2951</v>
      </c>
      <c r="DF495" s="665" t="s">
        <v>3294</v>
      </c>
      <c r="DG495" s="665" t="s">
        <v>3295</v>
      </c>
      <c r="DH495" s="696">
        <v>0</v>
      </c>
      <c r="DI495" s="717"/>
      <c r="DJ495" s="717"/>
      <c r="DK495" s="717"/>
      <c r="DL495" s="665" t="s">
        <v>279</v>
      </c>
      <c r="DM495" s="665" t="s">
        <v>3296</v>
      </c>
      <c r="DN495" s="218"/>
      <c r="DO495" s="716"/>
      <c r="DP495" s="665"/>
      <c r="DQ495" s="716"/>
      <c r="DR495" s="716"/>
      <c r="DS495" s="218"/>
      <c r="DT495" s="716"/>
      <c r="DU495" s="665"/>
      <c r="DV495" s="716"/>
      <c r="DW495" s="716"/>
      <c r="DX495" s="218"/>
      <c r="DY495" s="716"/>
      <c r="DZ495" s="665"/>
      <c r="EA495" s="716"/>
      <c r="EB495" s="716"/>
      <c r="EC495" s="665"/>
      <c r="ED495" s="665"/>
      <c r="EE495" s="665"/>
      <c r="EF495" s="665"/>
      <c r="EG495" s="665"/>
      <c r="EH495" s="146"/>
      <c r="EI495" s="170"/>
      <c r="EJ495" s="170"/>
      <c r="EK495" s="262"/>
      <c r="EL495" s="91" t="str">
        <f t="shared" si="117"/>
        <v>No se reportó avance</v>
      </c>
      <c r="EM495" s="83" t="str">
        <f t="shared" si="118"/>
        <v>No se reportó avance</v>
      </c>
      <c r="EN495" s="697"/>
    </row>
    <row r="496" spans="1:144" ht="50.1" customHeight="1">
      <c r="A496" s="170" t="s">
        <v>4671</v>
      </c>
      <c r="B496" s="517" t="s">
        <v>3272</v>
      </c>
      <c r="C496" s="85" t="s">
        <v>3273</v>
      </c>
      <c r="D496" s="85" t="s">
        <v>3274</v>
      </c>
      <c r="E496" s="85" t="s">
        <v>3275</v>
      </c>
      <c r="F496" s="94" t="s">
        <v>280</v>
      </c>
      <c r="G496" s="94" t="s">
        <v>280</v>
      </c>
      <c r="H496" s="94" t="s">
        <v>3954</v>
      </c>
      <c r="I496" s="84" t="s">
        <v>3955</v>
      </c>
      <c r="J496" s="170" t="s">
        <v>3277</v>
      </c>
      <c r="K496" s="170" t="s">
        <v>3278</v>
      </c>
      <c r="L496" s="262">
        <v>21</v>
      </c>
      <c r="M496" s="84" t="s">
        <v>3956</v>
      </c>
      <c r="N496" s="84" t="s">
        <v>3957</v>
      </c>
      <c r="O496" s="84" t="s">
        <v>3281</v>
      </c>
      <c r="P496" s="84" t="s">
        <v>1161</v>
      </c>
      <c r="Q496" s="170" t="s">
        <v>162</v>
      </c>
      <c r="R496" s="84">
        <v>0</v>
      </c>
      <c r="S496" s="84" t="s">
        <v>163</v>
      </c>
      <c r="T496" s="90">
        <v>44927</v>
      </c>
      <c r="U496" s="90">
        <v>46357</v>
      </c>
      <c r="V496" s="262"/>
      <c r="W496" s="262"/>
      <c r="X496" s="262"/>
      <c r="Y496" s="262"/>
      <c r="Z496" s="85"/>
      <c r="AA496" s="85"/>
      <c r="AB496" s="85"/>
      <c r="AC496" s="85"/>
      <c r="AD496" s="85"/>
      <c r="AE496" s="85"/>
      <c r="AF496" s="85"/>
      <c r="AG496" s="85"/>
      <c r="AH496" s="85"/>
      <c r="AI496" s="85"/>
      <c r="AJ496" s="85"/>
      <c r="AK496" s="157"/>
      <c r="AL496" s="157"/>
      <c r="AM496" s="157"/>
      <c r="AN496" s="157"/>
      <c r="AO496" s="157"/>
      <c r="AP496" s="262"/>
      <c r="AQ496" s="262"/>
      <c r="AR496" s="262"/>
      <c r="AS496" s="262"/>
      <c r="AT496" s="262"/>
      <c r="AU496" s="262"/>
      <c r="AV496" s="262"/>
      <c r="AW496" s="262"/>
      <c r="AX496" s="262"/>
      <c r="AY496" s="262"/>
      <c r="AZ496" s="697"/>
      <c r="BA496" s="262"/>
      <c r="BB496" s="262"/>
      <c r="BC496" s="262"/>
      <c r="BD496" s="262"/>
      <c r="BE496" s="262"/>
      <c r="BF496" s="262"/>
      <c r="BG496" s="262"/>
      <c r="BH496" s="262"/>
      <c r="BI496" s="262"/>
      <c r="BJ496" s="697"/>
      <c r="BK496" s="262"/>
      <c r="BL496" s="697"/>
      <c r="BM496" s="262"/>
      <c r="BN496" s="697"/>
      <c r="BO496" s="262"/>
      <c r="BP496" s="697"/>
      <c r="BQ496" s="262"/>
      <c r="BR496" s="262"/>
      <c r="BS496" s="262"/>
      <c r="BT496" s="262"/>
      <c r="BU496" s="262"/>
      <c r="BV496" s="262"/>
      <c r="BW496" s="262"/>
      <c r="BX496" s="262"/>
      <c r="BY496" s="262"/>
      <c r="BZ496" s="262"/>
      <c r="CA496" s="262"/>
      <c r="CB496" s="262"/>
      <c r="CC496" s="262"/>
      <c r="CD496" s="262"/>
      <c r="CE496" s="262"/>
      <c r="CF496" s="262"/>
      <c r="CG496" s="717"/>
      <c r="CH496" s="262"/>
      <c r="CI496" s="262"/>
      <c r="CJ496" s="83" t="str">
        <f t="shared" si="120"/>
        <v>No aplica</v>
      </c>
      <c r="CK496" s="83" t="str">
        <f t="shared" si="119"/>
        <v>No aplica</v>
      </c>
      <c r="CL496" s="83" t="str">
        <f t="shared" si="114"/>
        <v>No requiere reporte</v>
      </c>
      <c r="CM496" s="89" t="str">
        <f t="shared" si="115"/>
        <v>No requiere reporte</v>
      </c>
      <c r="CN496" s="89" t="str">
        <f t="shared" si="116"/>
        <v>No requiere reporte</v>
      </c>
      <c r="CO496" s="735" t="s">
        <v>3966</v>
      </c>
      <c r="CP496" s="677" t="s">
        <v>3967</v>
      </c>
      <c r="CQ496" s="145" t="s">
        <v>3968</v>
      </c>
      <c r="CR496" s="693" t="s">
        <v>3969</v>
      </c>
      <c r="CS496" s="178" t="s">
        <v>3970</v>
      </c>
      <c r="CT496" s="145" t="s">
        <v>953</v>
      </c>
      <c r="CU496" s="714" t="s">
        <v>162</v>
      </c>
      <c r="CV496" s="291">
        <v>0</v>
      </c>
      <c r="CW496" s="145" t="s">
        <v>163</v>
      </c>
      <c r="CX496" s="695">
        <v>46023</v>
      </c>
      <c r="CY496" s="695">
        <v>46387</v>
      </c>
      <c r="CZ496" s="146">
        <v>1</v>
      </c>
      <c r="DA496" s="146">
        <v>1</v>
      </c>
      <c r="DB496" s="146">
        <v>1</v>
      </c>
      <c r="DC496" s="146">
        <v>1</v>
      </c>
      <c r="DD496" s="146">
        <v>1</v>
      </c>
      <c r="DE496" s="665" t="s">
        <v>2951</v>
      </c>
      <c r="DF496" s="665" t="s">
        <v>3294</v>
      </c>
      <c r="DG496" s="665" t="s">
        <v>3295</v>
      </c>
      <c r="DH496" s="696">
        <v>0</v>
      </c>
      <c r="DI496" s="717"/>
      <c r="DJ496" s="717"/>
      <c r="DK496" s="717"/>
      <c r="DL496" s="665" t="s">
        <v>279</v>
      </c>
      <c r="DM496" s="665" t="s">
        <v>3296</v>
      </c>
      <c r="DN496" s="218"/>
      <c r="DO496" s="716"/>
      <c r="DP496" s="665"/>
      <c r="DQ496" s="716"/>
      <c r="DR496" s="716"/>
      <c r="DS496" s="218"/>
      <c r="DT496" s="716"/>
      <c r="DU496" s="665"/>
      <c r="DV496" s="716"/>
      <c r="DW496" s="716"/>
      <c r="DX496" s="218"/>
      <c r="DY496" s="716"/>
      <c r="DZ496" s="665"/>
      <c r="EA496" s="716"/>
      <c r="EB496" s="716"/>
      <c r="EC496" s="665"/>
      <c r="ED496" s="665"/>
      <c r="EE496" s="665"/>
      <c r="EF496" s="665"/>
      <c r="EG496" s="665"/>
      <c r="EH496" s="146"/>
      <c r="EI496" s="170"/>
      <c r="EJ496" s="170"/>
      <c r="EK496" s="262"/>
      <c r="EL496" s="91" t="str">
        <f t="shared" si="117"/>
        <v>No se reportó avance</v>
      </c>
      <c r="EM496" s="83" t="str">
        <f t="shared" si="118"/>
        <v>No se reportó avance</v>
      </c>
      <c r="EN496" s="697"/>
    </row>
    <row r="497" spans="1:146" ht="50.1" customHeight="1">
      <c r="A497" s="170" t="s">
        <v>4671</v>
      </c>
      <c r="B497" s="517" t="s">
        <v>3272</v>
      </c>
      <c r="C497" s="85" t="s">
        <v>3273</v>
      </c>
      <c r="D497" s="85" t="s">
        <v>3274</v>
      </c>
      <c r="E497" s="85" t="s">
        <v>3275</v>
      </c>
      <c r="F497" s="94" t="s">
        <v>280</v>
      </c>
      <c r="G497" s="94" t="s">
        <v>280</v>
      </c>
      <c r="H497" s="94" t="s">
        <v>3954</v>
      </c>
      <c r="I497" s="84" t="s">
        <v>3955</v>
      </c>
      <c r="J497" s="170" t="s">
        <v>3277</v>
      </c>
      <c r="K497" s="170" t="s">
        <v>3278</v>
      </c>
      <c r="L497" s="262">
        <v>21</v>
      </c>
      <c r="M497" s="84" t="s">
        <v>3956</v>
      </c>
      <c r="N497" s="84" t="s">
        <v>3957</v>
      </c>
      <c r="O497" s="84" t="s">
        <v>3281</v>
      </c>
      <c r="P497" s="84" t="s">
        <v>1161</v>
      </c>
      <c r="Q497" s="170" t="s">
        <v>162</v>
      </c>
      <c r="R497" s="84">
        <v>0</v>
      </c>
      <c r="S497" s="84" t="s">
        <v>163</v>
      </c>
      <c r="T497" s="90">
        <v>44927</v>
      </c>
      <c r="U497" s="90">
        <v>46357</v>
      </c>
      <c r="V497" s="262"/>
      <c r="W497" s="262"/>
      <c r="X497" s="262"/>
      <c r="Y497" s="262"/>
      <c r="Z497" s="85"/>
      <c r="AA497" s="85"/>
      <c r="AB497" s="85"/>
      <c r="AC497" s="85"/>
      <c r="AD497" s="85"/>
      <c r="AE497" s="85"/>
      <c r="AF497" s="85"/>
      <c r="AG497" s="85"/>
      <c r="AH497" s="85"/>
      <c r="AI497" s="85"/>
      <c r="AJ497" s="85"/>
      <c r="AK497" s="157"/>
      <c r="AL497" s="157"/>
      <c r="AM497" s="157"/>
      <c r="AN497" s="157"/>
      <c r="AO497" s="157"/>
      <c r="AP497" s="262"/>
      <c r="AQ497" s="262"/>
      <c r="AR497" s="262"/>
      <c r="AS497" s="262"/>
      <c r="AT497" s="262"/>
      <c r="AU497" s="262"/>
      <c r="AV497" s="262"/>
      <c r="AW497" s="262"/>
      <c r="AX497" s="262"/>
      <c r="AY497" s="262"/>
      <c r="AZ497" s="697"/>
      <c r="BA497" s="262"/>
      <c r="BB497" s="262"/>
      <c r="BC497" s="262"/>
      <c r="BD497" s="262"/>
      <c r="BE497" s="262"/>
      <c r="BF497" s="262"/>
      <c r="BG497" s="262"/>
      <c r="BH497" s="262"/>
      <c r="BI497" s="262"/>
      <c r="BJ497" s="697"/>
      <c r="BK497" s="262"/>
      <c r="BL497" s="697"/>
      <c r="BM497" s="262"/>
      <c r="BN497" s="697"/>
      <c r="BO497" s="262"/>
      <c r="BP497" s="697"/>
      <c r="BQ497" s="262"/>
      <c r="BR497" s="262"/>
      <c r="BS497" s="262"/>
      <c r="BT497" s="262"/>
      <c r="BU497" s="262"/>
      <c r="BV497" s="262"/>
      <c r="BW497" s="262"/>
      <c r="BX497" s="262"/>
      <c r="BY497" s="262"/>
      <c r="BZ497" s="262"/>
      <c r="CA497" s="262"/>
      <c r="CB497" s="262"/>
      <c r="CC497" s="262"/>
      <c r="CD497" s="262"/>
      <c r="CE497" s="262"/>
      <c r="CF497" s="262"/>
      <c r="CG497" s="717"/>
      <c r="CH497" s="262"/>
      <c r="CI497" s="262"/>
      <c r="CJ497" s="83" t="str">
        <f t="shared" si="120"/>
        <v>No aplica</v>
      </c>
      <c r="CK497" s="83" t="str">
        <f t="shared" si="119"/>
        <v>No aplica</v>
      </c>
      <c r="CL497" s="83" t="str">
        <f t="shared" si="114"/>
        <v>No requiere reporte</v>
      </c>
      <c r="CM497" s="89" t="str">
        <f t="shared" si="115"/>
        <v>No requiere reporte</v>
      </c>
      <c r="CN497" s="89" t="str">
        <f t="shared" si="116"/>
        <v>No requiere reporte</v>
      </c>
      <c r="CO497" s="735" t="s">
        <v>3971</v>
      </c>
      <c r="CP497" s="677" t="s">
        <v>3972</v>
      </c>
      <c r="CQ497" s="145" t="s">
        <v>3973</v>
      </c>
      <c r="CR497" s="693" t="s">
        <v>3974</v>
      </c>
      <c r="CS497" s="178" t="s">
        <v>3975</v>
      </c>
      <c r="CT497" s="145" t="s">
        <v>953</v>
      </c>
      <c r="CU497" s="714" t="s">
        <v>162</v>
      </c>
      <c r="CV497" s="291">
        <v>0</v>
      </c>
      <c r="CW497" s="145" t="s">
        <v>163</v>
      </c>
      <c r="CX497" s="695">
        <v>46023</v>
      </c>
      <c r="CY497" s="695">
        <v>46387</v>
      </c>
      <c r="CZ497" s="146">
        <v>1</v>
      </c>
      <c r="DA497" s="146">
        <v>1</v>
      </c>
      <c r="DB497" s="146">
        <v>1</v>
      </c>
      <c r="DC497" s="146">
        <v>1</v>
      </c>
      <c r="DD497" s="146">
        <v>1</v>
      </c>
      <c r="DE497" s="665" t="s">
        <v>2951</v>
      </c>
      <c r="DF497" s="665" t="s">
        <v>3294</v>
      </c>
      <c r="DG497" s="665" t="s">
        <v>3295</v>
      </c>
      <c r="DH497" s="696">
        <v>0</v>
      </c>
      <c r="DI497" s="717"/>
      <c r="DJ497" s="717"/>
      <c r="DK497" s="717"/>
      <c r="DL497" s="665" t="s">
        <v>279</v>
      </c>
      <c r="DM497" s="665" t="s">
        <v>3296</v>
      </c>
      <c r="DN497" s="218"/>
      <c r="DO497" s="716"/>
      <c r="DP497" s="665"/>
      <c r="DQ497" s="716"/>
      <c r="DR497" s="716"/>
      <c r="DS497" s="218"/>
      <c r="DT497" s="716"/>
      <c r="DU497" s="665"/>
      <c r="DV497" s="716"/>
      <c r="DW497" s="716"/>
      <c r="DX497" s="218"/>
      <c r="DY497" s="716"/>
      <c r="DZ497" s="665"/>
      <c r="EA497" s="716"/>
      <c r="EB497" s="716"/>
      <c r="EC497" s="665"/>
      <c r="ED497" s="665"/>
      <c r="EE497" s="665"/>
      <c r="EF497" s="665"/>
      <c r="EG497" s="665"/>
      <c r="EH497" s="146"/>
      <c r="EI497" s="170"/>
      <c r="EJ497" s="170"/>
      <c r="EK497" s="262"/>
      <c r="EL497" s="91" t="str">
        <f t="shared" si="117"/>
        <v>No se reportó avance</v>
      </c>
      <c r="EM497" s="83" t="str">
        <f t="shared" si="118"/>
        <v>No se reportó avance</v>
      </c>
      <c r="EN497" s="697"/>
    </row>
    <row r="498" spans="1:146" ht="50.1" customHeight="1">
      <c r="A498" s="203" t="s">
        <v>4671</v>
      </c>
      <c r="B498" s="505" t="s">
        <v>3272</v>
      </c>
      <c r="C498" s="75" t="s">
        <v>3273</v>
      </c>
      <c r="D498" s="75" t="s">
        <v>3274</v>
      </c>
      <c r="E498" s="75" t="s">
        <v>3275</v>
      </c>
      <c r="F498" s="98" t="s">
        <v>280</v>
      </c>
      <c r="G498" s="98" t="s">
        <v>280</v>
      </c>
      <c r="H498" s="74" t="s">
        <v>3976</v>
      </c>
      <c r="I498" s="74" t="s">
        <v>3955</v>
      </c>
      <c r="J498" s="203" t="s">
        <v>3277</v>
      </c>
      <c r="K498" s="203" t="s">
        <v>3278</v>
      </c>
      <c r="L498" s="260">
        <v>22</v>
      </c>
      <c r="M498" s="78" t="s">
        <v>3977</v>
      </c>
      <c r="N498" s="77" t="s">
        <v>3978</v>
      </c>
      <c r="O498" s="78" t="s">
        <v>3281</v>
      </c>
      <c r="P498" s="78" t="s">
        <v>1161</v>
      </c>
      <c r="Q498" s="255" t="s">
        <v>162</v>
      </c>
      <c r="R498" s="638">
        <v>0</v>
      </c>
      <c r="S498" s="78" t="s">
        <v>163</v>
      </c>
      <c r="T498" s="80">
        <v>44927</v>
      </c>
      <c r="U498" s="80">
        <v>46357</v>
      </c>
      <c r="V498" s="531"/>
      <c r="W498" s="531"/>
      <c r="X498" s="531"/>
      <c r="Y498" s="531"/>
      <c r="Z498" s="79">
        <v>1</v>
      </c>
      <c r="AA498" s="75">
        <v>1</v>
      </c>
      <c r="AB498" s="75">
        <v>1</v>
      </c>
      <c r="AC498" s="75">
        <v>1</v>
      </c>
      <c r="AD498" s="75">
        <v>1</v>
      </c>
      <c r="AE498" s="79">
        <v>1</v>
      </c>
      <c r="AF498" s="79">
        <v>1</v>
      </c>
      <c r="AG498" s="79">
        <v>1</v>
      </c>
      <c r="AH498" s="79">
        <v>1</v>
      </c>
      <c r="AI498" s="79">
        <v>1</v>
      </c>
      <c r="AJ498" s="79">
        <v>1</v>
      </c>
      <c r="AK498" s="142">
        <v>1</v>
      </c>
      <c r="AL498" s="142">
        <v>1</v>
      </c>
      <c r="AM498" s="142">
        <v>1</v>
      </c>
      <c r="AN498" s="142">
        <v>1</v>
      </c>
      <c r="AO498" s="142">
        <v>1</v>
      </c>
      <c r="AP498" s="79">
        <v>1</v>
      </c>
      <c r="AQ498" s="262"/>
      <c r="AR498" s="262"/>
      <c r="AS498" s="262"/>
      <c r="AT498" s="262"/>
      <c r="AU498" s="262"/>
      <c r="AV498" s="262"/>
      <c r="AW498" s="262"/>
      <c r="AX498" s="262"/>
      <c r="AY498" s="173" t="s">
        <v>201</v>
      </c>
      <c r="AZ498" s="692" t="s">
        <v>201</v>
      </c>
      <c r="BA498" s="173">
        <f>1/1</f>
        <v>1</v>
      </c>
      <c r="BB498" s="170" t="s">
        <v>3979</v>
      </c>
      <c r="BC498" s="173">
        <f>3/4</f>
        <v>0.75</v>
      </c>
      <c r="BD498" s="170" t="s">
        <v>3980</v>
      </c>
      <c r="BE498" s="173">
        <f>4/4</f>
        <v>1</v>
      </c>
      <c r="BF498" s="170" t="s">
        <v>3981</v>
      </c>
      <c r="BG498" s="173">
        <v>0</v>
      </c>
      <c r="BH498" s="170" t="s">
        <v>3286</v>
      </c>
      <c r="BI498" s="173">
        <f>+(BA498+BC498+BE498+BG498)/4</f>
        <v>0.6875</v>
      </c>
      <c r="BJ498" s="692"/>
      <c r="BK498" s="173">
        <v>0</v>
      </c>
      <c r="BL498" s="692" t="s">
        <v>3287</v>
      </c>
      <c r="BM498" s="173">
        <v>0.33300000000000002</v>
      </c>
      <c r="BN498" s="692" t="s">
        <v>3982</v>
      </c>
      <c r="BO498" s="173">
        <v>0</v>
      </c>
      <c r="BP498" s="692" t="s">
        <v>3287</v>
      </c>
      <c r="BQ498" s="262"/>
      <c r="BR498" s="262"/>
      <c r="BS498" s="83"/>
      <c r="BT498" s="262"/>
      <c r="BU498" s="262"/>
      <c r="BV498" s="262"/>
      <c r="BW498" s="262"/>
      <c r="BX498" s="262"/>
      <c r="BY498" s="262"/>
      <c r="BZ498" s="262"/>
      <c r="CA498" s="262"/>
      <c r="CB498" s="262"/>
      <c r="CC498" s="262"/>
      <c r="CD498" s="262"/>
      <c r="CE498" s="157"/>
      <c r="CF498" s="262"/>
      <c r="CG498" s="713">
        <f>SUBTOTAL(9,DH498:DH503)</f>
        <v>0</v>
      </c>
      <c r="CH498" s="515"/>
      <c r="CI498" s="515"/>
      <c r="CJ498" s="83" t="str">
        <f t="shared" si="120"/>
        <v>No aplica</v>
      </c>
      <c r="CK498" s="83" t="str">
        <f t="shared" si="119"/>
        <v>No aplica</v>
      </c>
      <c r="CL498" s="83" t="str">
        <f t="shared" si="114"/>
        <v>No se reportó avance</v>
      </c>
      <c r="CM498" s="89" t="str">
        <f t="shared" si="115"/>
        <v>No se reportó avance</v>
      </c>
      <c r="CN498" s="89" t="str">
        <f t="shared" si="116"/>
        <v>No se reportó avance</v>
      </c>
      <c r="CO498" s="735" t="s">
        <v>3983</v>
      </c>
      <c r="CP498" s="677" t="s">
        <v>3984</v>
      </c>
      <c r="CQ498" s="693" t="s">
        <v>3985</v>
      </c>
      <c r="CR498" s="693" t="s">
        <v>3986</v>
      </c>
      <c r="CS498" s="694" t="s">
        <v>3987</v>
      </c>
      <c r="CT498" s="145" t="s">
        <v>953</v>
      </c>
      <c r="CU498" s="714" t="s">
        <v>162</v>
      </c>
      <c r="CV498" s="291">
        <v>0</v>
      </c>
      <c r="CW498" s="145" t="s">
        <v>163</v>
      </c>
      <c r="CX498" s="695">
        <v>46023</v>
      </c>
      <c r="CY498" s="695">
        <v>46387</v>
      </c>
      <c r="CZ498" s="736">
        <v>0</v>
      </c>
      <c r="DA498" s="146">
        <v>1</v>
      </c>
      <c r="DB498" s="146">
        <v>1</v>
      </c>
      <c r="DC498" s="146">
        <v>1</v>
      </c>
      <c r="DD498" s="146">
        <v>1</v>
      </c>
      <c r="DE498" s="665" t="s">
        <v>2951</v>
      </c>
      <c r="DF498" s="665" t="s">
        <v>3294</v>
      </c>
      <c r="DG498" s="665" t="s">
        <v>3295</v>
      </c>
      <c r="DH498" s="696">
        <v>0</v>
      </c>
      <c r="DI498" s="717"/>
      <c r="DJ498" s="717"/>
      <c r="DK498" s="717"/>
      <c r="DL498" s="665" t="s">
        <v>279</v>
      </c>
      <c r="DM498" s="665" t="s">
        <v>3296</v>
      </c>
      <c r="DN498" s="218"/>
      <c r="DO498" s="716"/>
      <c r="DP498" s="665"/>
      <c r="DQ498" s="716"/>
      <c r="DR498" s="716"/>
      <c r="DS498" s="218"/>
      <c r="DT498" s="716"/>
      <c r="DU498" s="665"/>
      <c r="DV498" s="716"/>
      <c r="DW498" s="716"/>
      <c r="DX498" s="218"/>
      <c r="DY498" s="716"/>
      <c r="DZ498" s="665"/>
      <c r="EA498" s="716"/>
      <c r="EB498" s="716"/>
      <c r="EC498" s="665"/>
      <c r="ED498" s="665"/>
      <c r="EE498" s="665"/>
      <c r="EF498" s="665"/>
      <c r="EG498" s="665"/>
      <c r="EH498" s="666"/>
      <c r="EI498" s="170"/>
      <c r="EJ498" s="170"/>
      <c r="EK498" s="262"/>
      <c r="EL498" s="91" t="str">
        <f t="shared" si="117"/>
        <v>No aplica, no hay meta</v>
      </c>
      <c r="EM498" s="83" t="str">
        <f t="shared" si="118"/>
        <v>No se reportó avance</v>
      </c>
      <c r="EN498" s="697"/>
    </row>
    <row r="499" spans="1:146" ht="50.1" customHeight="1">
      <c r="A499" s="170" t="s">
        <v>4671</v>
      </c>
      <c r="B499" s="517" t="s">
        <v>3272</v>
      </c>
      <c r="C499" s="85" t="s">
        <v>3273</v>
      </c>
      <c r="D499" s="85" t="s">
        <v>3274</v>
      </c>
      <c r="E499" s="85" t="s">
        <v>3275</v>
      </c>
      <c r="F499" s="94" t="s">
        <v>280</v>
      </c>
      <c r="G499" s="94" t="s">
        <v>280</v>
      </c>
      <c r="H499" s="84" t="s">
        <v>3976</v>
      </c>
      <c r="I499" s="84" t="s">
        <v>3955</v>
      </c>
      <c r="J499" s="170" t="s">
        <v>3277</v>
      </c>
      <c r="K499" s="170" t="s">
        <v>3278</v>
      </c>
      <c r="L499" s="262">
        <v>22</v>
      </c>
      <c r="M499" s="84" t="s">
        <v>3977</v>
      </c>
      <c r="N499" s="94" t="s">
        <v>3978</v>
      </c>
      <c r="O499" s="84" t="s">
        <v>3281</v>
      </c>
      <c r="P499" s="84" t="s">
        <v>1161</v>
      </c>
      <c r="Q499" s="170" t="s">
        <v>162</v>
      </c>
      <c r="R499" s="84">
        <v>0</v>
      </c>
      <c r="S499" s="84" t="s">
        <v>163</v>
      </c>
      <c r="T499" s="90">
        <v>44927</v>
      </c>
      <c r="U499" s="90">
        <v>46357</v>
      </c>
      <c r="V499" s="262"/>
      <c r="W499" s="262"/>
      <c r="X499" s="262"/>
      <c r="Y499" s="262"/>
      <c r="Z499" s="85"/>
      <c r="AA499" s="85"/>
      <c r="AB499" s="85"/>
      <c r="AC499" s="85"/>
      <c r="AD499" s="85"/>
      <c r="AE499" s="85"/>
      <c r="AF499" s="85"/>
      <c r="AG499" s="85"/>
      <c r="AH499" s="85"/>
      <c r="AI499" s="85"/>
      <c r="AJ499" s="85"/>
      <c r="AK499" s="157"/>
      <c r="AL499" s="157"/>
      <c r="AM499" s="157"/>
      <c r="AN499" s="157"/>
      <c r="AO499" s="157"/>
      <c r="AP499" s="262"/>
      <c r="AQ499" s="262"/>
      <c r="AR499" s="262"/>
      <c r="AS499" s="262"/>
      <c r="AT499" s="262"/>
      <c r="AU499" s="262"/>
      <c r="AV499" s="262"/>
      <c r="AW499" s="262"/>
      <c r="AX499" s="262"/>
      <c r="AY499" s="262"/>
      <c r="AZ499" s="697"/>
      <c r="BA499" s="262"/>
      <c r="BB499" s="262"/>
      <c r="BC499" s="262"/>
      <c r="BD499" s="262"/>
      <c r="BE499" s="262"/>
      <c r="BF499" s="262"/>
      <c r="BG499" s="262"/>
      <c r="BH499" s="262"/>
      <c r="BI499" s="262"/>
      <c r="BJ499" s="697"/>
      <c r="BK499" s="262"/>
      <c r="BL499" s="697"/>
      <c r="BM499" s="262"/>
      <c r="BN499" s="697"/>
      <c r="BO499" s="262"/>
      <c r="BP499" s="697"/>
      <c r="BQ499" s="262"/>
      <c r="BR499" s="262"/>
      <c r="BS499" s="262"/>
      <c r="BT499" s="262"/>
      <c r="BU499" s="262"/>
      <c r="BV499" s="262"/>
      <c r="BW499" s="262"/>
      <c r="BX499" s="262"/>
      <c r="BY499" s="262"/>
      <c r="BZ499" s="262"/>
      <c r="CA499" s="262"/>
      <c r="CB499" s="262"/>
      <c r="CC499" s="262"/>
      <c r="CD499" s="262"/>
      <c r="CE499" s="262"/>
      <c r="CF499" s="262"/>
      <c r="CG499" s="717"/>
      <c r="CH499" s="262"/>
      <c r="CI499" s="262"/>
      <c r="CJ499" s="83" t="str">
        <f t="shared" si="120"/>
        <v>No aplica</v>
      </c>
      <c r="CK499" s="83" t="str">
        <f t="shared" si="119"/>
        <v>No aplica</v>
      </c>
      <c r="CL499" s="83" t="str">
        <f t="shared" si="114"/>
        <v>No requiere reporte</v>
      </c>
      <c r="CM499" s="89" t="str">
        <f t="shared" si="115"/>
        <v>No requiere reporte</v>
      </c>
      <c r="CN499" s="89" t="str">
        <f t="shared" si="116"/>
        <v>No requiere reporte</v>
      </c>
      <c r="CO499" s="735" t="s">
        <v>3988</v>
      </c>
      <c r="CP499" s="734" t="s">
        <v>3989</v>
      </c>
      <c r="CQ499" s="694" t="s">
        <v>3990</v>
      </c>
      <c r="CR499" s="694" t="s">
        <v>3991</v>
      </c>
      <c r="CS499" s="694" t="s">
        <v>3992</v>
      </c>
      <c r="CT499" s="178" t="s">
        <v>953</v>
      </c>
      <c r="CU499" s="714" t="s">
        <v>162</v>
      </c>
      <c r="CV499" s="291">
        <v>0</v>
      </c>
      <c r="CW499" s="178" t="s">
        <v>163</v>
      </c>
      <c r="CX499" s="695">
        <v>46023</v>
      </c>
      <c r="CY499" s="695">
        <v>46387</v>
      </c>
      <c r="CZ499" s="736">
        <v>0</v>
      </c>
      <c r="DA499" s="146">
        <v>1</v>
      </c>
      <c r="DB499" s="146">
        <v>1</v>
      </c>
      <c r="DC499" s="146">
        <v>1</v>
      </c>
      <c r="DD499" s="146">
        <v>1</v>
      </c>
      <c r="DE499" s="665" t="s">
        <v>2951</v>
      </c>
      <c r="DF499" s="665" t="s">
        <v>3294</v>
      </c>
      <c r="DG499" s="665" t="s">
        <v>3295</v>
      </c>
      <c r="DH499" s="696">
        <v>0</v>
      </c>
      <c r="DI499" s="717"/>
      <c r="DJ499" s="717"/>
      <c r="DK499" s="717"/>
      <c r="DL499" s="665" t="s">
        <v>279</v>
      </c>
      <c r="DM499" s="665" t="s">
        <v>3296</v>
      </c>
      <c r="DN499" s="218"/>
      <c r="DO499" s="716"/>
      <c r="DP499" s="665"/>
      <c r="DQ499" s="716"/>
      <c r="DR499" s="716"/>
      <c r="DS499" s="218"/>
      <c r="DT499" s="716"/>
      <c r="DU499" s="665"/>
      <c r="DV499" s="716"/>
      <c r="DW499" s="716"/>
      <c r="DX499" s="218"/>
      <c r="DY499" s="218"/>
      <c r="DZ499" s="665"/>
      <c r="EA499" s="665"/>
      <c r="EB499" s="716"/>
      <c r="EC499" s="665"/>
      <c r="ED499" s="665"/>
      <c r="EE499" s="665"/>
      <c r="EF499" s="665"/>
      <c r="EG499" s="665"/>
      <c r="EH499" s="666"/>
      <c r="EI499" s="170"/>
      <c r="EJ499" s="170"/>
      <c r="EK499" s="262"/>
      <c r="EL499" s="91" t="str">
        <f t="shared" si="117"/>
        <v>No aplica, no hay meta</v>
      </c>
      <c r="EM499" s="83" t="str">
        <f t="shared" si="118"/>
        <v>No se reportó avance</v>
      </c>
      <c r="EN499" s="697"/>
    </row>
    <row r="500" spans="1:146" ht="50.1" customHeight="1">
      <c r="A500" s="170" t="s">
        <v>4671</v>
      </c>
      <c r="B500" s="517" t="s">
        <v>3272</v>
      </c>
      <c r="C500" s="85" t="s">
        <v>3273</v>
      </c>
      <c r="D500" s="85" t="s">
        <v>3274</v>
      </c>
      <c r="E500" s="85" t="s">
        <v>3275</v>
      </c>
      <c r="F500" s="94" t="s">
        <v>280</v>
      </c>
      <c r="G500" s="94" t="s">
        <v>280</v>
      </c>
      <c r="H500" s="84" t="s">
        <v>3976</v>
      </c>
      <c r="I500" s="84" t="s">
        <v>3955</v>
      </c>
      <c r="J500" s="170" t="s">
        <v>3277</v>
      </c>
      <c r="K500" s="170" t="s">
        <v>3278</v>
      </c>
      <c r="L500" s="262">
        <v>22</v>
      </c>
      <c r="M500" s="84" t="s">
        <v>3977</v>
      </c>
      <c r="N500" s="94" t="s">
        <v>3978</v>
      </c>
      <c r="O500" s="84" t="s">
        <v>3281</v>
      </c>
      <c r="P500" s="84" t="s">
        <v>1161</v>
      </c>
      <c r="Q500" s="170" t="s">
        <v>162</v>
      </c>
      <c r="R500" s="84">
        <v>0</v>
      </c>
      <c r="S500" s="84" t="s">
        <v>163</v>
      </c>
      <c r="T500" s="90">
        <v>44927</v>
      </c>
      <c r="U500" s="90">
        <v>46357</v>
      </c>
      <c r="V500" s="262"/>
      <c r="W500" s="262"/>
      <c r="X500" s="262"/>
      <c r="Y500" s="262"/>
      <c r="Z500" s="85"/>
      <c r="AA500" s="85"/>
      <c r="AB500" s="85"/>
      <c r="AC500" s="85"/>
      <c r="AD500" s="85"/>
      <c r="AE500" s="85"/>
      <c r="AF500" s="85"/>
      <c r="AG500" s="85"/>
      <c r="AH500" s="85"/>
      <c r="AI500" s="85"/>
      <c r="AJ500" s="85"/>
      <c r="AK500" s="157"/>
      <c r="AL500" s="157"/>
      <c r="AM500" s="157"/>
      <c r="AN500" s="157"/>
      <c r="AO500" s="157"/>
      <c r="AP500" s="262"/>
      <c r="AQ500" s="262"/>
      <c r="AR500" s="262"/>
      <c r="AS500" s="262"/>
      <c r="AT500" s="262"/>
      <c r="AU500" s="262"/>
      <c r="AV500" s="262"/>
      <c r="AW500" s="262"/>
      <c r="AX500" s="262"/>
      <c r="AY500" s="262"/>
      <c r="AZ500" s="697"/>
      <c r="BA500" s="262"/>
      <c r="BB500" s="262"/>
      <c r="BC500" s="262"/>
      <c r="BD500" s="262"/>
      <c r="BE500" s="262"/>
      <c r="BF500" s="262"/>
      <c r="BG500" s="262"/>
      <c r="BH500" s="262"/>
      <c r="BI500" s="262"/>
      <c r="BJ500" s="697"/>
      <c r="BK500" s="262"/>
      <c r="BL500" s="697"/>
      <c r="BM500" s="262"/>
      <c r="BN500" s="697"/>
      <c r="BO500" s="262"/>
      <c r="BP500" s="697"/>
      <c r="BQ500" s="262"/>
      <c r="BR500" s="262"/>
      <c r="BS500" s="262"/>
      <c r="BT500" s="262"/>
      <c r="BU500" s="262"/>
      <c r="BV500" s="262"/>
      <c r="BW500" s="262"/>
      <c r="BX500" s="262"/>
      <c r="BY500" s="262"/>
      <c r="BZ500" s="262"/>
      <c r="CA500" s="262"/>
      <c r="CB500" s="262"/>
      <c r="CC500" s="262"/>
      <c r="CD500" s="262"/>
      <c r="CE500" s="262"/>
      <c r="CF500" s="262"/>
      <c r="CG500" s="717"/>
      <c r="CH500" s="262"/>
      <c r="CI500" s="262"/>
      <c r="CJ500" s="83" t="str">
        <f t="shared" si="120"/>
        <v>No aplica</v>
      </c>
      <c r="CK500" s="83" t="str">
        <f t="shared" si="119"/>
        <v>No aplica</v>
      </c>
      <c r="CL500" s="83" t="str">
        <f t="shared" si="114"/>
        <v>No requiere reporte</v>
      </c>
      <c r="CM500" s="89" t="str">
        <f t="shared" si="115"/>
        <v>No requiere reporte</v>
      </c>
      <c r="CN500" s="89" t="str">
        <f t="shared" si="116"/>
        <v>No requiere reporte</v>
      </c>
      <c r="CO500" s="735" t="s">
        <v>3993</v>
      </c>
      <c r="CP500" s="734" t="s">
        <v>3994</v>
      </c>
      <c r="CQ500" s="694" t="s">
        <v>3995</v>
      </c>
      <c r="CR500" s="694" t="s">
        <v>3996</v>
      </c>
      <c r="CS500" s="694" t="s">
        <v>3997</v>
      </c>
      <c r="CT500" s="178" t="s">
        <v>953</v>
      </c>
      <c r="CU500" s="714" t="s">
        <v>162</v>
      </c>
      <c r="CV500" s="291">
        <v>0</v>
      </c>
      <c r="CW500" s="178" t="s">
        <v>163</v>
      </c>
      <c r="CX500" s="695">
        <v>46023</v>
      </c>
      <c r="CY500" s="695">
        <v>46387</v>
      </c>
      <c r="CZ500" s="736">
        <v>0</v>
      </c>
      <c r="DA500" s="146">
        <v>1</v>
      </c>
      <c r="DB500" s="146">
        <v>1</v>
      </c>
      <c r="DC500" s="146">
        <v>1</v>
      </c>
      <c r="DD500" s="146">
        <v>1</v>
      </c>
      <c r="DE500" s="665" t="s">
        <v>2951</v>
      </c>
      <c r="DF500" s="665" t="s">
        <v>3294</v>
      </c>
      <c r="DG500" s="665" t="s">
        <v>3295</v>
      </c>
      <c r="DH500" s="696">
        <v>0</v>
      </c>
      <c r="DI500" s="717"/>
      <c r="DJ500" s="717"/>
      <c r="DK500" s="717"/>
      <c r="DL500" s="665" t="s">
        <v>279</v>
      </c>
      <c r="DM500" s="665" t="s">
        <v>3296</v>
      </c>
      <c r="DN500" s="218"/>
      <c r="DO500" s="716"/>
      <c r="DP500" s="665"/>
      <c r="DQ500" s="716"/>
      <c r="DR500" s="716"/>
      <c r="DS500" s="218"/>
      <c r="DT500" s="716"/>
      <c r="DU500" s="665"/>
      <c r="DV500" s="716"/>
      <c r="DW500" s="716"/>
      <c r="DX500" s="218"/>
      <c r="DY500" s="218"/>
      <c r="DZ500" s="665"/>
      <c r="EA500" s="665"/>
      <c r="EB500" s="716"/>
      <c r="EC500" s="665"/>
      <c r="ED500" s="665"/>
      <c r="EE500" s="665"/>
      <c r="EF500" s="665"/>
      <c r="EG500" s="665"/>
      <c r="EH500" s="666"/>
      <c r="EI500" s="170"/>
      <c r="EJ500" s="170"/>
      <c r="EK500" s="262"/>
      <c r="EL500" s="91" t="str">
        <f t="shared" si="117"/>
        <v>No aplica, no hay meta</v>
      </c>
      <c r="EM500" s="83" t="str">
        <f t="shared" si="118"/>
        <v>No se reportó avance</v>
      </c>
      <c r="EN500" s="697"/>
    </row>
    <row r="501" spans="1:146" ht="50.1" customHeight="1">
      <c r="A501" s="170" t="s">
        <v>4671</v>
      </c>
      <c r="B501" s="517" t="s">
        <v>3272</v>
      </c>
      <c r="C501" s="85" t="s">
        <v>3273</v>
      </c>
      <c r="D501" s="85" t="s">
        <v>3274</v>
      </c>
      <c r="E501" s="85" t="s">
        <v>3275</v>
      </c>
      <c r="F501" s="94" t="s">
        <v>280</v>
      </c>
      <c r="G501" s="94" t="s">
        <v>280</v>
      </c>
      <c r="H501" s="84" t="s">
        <v>3976</v>
      </c>
      <c r="I501" s="84" t="s">
        <v>3955</v>
      </c>
      <c r="J501" s="170" t="s">
        <v>3277</v>
      </c>
      <c r="K501" s="170" t="s">
        <v>3278</v>
      </c>
      <c r="L501" s="262">
        <v>22</v>
      </c>
      <c r="M501" s="84" t="s">
        <v>3977</v>
      </c>
      <c r="N501" s="94" t="s">
        <v>3978</v>
      </c>
      <c r="O501" s="84" t="s">
        <v>3281</v>
      </c>
      <c r="P501" s="84" t="s">
        <v>1161</v>
      </c>
      <c r="Q501" s="170" t="s">
        <v>162</v>
      </c>
      <c r="R501" s="84">
        <v>0</v>
      </c>
      <c r="S501" s="84" t="s">
        <v>163</v>
      </c>
      <c r="T501" s="90">
        <v>44927</v>
      </c>
      <c r="U501" s="90">
        <v>46357</v>
      </c>
      <c r="V501" s="262"/>
      <c r="W501" s="262"/>
      <c r="X501" s="262"/>
      <c r="Y501" s="262"/>
      <c r="Z501" s="85"/>
      <c r="AA501" s="85"/>
      <c r="AB501" s="85"/>
      <c r="AC501" s="85"/>
      <c r="AD501" s="85"/>
      <c r="AE501" s="85"/>
      <c r="AF501" s="85"/>
      <c r="AG501" s="85"/>
      <c r="AH501" s="85"/>
      <c r="AI501" s="85"/>
      <c r="AJ501" s="85"/>
      <c r="AK501" s="157"/>
      <c r="AL501" s="157"/>
      <c r="AM501" s="157"/>
      <c r="AN501" s="157"/>
      <c r="AO501" s="157"/>
      <c r="AP501" s="262"/>
      <c r="AQ501" s="262"/>
      <c r="AR501" s="262"/>
      <c r="AS501" s="262"/>
      <c r="AT501" s="262"/>
      <c r="AU501" s="262"/>
      <c r="AV501" s="262"/>
      <c r="AW501" s="262"/>
      <c r="AX501" s="262"/>
      <c r="AY501" s="262"/>
      <c r="AZ501" s="697"/>
      <c r="BA501" s="262"/>
      <c r="BB501" s="262"/>
      <c r="BC501" s="262"/>
      <c r="BD501" s="262"/>
      <c r="BE501" s="262"/>
      <c r="BF501" s="262"/>
      <c r="BG501" s="262"/>
      <c r="BH501" s="262"/>
      <c r="BI501" s="262"/>
      <c r="BJ501" s="697"/>
      <c r="BK501" s="262"/>
      <c r="BL501" s="697"/>
      <c r="BM501" s="262"/>
      <c r="BN501" s="697"/>
      <c r="BO501" s="262"/>
      <c r="BP501" s="697"/>
      <c r="BQ501" s="262"/>
      <c r="BR501" s="262"/>
      <c r="BS501" s="262"/>
      <c r="BT501" s="262"/>
      <c r="BU501" s="262"/>
      <c r="BV501" s="262"/>
      <c r="BW501" s="262"/>
      <c r="BX501" s="262"/>
      <c r="BY501" s="262"/>
      <c r="BZ501" s="262"/>
      <c r="CA501" s="262"/>
      <c r="CB501" s="262"/>
      <c r="CC501" s="262"/>
      <c r="CD501" s="262"/>
      <c r="CE501" s="262"/>
      <c r="CF501" s="262"/>
      <c r="CG501" s="717"/>
      <c r="CH501" s="262"/>
      <c r="CI501" s="262"/>
      <c r="CJ501" s="83" t="str">
        <f t="shared" si="120"/>
        <v>No aplica</v>
      </c>
      <c r="CK501" s="83" t="str">
        <f t="shared" si="119"/>
        <v>No aplica</v>
      </c>
      <c r="CL501" s="83" t="str">
        <f t="shared" si="114"/>
        <v>No requiere reporte</v>
      </c>
      <c r="CM501" s="89" t="str">
        <f t="shared" si="115"/>
        <v>No requiere reporte</v>
      </c>
      <c r="CN501" s="89" t="str">
        <f t="shared" si="116"/>
        <v>No requiere reporte</v>
      </c>
      <c r="CO501" s="735" t="s">
        <v>3998</v>
      </c>
      <c r="CP501" s="734" t="s">
        <v>3999</v>
      </c>
      <c r="CQ501" s="694" t="s">
        <v>4000</v>
      </c>
      <c r="CR501" s="694" t="s">
        <v>4001</v>
      </c>
      <c r="CS501" s="694" t="s">
        <v>4002</v>
      </c>
      <c r="CT501" s="178" t="s">
        <v>953</v>
      </c>
      <c r="CU501" s="714" t="s">
        <v>162</v>
      </c>
      <c r="CV501" s="291">
        <v>0</v>
      </c>
      <c r="CW501" s="178" t="s">
        <v>163</v>
      </c>
      <c r="CX501" s="695">
        <v>46023</v>
      </c>
      <c r="CY501" s="695">
        <v>46387</v>
      </c>
      <c r="CZ501" s="736">
        <v>0</v>
      </c>
      <c r="DA501" s="146">
        <v>1</v>
      </c>
      <c r="DB501" s="146">
        <v>1</v>
      </c>
      <c r="DC501" s="146">
        <v>1</v>
      </c>
      <c r="DD501" s="146">
        <v>1</v>
      </c>
      <c r="DE501" s="665" t="s">
        <v>2951</v>
      </c>
      <c r="DF501" s="665" t="s">
        <v>3294</v>
      </c>
      <c r="DG501" s="665" t="s">
        <v>3295</v>
      </c>
      <c r="DH501" s="696">
        <v>0</v>
      </c>
      <c r="DI501" s="717"/>
      <c r="DJ501" s="717"/>
      <c r="DK501" s="717"/>
      <c r="DL501" s="665" t="s">
        <v>279</v>
      </c>
      <c r="DM501" s="665" t="s">
        <v>3296</v>
      </c>
      <c r="DN501" s="218"/>
      <c r="DO501" s="716"/>
      <c r="DP501" s="665"/>
      <c r="DQ501" s="716"/>
      <c r="DR501" s="716"/>
      <c r="DS501" s="218"/>
      <c r="DT501" s="716"/>
      <c r="DU501" s="665"/>
      <c r="DV501" s="716"/>
      <c r="DW501" s="716"/>
      <c r="DX501" s="218"/>
      <c r="DY501" s="218"/>
      <c r="DZ501" s="665"/>
      <c r="EA501" s="665"/>
      <c r="EB501" s="716"/>
      <c r="EC501" s="665"/>
      <c r="ED501" s="665"/>
      <c r="EE501" s="665"/>
      <c r="EF501" s="665"/>
      <c r="EG501" s="665"/>
      <c r="EH501" s="666"/>
      <c r="EI501" s="170"/>
      <c r="EJ501" s="170"/>
      <c r="EK501" s="262"/>
      <c r="EL501" s="91" t="str">
        <f t="shared" si="117"/>
        <v>No aplica, no hay meta</v>
      </c>
      <c r="EM501" s="83" t="str">
        <f t="shared" si="118"/>
        <v>No se reportó avance</v>
      </c>
      <c r="EN501" s="697"/>
    </row>
    <row r="502" spans="1:146" ht="50.1" customHeight="1">
      <c r="A502" s="170" t="s">
        <v>4671</v>
      </c>
      <c r="B502" s="517" t="s">
        <v>3272</v>
      </c>
      <c r="C502" s="85" t="s">
        <v>3273</v>
      </c>
      <c r="D502" s="85" t="s">
        <v>3274</v>
      </c>
      <c r="E502" s="85" t="s">
        <v>3275</v>
      </c>
      <c r="F502" s="94" t="s">
        <v>280</v>
      </c>
      <c r="G502" s="94" t="s">
        <v>280</v>
      </c>
      <c r="H502" s="84" t="s">
        <v>3976</v>
      </c>
      <c r="I502" s="84" t="s">
        <v>3955</v>
      </c>
      <c r="J502" s="170" t="s">
        <v>3277</v>
      </c>
      <c r="K502" s="170" t="s">
        <v>3278</v>
      </c>
      <c r="L502" s="262">
        <v>22</v>
      </c>
      <c r="M502" s="84" t="s">
        <v>3977</v>
      </c>
      <c r="N502" s="94" t="s">
        <v>3978</v>
      </c>
      <c r="O502" s="84" t="s">
        <v>3281</v>
      </c>
      <c r="P502" s="84" t="s">
        <v>1161</v>
      </c>
      <c r="Q502" s="170" t="s">
        <v>162</v>
      </c>
      <c r="R502" s="84">
        <v>0</v>
      </c>
      <c r="S502" s="84" t="s">
        <v>163</v>
      </c>
      <c r="T502" s="90">
        <v>44927</v>
      </c>
      <c r="U502" s="90">
        <v>46357</v>
      </c>
      <c r="V502" s="262"/>
      <c r="W502" s="262"/>
      <c r="X502" s="262"/>
      <c r="Y502" s="262"/>
      <c r="Z502" s="85"/>
      <c r="AA502" s="85"/>
      <c r="AB502" s="85"/>
      <c r="AC502" s="85"/>
      <c r="AD502" s="85"/>
      <c r="AE502" s="85"/>
      <c r="AF502" s="85"/>
      <c r="AG502" s="85"/>
      <c r="AH502" s="85"/>
      <c r="AI502" s="85"/>
      <c r="AJ502" s="85"/>
      <c r="AK502" s="157"/>
      <c r="AL502" s="157"/>
      <c r="AM502" s="157"/>
      <c r="AN502" s="157"/>
      <c r="AO502" s="157"/>
      <c r="AP502" s="262"/>
      <c r="AQ502" s="262"/>
      <c r="AR502" s="262"/>
      <c r="AS502" s="262"/>
      <c r="AT502" s="262"/>
      <c r="AU502" s="262"/>
      <c r="AV502" s="262"/>
      <c r="AW502" s="262"/>
      <c r="AX502" s="262"/>
      <c r="AY502" s="262"/>
      <c r="AZ502" s="697"/>
      <c r="BA502" s="262"/>
      <c r="BB502" s="262"/>
      <c r="BC502" s="262"/>
      <c r="BD502" s="262"/>
      <c r="BE502" s="262"/>
      <c r="BF502" s="262"/>
      <c r="BG502" s="262"/>
      <c r="BH502" s="262"/>
      <c r="BI502" s="262"/>
      <c r="BJ502" s="697"/>
      <c r="BK502" s="262"/>
      <c r="BL502" s="697"/>
      <c r="BM502" s="262"/>
      <c r="BN502" s="697"/>
      <c r="BO502" s="262"/>
      <c r="BP502" s="697"/>
      <c r="BQ502" s="262"/>
      <c r="BR502" s="262"/>
      <c r="BS502" s="262"/>
      <c r="BT502" s="262"/>
      <c r="BU502" s="262"/>
      <c r="BV502" s="262"/>
      <c r="BW502" s="262"/>
      <c r="BX502" s="262"/>
      <c r="BY502" s="262"/>
      <c r="BZ502" s="262"/>
      <c r="CA502" s="262"/>
      <c r="CB502" s="262"/>
      <c r="CC502" s="262"/>
      <c r="CD502" s="262"/>
      <c r="CE502" s="262"/>
      <c r="CF502" s="262"/>
      <c r="CG502" s="717"/>
      <c r="CH502" s="262"/>
      <c r="CI502" s="262"/>
      <c r="CJ502" s="83" t="str">
        <f t="shared" si="120"/>
        <v>No aplica</v>
      </c>
      <c r="CK502" s="83" t="str">
        <f t="shared" si="119"/>
        <v>No aplica</v>
      </c>
      <c r="CL502" s="83" t="str">
        <f t="shared" si="114"/>
        <v>No requiere reporte</v>
      </c>
      <c r="CM502" s="89" t="str">
        <f t="shared" si="115"/>
        <v>No requiere reporte</v>
      </c>
      <c r="CN502" s="89" t="str">
        <f t="shared" si="116"/>
        <v>No requiere reporte</v>
      </c>
      <c r="CO502" s="735" t="s">
        <v>4003</v>
      </c>
      <c r="CP502" s="734" t="s">
        <v>4004</v>
      </c>
      <c r="CQ502" s="694" t="s">
        <v>4005</v>
      </c>
      <c r="CR502" s="694" t="s">
        <v>4006</v>
      </c>
      <c r="CS502" s="694" t="s">
        <v>4007</v>
      </c>
      <c r="CT502" s="178" t="s">
        <v>953</v>
      </c>
      <c r="CU502" s="714" t="s">
        <v>162</v>
      </c>
      <c r="CV502" s="291">
        <v>0</v>
      </c>
      <c r="CW502" s="178" t="s">
        <v>163</v>
      </c>
      <c r="CX502" s="695">
        <v>46023</v>
      </c>
      <c r="CY502" s="695">
        <v>46387</v>
      </c>
      <c r="CZ502" s="736">
        <v>0</v>
      </c>
      <c r="DA502" s="146">
        <v>1</v>
      </c>
      <c r="DB502" s="146">
        <v>1</v>
      </c>
      <c r="DC502" s="146">
        <v>1</v>
      </c>
      <c r="DD502" s="146">
        <v>1</v>
      </c>
      <c r="DE502" s="665" t="s">
        <v>2951</v>
      </c>
      <c r="DF502" s="665" t="s">
        <v>3294</v>
      </c>
      <c r="DG502" s="665" t="s">
        <v>3295</v>
      </c>
      <c r="DH502" s="696">
        <v>0</v>
      </c>
      <c r="DI502" s="717"/>
      <c r="DJ502" s="717"/>
      <c r="DK502" s="717"/>
      <c r="DL502" s="665" t="s">
        <v>279</v>
      </c>
      <c r="DM502" s="665" t="s">
        <v>3296</v>
      </c>
      <c r="DN502" s="218"/>
      <c r="DO502" s="716"/>
      <c r="DP502" s="665"/>
      <c r="DQ502" s="716"/>
      <c r="DR502" s="716"/>
      <c r="DS502" s="666"/>
      <c r="DT502" s="716"/>
      <c r="DU502" s="665"/>
      <c r="DV502" s="716"/>
      <c r="DW502" s="716"/>
      <c r="DX502" s="666"/>
      <c r="DY502" s="666"/>
      <c r="DZ502" s="665"/>
      <c r="EA502" s="665"/>
      <c r="EB502" s="716"/>
      <c r="EC502" s="665"/>
      <c r="ED502" s="665"/>
      <c r="EE502" s="665"/>
      <c r="EF502" s="665"/>
      <c r="EG502" s="665"/>
      <c r="EH502" s="146"/>
      <c r="EI502" s="170"/>
      <c r="EJ502" s="170"/>
      <c r="EK502" s="262"/>
      <c r="EL502" s="91" t="str">
        <f t="shared" si="117"/>
        <v>No aplica, no hay meta</v>
      </c>
      <c r="EM502" s="83" t="str">
        <f t="shared" si="118"/>
        <v>No se reportó avance</v>
      </c>
      <c r="EN502" s="697"/>
    </row>
    <row r="503" spans="1:146" ht="50.1" customHeight="1">
      <c r="A503" s="170" t="s">
        <v>4671</v>
      </c>
      <c r="B503" s="517" t="s">
        <v>3272</v>
      </c>
      <c r="C503" s="85" t="s">
        <v>3273</v>
      </c>
      <c r="D503" s="85" t="s">
        <v>3274</v>
      </c>
      <c r="E503" s="85" t="s">
        <v>3275</v>
      </c>
      <c r="F503" s="94" t="s">
        <v>280</v>
      </c>
      <c r="G503" s="94" t="s">
        <v>280</v>
      </c>
      <c r="H503" s="84" t="s">
        <v>3976</v>
      </c>
      <c r="I503" s="84" t="s">
        <v>3955</v>
      </c>
      <c r="J503" s="170" t="s">
        <v>3277</v>
      </c>
      <c r="K503" s="170" t="s">
        <v>3278</v>
      </c>
      <c r="L503" s="262">
        <v>22</v>
      </c>
      <c r="M503" s="84" t="s">
        <v>3977</v>
      </c>
      <c r="N503" s="94" t="s">
        <v>3978</v>
      </c>
      <c r="O503" s="84" t="s">
        <v>3281</v>
      </c>
      <c r="P503" s="84" t="s">
        <v>1161</v>
      </c>
      <c r="Q503" s="170" t="s">
        <v>162</v>
      </c>
      <c r="R503" s="84">
        <v>0</v>
      </c>
      <c r="S503" s="84" t="s">
        <v>163</v>
      </c>
      <c r="T503" s="90">
        <v>44927</v>
      </c>
      <c r="U503" s="90">
        <v>46357</v>
      </c>
      <c r="V503" s="262"/>
      <c r="W503" s="262"/>
      <c r="X503" s="262"/>
      <c r="Y503" s="262"/>
      <c r="Z503" s="85"/>
      <c r="AA503" s="85"/>
      <c r="AB503" s="85"/>
      <c r="AC503" s="85"/>
      <c r="AD503" s="85"/>
      <c r="AE503" s="85"/>
      <c r="AF503" s="85"/>
      <c r="AG503" s="85"/>
      <c r="AH503" s="85"/>
      <c r="AI503" s="85"/>
      <c r="AJ503" s="85"/>
      <c r="AK503" s="157"/>
      <c r="AL503" s="157"/>
      <c r="AM503" s="157"/>
      <c r="AN503" s="157"/>
      <c r="AO503" s="157"/>
      <c r="AP503" s="262"/>
      <c r="AQ503" s="262"/>
      <c r="AR503" s="262"/>
      <c r="AS503" s="262"/>
      <c r="AT503" s="262"/>
      <c r="AU503" s="262"/>
      <c r="AV503" s="262"/>
      <c r="AW503" s="262"/>
      <c r="AX503" s="262"/>
      <c r="AY503" s="262"/>
      <c r="AZ503" s="697"/>
      <c r="BA503" s="262"/>
      <c r="BB503" s="262"/>
      <c r="BC503" s="262"/>
      <c r="BD503" s="262"/>
      <c r="BE503" s="262"/>
      <c r="BF503" s="262"/>
      <c r="BG503" s="262"/>
      <c r="BH503" s="262"/>
      <c r="BI503" s="262"/>
      <c r="BJ503" s="697"/>
      <c r="BK503" s="262"/>
      <c r="BL503" s="697"/>
      <c r="BM503" s="262"/>
      <c r="BN503" s="697"/>
      <c r="BO503" s="262"/>
      <c r="BP503" s="697"/>
      <c r="BQ503" s="262"/>
      <c r="BR503" s="262"/>
      <c r="BS503" s="262"/>
      <c r="BT503" s="262"/>
      <c r="BU503" s="262"/>
      <c r="BV503" s="262"/>
      <c r="BW503" s="262"/>
      <c r="BX503" s="262"/>
      <c r="BY503" s="262"/>
      <c r="BZ503" s="262"/>
      <c r="CA503" s="262"/>
      <c r="CB503" s="262"/>
      <c r="CC503" s="262"/>
      <c r="CD503" s="262"/>
      <c r="CE503" s="262"/>
      <c r="CF503" s="262"/>
      <c r="CG503" s="717"/>
      <c r="CH503" s="262"/>
      <c r="CI503" s="262"/>
      <c r="CJ503" s="83" t="str">
        <f t="shared" si="120"/>
        <v>No aplica</v>
      </c>
      <c r="CK503" s="83" t="str">
        <f t="shared" si="119"/>
        <v>No aplica</v>
      </c>
      <c r="CL503" s="83" t="str">
        <f t="shared" si="114"/>
        <v>No requiere reporte</v>
      </c>
      <c r="CM503" s="89" t="str">
        <f t="shared" si="115"/>
        <v>No requiere reporte</v>
      </c>
      <c r="CN503" s="89" t="str">
        <f t="shared" si="116"/>
        <v>No requiere reporte</v>
      </c>
      <c r="CO503" s="735" t="s">
        <v>4008</v>
      </c>
      <c r="CP503" s="734" t="s">
        <v>4009</v>
      </c>
      <c r="CQ503" s="694" t="s">
        <v>4010</v>
      </c>
      <c r="CR503" s="694" t="s">
        <v>4011</v>
      </c>
      <c r="CS503" s="694" t="s">
        <v>4012</v>
      </c>
      <c r="CT503" s="178" t="s">
        <v>953</v>
      </c>
      <c r="CU503" s="714" t="s">
        <v>162</v>
      </c>
      <c r="CV503" s="291">
        <v>0</v>
      </c>
      <c r="CW503" s="178" t="s">
        <v>163</v>
      </c>
      <c r="CX503" s="695">
        <v>46023</v>
      </c>
      <c r="CY503" s="695">
        <v>46387</v>
      </c>
      <c r="CZ503" s="736">
        <v>0</v>
      </c>
      <c r="DA503" s="146">
        <v>1</v>
      </c>
      <c r="DB503" s="146">
        <v>1</v>
      </c>
      <c r="DC503" s="146">
        <v>1</v>
      </c>
      <c r="DD503" s="146">
        <v>1</v>
      </c>
      <c r="DE503" s="665" t="s">
        <v>2951</v>
      </c>
      <c r="DF503" s="665" t="s">
        <v>3294</v>
      </c>
      <c r="DG503" s="665" t="s">
        <v>3295</v>
      </c>
      <c r="DH503" s="696">
        <v>0</v>
      </c>
      <c r="DI503" s="717"/>
      <c r="DJ503" s="717"/>
      <c r="DK503" s="717"/>
      <c r="DL503" s="665" t="s">
        <v>279</v>
      </c>
      <c r="DM503" s="665" t="s">
        <v>3296</v>
      </c>
      <c r="DN503" s="218"/>
      <c r="DO503" s="716"/>
      <c r="DP503" s="665"/>
      <c r="DQ503" s="716"/>
      <c r="DR503" s="716"/>
      <c r="DS503" s="666"/>
      <c r="DT503" s="716"/>
      <c r="DU503" s="665"/>
      <c r="DV503" s="716"/>
      <c r="DW503" s="729"/>
      <c r="DX503" s="666"/>
      <c r="DY503" s="666"/>
      <c r="DZ503" s="665"/>
      <c r="EA503" s="665"/>
      <c r="EB503" s="716"/>
      <c r="EC503" s="665"/>
      <c r="ED503" s="665"/>
      <c r="EE503" s="665"/>
      <c r="EF503" s="665"/>
      <c r="EG503" s="665"/>
      <c r="EH503" s="146"/>
      <c r="EI503" s="170"/>
      <c r="EJ503" s="170"/>
      <c r="EK503" s="262"/>
      <c r="EL503" s="91" t="str">
        <f t="shared" si="117"/>
        <v>No aplica, no hay meta</v>
      </c>
      <c r="EM503" s="83" t="str">
        <f t="shared" si="118"/>
        <v>No se reportó avance</v>
      </c>
      <c r="EN503" s="697"/>
    </row>
    <row r="504" spans="1:146" ht="50.1" customHeight="1">
      <c r="A504" s="203" t="s">
        <v>4671</v>
      </c>
      <c r="B504" s="505" t="s">
        <v>3272</v>
      </c>
      <c r="C504" s="75" t="s">
        <v>3273</v>
      </c>
      <c r="D504" s="75" t="s">
        <v>3274</v>
      </c>
      <c r="E504" s="75" t="s">
        <v>3275</v>
      </c>
      <c r="F504" s="98" t="s">
        <v>280</v>
      </c>
      <c r="G504" s="98" t="s">
        <v>280</v>
      </c>
      <c r="H504" s="74" t="s">
        <v>3976</v>
      </c>
      <c r="I504" s="74" t="s">
        <v>3955</v>
      </c>
      <c r="J504" s="203" t="s">
        <v>3277</v>
      </c>
      <c r="K504" s="203" t="s">
        <v>3278</v>
      </c>
      <c r="L504" s="260">
        <v>23</v>
      </c>
      <c r="M504" s="77" t="s">
        <v>4013</v>
      </c>
      <c r="N504" s="77" t="s">
        <v>4014</v>
      </c>
      <c r="O504" s="77" t="s">
        <v>3669</v>
      </c>
      <c r="P504" s="78" t="s">
        <v>1161</v>
      </c>
      <c r="Q504" s="255" t="s">
        <v>162</v>
      </c>
      <c r="R504" s="638">
        <v>0</v>
      </c>
      <c r="S504" s="78" t="s">
        <v>163</v>
      </c>
      <c r="T504" s="80">
        <v>44927</v>
      </c>
      <c r="U504" s="80">
        <v>46357</v>
      </c>
      <c r="V504" s="531"/>
      <c r="W504" s="531"/>
      <c r="X504" s="531"/>
      <c r="Y504" s="531"/>
      <c r="Z504" s="79">
        <v>1</v>
      </c>
      <c r="AA504" s="75">
        <v>1</v>
      </c>
      <c r="AB504" s="75">
        <v>1</v>
      </c>
      <c r="AC504" s="75">
        <v>1</v>
      </c>
      <c r="AD504" s="75">
        <v>1</v>
      </c>
      <c r="AE504" s="79">
        <v>1</v>
      </c>
      <c r="AF504" s="79">
        <v>1</v>
      </c>
      <c r="AG504" s="79">
        <v>1</v>
      </c>
      <c r="AH504" s="79">
        <v>1</v>
      </c>
      <c r="AI504" s="79">
        <v>1</v>
      </c>
      <c r="AJ504" s="79">
        <v>1</v>
      </c>
      <c r="AK504" s="142">
        <v>1</v>
      </c>
      <c r="AL504" s="142">
        <v>1</v>
      </c>
      <c r="AM504" s="142">
        <v>1</v>
      </c>
      <c r="AN504" s="142">
        <v>1</v>
      </c>
      <c r="AO504" s="142">
        <v>1</v>
      </c>
      <c r="AP504" s="79">
        <v>1</v>
      </c>
      <c r="AQ504" s="262"/>
      <c r="AR504" s="262"/>
      <c r="AS504" s="262"/>
      <c r="AT504" s="262"/>
      <c r="AU504" s="262"/>
      <c r="AV504" s="262"/>
      <c r="AW504" s="262"/>
      <c r="AX504" s="262"/>
      <c r="AY504" s="173" t="s">
        <v>201</v>
      </c>
      <c r="AZ504" s="692" t="s">
        <v>201</v>
      </c>
      <c r="BA504" s="173">
        <f>1/1</f>
        <v>1</v>
      </c>
      <c r="BB504" s="170" t="s">
        <v>4015</v>
      </c>
      <c r="BC504" s="173">
        <f>1/1</f>
        <v>1</v>
      </c>
      <c r="BD504" s="170" t="s">
        <v>4016</v>
      </c>
      <c r="BE504" s="173">
        <v>0</v>
      </c>
      <c r="BF504" s="170" t="s">
        <v>4017</v>
      </c>
      <c r="BG504" s="173">
        <v>0</v>
      </c>
      <c r="BH504" s="170" t="s">
        <v>3286</v>
      </c>
      <c r="BI504" s="173">
        <f>+(BA504+BC504+BE504+BG504)/4</f>
        <v>0.5</v>
      </c>
      <c r="BJ504" s="692"/>
      <c r="BK504" s="173">
        <v>0</v>
      </c>
      <c r="BL504" s="692" t="s">
        <v>3287</v>
      </c>
      <c r="BM504" s="173">
        <v>0</v>
      </c>
      <c r="BN504" s="692" t="s">
        <v>3287</v>
      </c>
      <c r="BO504" s="173">
        <v>0</v>
      </c>
      <c r="BP504" s="692" t="s">
        <v>3287</v>
      </c>
      <c r="BQ504" s="262"/>
      <c r="BR504" s="262"/>
      <c r="BS504" s="83"/>
      <c r="BT504" s="262"/>
      <c r="BU504" s="262"/>
      <c r="BV504" s="262"/>
      <c r="BW504" s="262"/>
      <c r="BX504" s="262"/>
      <c r="BY504" s="262"/>
      <c r="BZ504" s="262"/>
      <c r="CA504" s="262"/>
      <c r="CB504" s="262"/>
      <c r="CC504" s="262"/>
      <c r="CD504" s="262"/>
      <c r="CE504" s="157"/>
      <c r="CF504" s="262"/>
      <c r="CG504" s="713">
        <f>+DH504</f>
        <v>0</v>
      </c>
      <c r="CH504" s="515"/>
      <c r="CI504" s="515"/>
      <c r="CJ504" s="83" t="str">
        <f t="shared" si="120"/>
        <v>No aplica</v>
      </c>
      <c r="CK504" s="83" t="str">
        <f t="shared" si="119"/>
        <v>No aplica</v>
      </c>
      <c r="CL504" s="83" t="str">
        <f t="shared" si="114"/>
        <v>No se reportó avance</v>
      </c>
      <c r="CM504" s="89" t="str">
        <f t="shared" si="115"/>
        <v>No se reportó avance</v>
      </c>
      <c r="CN504" s="89" t="str">
        <f t="shared" si="116"/>
        <v>No se reportó avance</v>
      </c>
      <c r="CO504" s="735" t="s">
        <v>4018</v>
      </c>
      <c r="CP504" s="734" t="s">
        <v>4019</v>
      </c>
      <c r="CQ504" s="178" t="s">
        <v>4020</v>
      </c>
      <c r="CR504" s="694" t="s">
        <v>4021</v>
      </c>
      <c r="CS504" s="178" t="s">
        <v>4022</v>
      </c>
      <c r="CT504" s="178" t="s">
        <v>953</v>
      </c>
      <c r="CU504" s="714" t="s">
        <v>162</v>
      </c>
      <c r="CV504" s="291">
        <v>0</v>
      </c>
      <c r="CW504" s="178" t="s">
        <v>163</v>
      </c>
      <c r="CX504" s="695">
        <v>46023</v>
      </c>
      <c r="CY504" s="695">
        <v>46387</v>
      </c>
      <c r="CZ504" s="736">
        <v>0</v>
      </c>
      <c r="DA504" s="146">
        <v>1</v>
      </c>
      <c r="DB504" s="146">
        <v>1</v>
      </c>
      <c r="DC504" s="146">
        <v>1</v>
      </c>
      <c r="DD504" s="146">
        <v>1</v>
      </c>
      <c r="DE504" s="665" t="s">
        <v>2951</v>
      </c>
      <c r="DF504" s="665" t="s">
        <v>3294</v>
      </c>
      <c r="DG504" s="665" t="s">
        <v>3295</v>
      </c>
      <c r="DH504" s="696">
        <v>0</v>
      </c>
      <c r="DI504" s="717"/>
      <c r="DJ504" s="717"/>
      <c r="DK504" s="717"/>
      <c r="DL504" s="665" t="s">
        <v>279</v>
      </c>
      <c r="DM504" s="665" t="s">
        <v>3296</v>
      </c>
      <c r="DN504" s="218"/>
      <c r="DO504" s="716"/>
      <c r="DP504" s="665"/>
      <c r="DQ504" s="716"/>
      <c r="DR504" s="716"/>
      <c r="DS504" s="218"/>
      <c r="DT504" s="716"/>
      <c r="DU504" s="665"/>
      <c r="DV504" s="716"/>
      <c r="DW504" s="716"/>
      <c r="DX504" s="218"/>
      <c r="DY504" s="716"/>
      <c r="DZ504" s="665"/>
      <c r="EA504" s="716"/>
      <c r="EB504" s="716"/>
      <c r="EC504" s="665"/>
      <c r="ED504" s="665"/>
      <c r="EE504" s="665"/>
      <c r="EF504" s="665"/>
      <c r="EG504" s="665"/>
      <c r="EH504" s="666"/>
      <c r="EI504" s="170"/>
      <c r="EJ504" s="170"/>
      <c r="EK504" s="262"/>
      <c r="EL504" s="91" t="str">
        <f t="shared" si="117"/>
        <v>No aplica, no hay meta</v>
      </c>
      <c r="EM504" s="83" t="str">
        <f t="shared" si="118"/>
        <v>No se reportó avance</v>
      </c>
      <c r="EN504" s="697"/>
    </row>
    <row r="505" spans="1:146" ht="50.1" customHeight="1">
      <c r="A505" s="203" t="s">
        <v>4671</v>
      </c>
      <c r="B505" s="505" t="s">
        <v>3272</v>
      </c>
      <c r="C505" s="75" t="s">
        <v>3273</v>
      </c>
      <c r="D505" s="75" t="s">
        <v>3274</v>
      </c>
      <c r="E505" s="75" t="s">
        <v>3275</v>
      </c>
      <c r="F505" s="98" t="s">
        <v>280</v>
      </c>
      <c r="G505" s="98" t="s">
        <v>280</v>
      </c>
      <c r="H505" s="74" t="s">
        <v>3976</v>
      </c>
      <c r="I505" s="74" t="s">
        <v>3955</v>
      </c>
      <c r="J505" s="203" t="s">
        <v>3277</v>
      </c>
      <c r="K505" s="203" t="s">
        <v>3278</v>
      </c>
      <c r="L505" s="260">
        <v>24</v>
      </c>
      <c r="M505" s="77" t="s">
        <v>4023</v>
      </c>
      <c r="N505" s="77" t="s">
        <v>4024</v>
      </c>
      <c r="O505" s="77" t="s">
        <v>3669</v>
      </c>
      <c r="P505" s="78" t="s">
        <v>1161</v>
      </c>
      <c r="Q505" s="255" t="s">
        <v>162</v>
      </c>
      <c r="R505" s="638">
        <v>0</v>
      </c>
      <c r="S505" s="78" t="s">
        <v>163</v>
      </c>
      <c r="T505" s="80">
        <v>44927</v>
      </c>
      <c r="U505" s="80">
        <v>46357</v>
      </c>
      <c r="V505" s="531"/>
      <c r="W505" s="531"/>
      <c r="X505" s="531"/>
      <c r="Y505" s="531"/>
      <c r="Z505" s="79">
        <v>1</v>
      </c>
      <c r="AA505" s="75">
        <v>1</v>
      </c>
      <c r="AB505" s="75">
        <v>1</v>
      </c>
      <c r="AC505" s="75">
        <v>1</v>
      </c>
      <c r="AD505" s="75">
        <v>1</v>
      </c>
      <c r="AE505" s="79">
        <v>1</v>
      </c>
      <c r="AF505" s="79">
        <v>1</v>
      </c>
      <c r="AG505" s="79">
        <v>1</v>
      </c>
      <c r="AH505" s="79">
        <v>1</v>
      </c>
      <c r="AI505" s="79">
        <v>1</v>
      </c>
      <c r="AJ505" s="79">
        <v>1</v>
      </c>
      <c r="AK505" s="142">
        <v>1</v>
      </c>
      <c r="AL505" s="142">
        <v>1</v>
      </c>
      <c r="AM505" s="142">
        <v>1</v>
      </c>
      <c r="AN505" s="142">
        <v>1</v>
      </c>
      <c r="AO505" s="142">
        <v>1</v>
      </c>
      <c r="AP505" s="79">
        <v>1</v>
      </c>
      <c r="AQ505" s="262"/>
      <c r="AR505" s="262"/>
      <c r="AS505" s="262"/>
      <c r="AT505" s="262"/>
      <c r="AU505" s="262"/>
      <c r="AV505" s="262"/>
      <c r="AW505" s="262"/>
      <c r="AX505" s="262"/>
      <c r="AY505" s="173">
        <v>1</v>
      </c>
      <c r="AZ505" s="692" t="s">
        <v>4025</v>
      </c>
      <c r="BA505" s="173">
        <v>0</v>
      </c>
      <c r="BB505" s="170" t="s">
        <v>4026</v>
      </c>
      <c r="BC505" s="173">
        <v>0</v>
      </c>
      <c r="BD505" s="170" t="s">
        <v>4027</v>
      </c>
      <c r="BE505" s="173">
        <f>2/2</f>
        <v>1</v>
      </c>
      <c r="BF505" s="170" t="s">
        <v>4028</v>
      </c>
      <c r="BG505" s="173">
        <v>0</v>
      </c>
      <c r="BH505" s="170" t="s">
        <v>3286</v>
      </c>
      <c r="BI505" s="173">
        <f>+(BA505+BC505+BE505+BG505)/4</f>
        <v>0.25</v>
      </c>
      <c r="BJ505" s="692"/>
      <c r="BK505" s="173">
        <v>0</v>
      </c>
      <c r="BL505" s="692" t="s">
        <v>3287</v>
      </c>
      <c r="BM505" s="173">
        <v>0</v>
      </c>
      <c r="BN505" s="692" t="s">
        <v>3287</v>
      </c>
      <c r="BO505" s="173">
        <v>0</v>
      </c>
      <c r="BP505" s="692" t="s">
        <v>3287</v>
      </c>
      <c r="BQ505" s="262"/>
      <c r="BR505" s="262"/>
      <c r="BS505" s="83"/>
      <c r="BT505" s="262"/>
      <c r="BU505" s="262"/>
      <c r="BV505" s="262"/>
      <c r="BW505" s="262"/>
      <c r="BX505" s="262"/>
      <c r="BY505" s="262"/>
      <c r="BZ505" s="262"/>
      <c r="CA505" s="262"/>
      <c r="CB505" s="262"/>
      <c r="CC505" s="262"/>
      <c r="CD505" s="262"/>
      <c r="CE505" s="146"/>
      <c r="CF505" s="262"/>
      <c r="CG505" s="713">
        <f>SUBTOTAL(9,DH505:DH508)</f>
        <v>0</v>
      </c>
      <c r="CH505" s="515"/>
      <c r="CI505" s="515"/>
      <c r="CJ505" s="83" t="str">
        <f t="shared" si="120"/>
        <v>No aplica</v>
      </c>
      <c r="CK505" s="83" t="str">
        <f t="shared" si="119"/>
        <v>No aplica</v>
      </c>
      <c r="CL505" s="83" t="str">
        <f t="shared" si="114"/>
        <v>No se reportó avance</v>
      </c>
      <c r="CM505" s="89" t="str">
        <f t="shared" si="115"/>
        <v>No se reportó avance</v>
      </c>
      <c r="CN505" s="89" t="str">
        <f t="shared" si="116"/>
        <v>No se reportó avance</v>
      </c>
      <c r="CO505" s="735" t="s">
        <v>4029</v>
      </c>
      <c r="CP505" s="734" t="s">
        <v>4030</v>
      </c>
      <c r="CQ505" s="178" t="s">
        <v>4031</v>
      </c>
      <c r="CR505" s="694" t="s">
        <v>4032</v>
      </c>
      <c r="CS505" s="178" t="s">
        <v>4033</v>
      </c>
      <c r="CT505" s="178" t="s">
        <v>1161</v>
      </c>
      <c r="CU505" s="178" t="s">
        <v>233</v>
      </c>
      <c r="CV505" s="178">
        <v>0</v>
      </c>
      <c r="CW505" s="178" t="s">
        <v>234</v>
      </c>
      <c r="CX505" s="695">
        <v>46023</v>
      </c>
      <c r="CY505" s="695">
        <v>46387</v>
      </c>
      <c r="CZ505" s="178">
        <v>0</v>
      </c>
      <c r="DA505" s="178">
        <v>0</v>
      </c>
      <c r="DB505" s="178">
        <v>105</v>
      </c>
      <c r="DC505" s="178">
        <v>105</v>
      </c>
      <c r="DD505" s="178">
        <v>210</v>
      </c>
      <c r="DE505" s="665" t="s">
        <v>396</v>
      </c>
      <c r="DF505" s="665" t="s">
        <v>3337</v>
      </c>
      <c r="DG505" s="665" t="s">
        <v>3338</v>
      </c>
      <c r="DH505" s="696">
        <v>0</v>
      </c>
      <c r="DI505" s="717"/>
      <c r="DJ505" s="717"/>
      <c r="DK505" s="717"/>
      <c r="DL505" s="665" t="s">
        <v>279</v>
      </c>
      <c r="DM505" s="665" t="s">
        <v>3296</v>
      </c>
      <c r="DN505" s="665"/>
      <c r="DO505" s="716"/>
      <c r="DP505" s="665"/>
      <c r="DQ505" s="716"/>
      <c r="DR505" s="716"/>
      <c r="DS505" s="665"/>
      <c r="DT505" s="716"/>
      <c r="DU505" s="665"/>
      <c r="DV505" s="716"/>
      <c r="DW505" s="716"/>
      <c r="DX505" s="665"/>
      <c r="DY505" s="716"/>
      <c r="DZ505" s="665"/>
      <c r="EA505" s="716"/>
      <c r="EB505" s="716"/>
      <c r="EC505" s="665"/>
      <c r="ED505" s="665"/>
      <c r="EE505" s="665"/>
      <c r="EF505" s="665"/>
      <c r="EG505" s="665"/>
      <c r="EH505" s="665"/>
      <c r="EI505" s="170"/>
      <c r="EJ505" s="170"/>
      <c r="EK505" s="262"/>
      <c r="EL505" s="91" t="str">
        <f t="shared" si="117"/>
        <v>No aplica, no hay meta</v>
      </c>
      <c r="EM505" s="83" t="str">
        <f t="shared" si="118"/>
        <v>No se reportó avance</v>
      </c>
      <c r="EN505" s="697"/>
    </row>
    <row r="506" spans="1:146" ht="50.1" customHeight="1">
      <c r="A506" s="170" t="s">
        <v>4671</v>
      </c>
      <c r="B506" s="517" t="s">
        <v>3272</v>
      </c>
      <c r="C506" s="85" t="s">
        <v>3273</v>
      </c>
      <c r="D506" s="85" t="s">
        <v>3274</v>
      </c>
      <c r="E506" s="85" t="s">
        <v>3275</v>
      </c>
      <c r="F506" s="94" t="s">
        <v>280</v>
      </c>
      <c r="G506" s="94" t="s">
        <v>280</v>
      </c>
      <c r="H506" s="84" t="s">
        <v>3976</v>
      </c>
      <c r="I506" s="84" t="s">
        <v>3955</v>
      </c>
      <c r="J506" s="170" t="s">
        <v>3277</v>
      </c>
      <c r="K506" s="170" t="s">
        <v>3278</v>
      </c>
      <c r="L506" s="262">
        <v>24</v>
      </c>
      <c r="M506" s="94" t="s">
        <v>4023</v>
      </c>
      <c r="N506" s="94" t="s">
        <v>4024</v>
      </c>
      <c r="O506" s="94" t="s">
        <v>3669</v>
      </c>
      <c r="P506" s="84" t="s">
        <v>1161</v>
      </c>
      <c r="Q506" s="170" t="s">
        <v>162</v>
      </c>
      <c r="R506" s="84">
        <v>0</v>
      </c>
      <c r="S506" s="84" t="s">
        <v>163</v>
      </c>
      <c r="T506" s="90">
        <v>44927</v>
      </c>
      <c r="U506" s="90">
        <v>46357</v>
      </c>
      <c r="V506" s="262"/>
      <c r="W506" s="262"/>
      <c r="X506" s="262"/>
      <c r="Y506" s="262"/>
      <c r="Z506" s="85"/>
      <c r="AA506" s="85"/>
      <c r="AB506" s="85"/>
      <c r="AC506" s="85"/>
      <c r="AD506" s="85"/>
      <c r="AE506" s="85"/>
      <c r="AF506" s="85"/>
      <c r="AG506" s="85"/>
      <c r="AH506" s="85"/>
      <c r="AI506" s="85"/>
      <c r="AJ506" s="85"/>
      <c r="AK506" s="157"/>
      <c r="AL506" s="157"/>
      <c r="AM506" s="157"/>
      <c r="AN506" s="157"/>
      <c r="AO506" s="157"/>
      <c r="AP506" s="262"/>
      <c r="AQ506" s="262"/>
      <c r="AR506" s="262"/>
      <c r="AS506" s="262"/>
      <c r="AT506" s="262"/>
      <c r="AU506" s="262"/>
      <c r="AV506" s="262"/>
      <c r="AW506" s="262"/>
      <c r="AX506" s="262"/>
      <c r="AY506" s="262"/>
      <c r="AZ506" s="697"/>
      <c r="BA506" s="262"/>
      <c r="BB506" s="262"/>
      <c r="BC506" s="262"/>
      <c r="BD506" s="262"/>
      <c r="BE506" s="262"/>
      <c r="BF506" s="262"/>
      <c r="BG506" s="262"/>
      <c r="BH506" s="262"/>
      <c r="BI506" s="262"/>
      <c r="BJ506" s="697"/>
      <c r="BK506" s="262"/>
      <c r="BL506" s="697"/>
      <c r="BM506" s="262"/>
      <c r="BN506" s="697"/>
      <c r="BO506" s="262"/>
      <c r="BP506" s="697"/>
      <c r="BQ506" s="262"/>
      <c r="BR506" s="262"/>
      <c r="BS506" s="262"/>
      <c r="BT506" s="262"/>
      <c r="BU506" s="262"/>
      <c r="BV506" s="262"/>
      <c r="BW506" s="262"/>
      <c r="BX506" s="262"/>
      <c r="BY506" s="262"/>
      <c r="BZ506" s="262"/>
      <c r="CA506" s="262"/>
      <c r="CB506" s="262"/>
      <c r="CC506" s="262"/>
      <c r="CD506" s="262"/>
      <c r="CE506" s="262"/>
      <c r="CF506" s="262"/>
      <c r="CG506" s="717"/>
      <c r="CH506" s="262"/>
      <c r="CI506" s="262"/>
      <c r="CJ506" s="83" t="str">
        <f t="shared" si="120"/>
        <v>No aplica</v>
      </c>
      <c r="CK506" s="83" t="str">
        <f t="shared" si="119"/>
        <v>No aplica</v>
      </c>
      <c r="CL506" s="83" t="str">
        <f t="shared" si="114"/>
        <v>No requiere reporte</v>
      </c>
      <c r="CM506" s="89" t="str">
        <f t="shared" si="115"/>
        <v>No requiere reporte</v>
      </c>
      <c r="CN506" s="89" t="str">
        <f t="shared" si="116"/>
        <v>No requiere reporte</v>
      </c>
      <c r="CO506" s="735" t="s">
        <v>4034</v>
      </c>
      <c r="CP506" s="734" t="s">
        <v>4035</v>
      </c>
      <c r="CQ506" s="178" t="s">
        <v>4031</v>
      </c>
      <c r="CR506" s="694" t="s">
        <v>4036</v>
      </c>
      <c r="CS506" s="178" t="s">
        <v>4037</v>
      </c>
      <c r="CT506" s="178" t="s">
        <v>953</v>
      </c>
      <c r="CU506" s="714" t="s">
        <v>162</v>
      </c>
      <c r="CV506" s="291">
        <v>0</v>
      </c>
      <c r="CW506" s="178" t="s">
        <v>163</v>
      </c>
      <c r="CX506" s="695">
        <v>46023</v>
      </c>
      <c r="CY506" s="695">
        <v>46387</v>
      </c>
      <c r="CZ506" s="146">
        <v>1</v>
      </c>
      <c r="DA506" s="146">
        <v>1</v>
      </c>
      <c r="DB506" s="146">
        <v>1</v>
      </c>
      <c r="DC506" s="146">
        <v>1</v>
      </c>
      <c r="DD506" s="146">
        <v>1</v>
      </c>
      <c r="DE506" s="665" t="s">
        <v>396</v>
      </c>
      <c r="DF506" s="665" t="s">
        <v>3337</v>
      </c>
      <c r="DG506" s="665" t="s">
        <v>3338</v>
      </c>
      <c r="DH506" s="696">
        <v>0</v>
      </c>
      <c r="DI506" s="717"/>
      <c r="DJ506" s="717"/>
      <c r="DK506" s="717"/>
      <c r="DL506" s="665" t="s">
        <v>279</v>
      </c>
      <c r="DM506" s="665" t="s">
        <v>3296</v>
      </c>
      <c r="DN506" s="218"/>
      <c r="DO506" s="716"/>
      <c r="DP506" s="665"/>
      <c r="DQ506" s="716"/>
      <c r="DR506" s="716"/>
      <c r="DS506" s="218"/>
      <c r="DT506" s="716"/>
      <c r="DU506" s="665"/>
      <c r="DV506" s="716"/>
      <c r="DW506" s="716"/>
      <c r="DX506" s="218"/>
      <c r="DY506" s="716"/>
      <c r="DZ506" s="665"/>
      <c r="EA506" s="716"/>
      <c r="EB506" s="716"/>
      <c r="EC506" s="665"/>
      <c r="ED506" s="665"/>
      <c r="EE506" s="665"/>
      <c r="EF506" s="665"/>
      <c r="EG506" s="665"/>
      <c r="EH506" s="146"/>
      <c r="EI506" s="170"/>
      <c r="EJ506" s="170"/>
      <c r="EK506" s="262"/>
      <c r="EL506" s="91" t="str">
        <f t="shared" si="117"/>
        <v>No se reportó avance</v>
      </c>
      <c r="EM506" s="83" t="str">
        <f t="shared" si="118"/>
        <v>No se reportó avance</v>
      </c>
      <c r="EN506" s="697"/>
    </row>
    <row r="507" spans="1:146" ht="50.1" customHeight="1">
      <c r="A507" s="170" t="s">
        <v>4671</v>
      </c>
      <c r="B507" s="517" t="s">
        <v>3272</v>
      </c>
      <c r="C507" s="85" t="s">
        <v>3273</v>
      </c>
      <c r="D507" s="85" t="s">
        <v>3274</v>
      </c>
      <c r="E507" s="85" t="s">
        <v>3275</v>
      </c>
      <c r="F507" s="94" t="s">
        <v>280</v>
      </c>
      <c r="G507" s="94" t="s">
        <v>280</v>
      </c>
      <c r="H507" s="84" t="s">
        <v>3976</v>
      </c>
      <c r="I507" s="84" t="s">
        <v>3955</v>
      </c>
      <c r="J507" s="170" t="s">
        <v>3277</v>
      </c>
      <c r="K507" s="170" t="s">
        <v>3278</v>
      </c>
      <c r="L507" s="262">
        <v>24</v>
      </c>
      <c r="M507" s="94" t="s">
        <v>4023</v>
      </c>
      <c r="N507" s="94" t="s">
        <v>4024</v>
      </c>
      <c r="O507" s="94" t="s">
        <v>3669</v>
      </c>
      <c r="P507" s="84" t="s">
        <v>1161</v>
      </c>
      <c r="Q507" s="170" t="s">
        <v>162</v>
      </c>
      <c r="R507" s="84">
        <v>0</v>
      </c>
      <c r="S507" s="84" t="s">
        <v>163</v>
      </c>
      <c r="T507" s="90">
        <v>44927</v>
      </c>
      <c r="U507" s="90">
        <v>46357</v>
      </c>
      <c r="V507" s="262"/>
      <c r="W507" s="262"/>
      <c r="X507" s="262"/>
      <c r="Y507" s="262"/>
      <c r="Z507" s="85"/>
      <c r="AA507" s="85"/>
      <c r="AB507" s="85"/>
      <c r="AC507" s="85"/>
      <c r="AD507" s="85"/>
      <c r="AE507" s="85"/>
      <c r="AF507" s="85"/>
      <c r="AG507" s="85"/>
      <c r="AH507" s="85"/>
      <c r="AI507" s="85"/>
      <c r="AJ507" s="85"/>
      <c r="AK507" s="157"/>
      <c r="AL507" s="157"/>
      <c r="AM507" s="157"/>
      <c r="AN507" s="157"/>
      <c r="AO507" s="157"/>
      <c r="AP507" s="262"/>
      <c r="AQ507" s="262"/>
      <c r="AR507" s="262"/>
      <c r="AS507" s="262"/>
      <c r="AT507" s="262"/>
      <c r="AU507" s="262"/>
      <c r="AV507" s="262"/>
      <c r="AW507" s="262"/>
      <c r="AX507" s="262"/>
      <c r="AY507" s="262"/>
      <c r="AZ507" s="697"/>
      <c r="BA507" s="262"/>
      <c r="BB507" s="262"/>
      <c r="BC507" s="262"/>
      <c r="BD507" s="262"/>
      <c r="BE507" s="262"/>
      <c r="BF507" s="262"/>
      <c r="BG507" s="262"/>
      <c r="BH507" s="262"/>
      <c r="BI507" s="262"/>
      <c r="BJ507" s="697"/>
      <c r="BK507" s="262"/>
      <c r="BL507" s="697"/>
      <c r="BM507" s="262"/>
      <c r="BN507" s="697"/>
      <c r="BO507" s="262"/>
      <c r="BP507" s="697"/>
      <c r="BQ507" s="262"/>
      <c r="BR507" s="262"/>
      <c r="BS507" s="262"/>
      <c r="BT507" s="262"/>
      <c r="BU507" s="262"/>
      <c r="BV507" s="262"/>
      <c r="BW507" s="262"/>
      <c r="BX507" s="262"/>
      <c r="BY507" s="262"/>
      <c r="BZ507" s="262"/>
      <c r="CA507" s="262"/>
      <c r="CB507" s="262"/>
      <c r="CC507" s="262"/>
      <c r="CD507" s="262"/>
      <c r="CE507" s="262"/>
      <c r="CF507" s="262"/>
      <c r="CG507" s="717"/>
      <c r="CH507" s="262"/>
      <c r="CI507" s="262"/>
      <c r="CJ507" s="83" t="str">
        <f t="shared" si="120"/>
        <v>No aplica</v>
      </c>
      <c r="CK507" s="83" t="str">
        <f t="shared" si="119"/>
        <v>No aplica</v>
      </c>
      <c r="CL507" s="83" t="str">
        <f t="shared" si="114"/>
        <v>No requiere reporte</v>
      </c>
      <c r="CM507" s="89" t="str">
        <f t="shared" si="115"/>
        <v>No requiere reporte</v>
      </c>
      <c r="CN507" s="89" t="str">
        <f t="shared" si="116"/>
        <v>No requiere reporte</v>
      </c>
      <c r="CO507" s="735" t="s">
        <v>4038</v>
      </c>
      <c r="CP507" s="734" t="s">
        <v>4039</v>
      </c>
      <c r="CQ507" s="178" t="s">
        <v>4031</v>
      </c>
      <c r="CR507" s="694" t="s">
        <v>4032</v>
      </c>
      <c r="CS507" s="178" t="s">
        <v>4033</v>
      </c>
      <c r="CT507" s="178" t="s">
        <v>1161</v>
      </c>
      <c r="CU507" s="145" t="s">
        <v>233</v>
      </c>
      <c r="CV507" s="178">
        <v>0</v>
      </c>
      <c r="CW507" s="178" t="s">
        <v>234</v>
      </c>
      <c r="CX507" s="695">
        <v>46023</v>
      </c>
      <c r="CY507" s="695">
        <v>46387</v>
      </c>
      <c r="CZ507" s="689">
        <v>0</v>
      </c>
      <c r="DA507" s="689">
        <v>1</v>
      </c>
      <c r="DB507" s="689">
        <v>1</v>
      </c>
      <c r="DC507" s="689">
        <v>1</v>
      </c>
      <c r="DD507" s="689">
        <v>1</v>
      </c>
      <c r="DE507" s="665" t="s">
        <v>396</v>
      </c>
      <c r="DF507" s="665" t="s">
        <v>3337</v>
      </c>
      <c r="DG507" s="665" t="s">
        <v>3338</v>
      </c>
      <c r="DH507" s="696">
        <v>0</v>
      </c>
      <c r="DI507" s="717"/>
      <c r="DJ507" s="717"/>
      <c r="DK507" s="717"/>
      <c r="DL507" s="665" t="s">
        <v>279</v>
      </c>
      <c r="DM507" s="665"/>
      <c r="DN507" s="665"/>
      <c r="DO507" s="716"/>
      <c r="DP507" s="665"/>
      <c r="DQ507" s="716"/>
      <c r="DR507" s="716"/>
      <c r="DS507" s="665"/>
      <c r="DT507" s="716"/>
      <c r="DU507" s="665"/>
      <c r="DV507" s="716"/>
      <c r="DW507" s="716"/>
      <c r="DX507" s="665"/>
      <c r="DY507" s="716"/>
      <c r="DZ507" s="665"/>
      <c r="EA507" s="716"/>
      <c r="EB507" s="716"/>
      <c r="EC507" s="665"/>
      <c r="ED507" s="665"/>
      <c r="EE507" s="665"/>
      <c r="EF507" s="665"/>
      <c r="EG507" s="665"/>
      <c r="EH507" s="665"/>
      <c r="EI507" s="170"/>
      <c r="EJ507" s="170"/>
      <c r="EK507" s="262"/>
      <c r="EL507" s="91" t="str">
        <f t="shared" si="117"/>
        <v>No aplica, no hay meta</v>
      </c>
      <c r="EM507" s="83" t="str">
        <f t="shared" si="118"/>
        <v>No se reportó avance</v>
      </c>
      <c r="EN507" s="697"/>
    </row>
    <row r="508" spans="1:146" ht="50.1" customHeight="1">
      <c r="A508" s="170" t="s">
        <v>4671</v>
      </c>
      <c r="B508" s="517" t="s">
        <v>3272</v>
      </c>
      <c r="C508" s="85" t="s">
        <v>3273</v>
      </c>
      <c r="D508" s="85" t="s">
        <v>3274</v>
      </c>
      <c r="E508" s="85" t="s">
        <v>3275</v>
      </c>
      <c r="F508" s="94" t="s">
        <v>280</v>
      </c>
      <c r="G508" s="94" t="s">
        <v>280</v>
      </c>
      <c r="H508" s="84" t="s">
        <v>3976</v>
      </c>
      <c r="I508" s="84" t="s">
        <v>3955</v>
      </c>
      <c r="J508" s="170" t="s">
        <v>3277</v>
      </c>
      <c r="K508" s="170" t="s">
        <v>3278</v>
      </c>
      <c r="L508" s="262">
        <v>24</v>
      </c>
      <c r="M508" s="94" t="s">
        <v>4023</v>
      </c>
      <c r="N508" s="94" t="s">
        <v>4024</v>
      </c>
      <c r="O508" s="94" t="s">
        <v>3669</v>
      </c>
      <c r="P508" s="84" t="s">
        <v>1161</v>
      </c>
      <c r="Q508" s="170" t="s">
        <v>162</v>
      </c>
      <c r="R508" s="84">
        <v>0</v>
      </c>
      <c r="S508" s="84" t="s">
        <v>163</v>
      </c>
      <c r="T508" s="90">
        <v>44927</v>
      </c>
      <c r="U508" s="90">
        <v>46357</v>
      </c>
      <c r="V508" s="262"/>
      <c r="W508" s="262"/>
      <c r="X508" s="262"/>
      <c r="Y508" s="262"/>
      <c r="Z508" s="85"/>
      <c r="AA508" s="85"/>
      <c r="AB508" s="85"/>
      <c r="AC508" s="85"/>
      <c r="AD508" s="85"/>
      <c r="AE508" s="85"/>
      <c r="AF508" s="85"/>
      <c r="AG508" s="85"/>
      <c r="AH508" s="85"/>
      <c r="AI508" s="85"/>
      <c r="AJ508" s="85"/>
      <c r="AK508" s="157"/>
      <c r="AL508" s="157"/>
      <c r="AM508" s="157"/>
      <c r="AN508" s="157"/>
      <c r="AO508" s="157"/>
      <c r="AP508" s="262"/>
      <c r="AQ508" s="262"/>
      <c r="AR508" s="262"/>
      <c r="AS508" s="262"/>
      <c r="AT508" s="262"/>
      <c r="AU508" s="262"/>
      <c r="AV508" s="262"/>
      <c r="AW508" s="262"/>
      <c r="AX508" s="262"/>
      <c r="AY508" s="262"/>
      <c r="AZ508" s="697"/>
      <c r="BA508" s="262"/>
      <c r="BB508" s="262"/>
      <c r="BC508" s="262"/>
      <c r="BD508" s="262"/>
      <c r="BE508" s="262"/>
      <c r="BF508" s="262"/>
      <c r="BG508" s="262"/>
      <c r="BH508" s="262"/>
      <c r="BI508" s="262"/>
      <c r="BJ508" s="697"/>
      <c r="BK508" s="262"/>
      <c r="BL508" s="697"/>
      <c r="BM508" s="262"/>
      <c r="BN508" s="697"/>
      <c r="BO508" s="262"/>
      <c r="BP508" s="697"/>
      <c r="BQ508" s="262"/>
      <c r="BR508" s="262"/>
      <c r="BS508" s="262"/>
      <c r="BT508" s="262"/>
      <c r="BU508" s="262"/>
      <c r="BV508" s="262"/>
      <c r="BW508" s="262"/>
      <c r="BX508" s="262"/>
      <c r="BY508" s="262"/>
      <c r="BZ508" s="262"/>
      <c r="CA508" s="262"/>
      <c r="CB508" s="262"/>
      <c r="CC508" s="262"/>
      <c r="CD508" s="262"/>
      <c r="CE508" s="262"/>
      <c r="CF508" s="262"/>
      <c r="CG508" s="717"/>
      <c r="CH508" s="262"/>
      <c r="CI508" s="262"/>
      <c r="CJ508" s="83" t="str">
        <f t="shared" si="120"/>
        <v>No aplica</v>
      </c>
      <c r="CK508" s="83" t="str">
        <f t="shared" si="119"/>
        <v>No aplica</v>
      </c>
      <c r="CL508" s="83" t="str">
        <f t="shared" si="114"/>
        <v>No requiere reporte</v>
      </c>
      <c r="CM508" s="89" t="str">
        <f t="shared" si="115"/>
        <v>No requiere reporte</v>
      </c>
      <c r="CN508" s="89" t="str">
        <f t="shared" si="116"/>
        <v>No requiere reporte</v>
      </c>
      <c r="CO508" s="735" t="s">
        <v>4040</v>
      </c>
      <c r="CP508" s="734" t="s">
        <v>4041</v>
      </c>
      <c r="CQ508" s="145" t="s">
        <v>3838</v>
      </c>
      <c r="CR508" s="693" t="s">
        <v>3839</v>
      </c>
      <c r="CS508" s="693" t="s">
        <v>3840</v>
      </c>
      <c r="CT508" s="145" t="s">
        <v>200</v>
      </c>
      <c r="CU508" s="714" t="s">
        <v>162</v>
      </c>
      <c r="CV508" s="291">
        <v>0</v>
      </c>
      <c r="CW508" s="145" t="s">
        <v>163</v>
      </c>
      <c r="CX508" s="695">
        <v>46023</v>
      </c>
      <c r="CY508" s="695">
        <v>46387</v>
      </c>
      <c r="CZ508" s="689">
        <v>0</v>
      </c>
      <c r="DA508" s="146">
        <v>1</v>
      </c>
      <c r="DB508" s="146">
        <v>1</v>
      </c>
      <c r="DC508" s="146">
        <v>1</v>
      </c>
      <c r="DD508" s="146">
        <v>1</v>
      </c>
      <c r="DE508" s="665" t="s">
        <v>396</v>
      </c>
      <c r="DF508" s="665" t="s">
        <v>3337</v>
      </c>
      <c r="DG508" s="665" t="s">
        <v>3338</v>
      </c>
      <c r="DH508" s="696">
        <v>0</v>
      </c>
      <c r="DI508" s="717"/>
      <c r="DJ508" s="717"/>
      <c r="DK508" s="717"/>
      <c r="DL508" s="665" t="s">
        <v>279</v>
      </c>
      <c r="DM508" s="665"/>
      <c r="DN508" s="218"/>
      <c r="DO508" s="716"/>
      <c r="DP508" s="665"/>
      <c r="DQ508" s="716"/>
      <c r="DR508" s="716"/>
      <c r="DS508" s="218"/>
      <c r="DT508" s="716"/>
      <c r="DU508" s="665"/>
      <c r="DV508" s="716"/>
      <c r="DW508" s="716"/>
      <c r="DX508" s="218"/>
      <c r="DY508" s="716"/>
      <c r="DZ508" s="665"/>
      <c r="EA508" s="716"/>
      <c r="EB508" s="716"/>
      <c r="EC508" s="665"/>
      <c r="ED508" s="665"/>
      <c r="EE508" s="665"/>
      <c r="EF508" s="665"/>
      <c r="EG508" s="665"/>
      <c r="EH508" s="666"/>
      <c r="EI508" s="170"/>
      <c r="EJ508" s="170"/>
      <c r="EK508" s="262"/>
      <c r="EL508" s="91" t="str">
        <f t="shared" si="117"/>
        <v>No aplica, no hay meta</v>
      </c>
      <c r="EM508" s="83" t="str">
        <f t="shared" si="118"/>
        <v>No se reportó avance</v>
      </c>
      <c r="EN508" s="697"/>
    </row>
    <row r="509" spans="1:146" s="605" customFormat="1" ht="409.5">
      <c r="A509" s="377" t="s">
        <v>4042</v>
      </c>
      <c r="B509" s="378" t="s">
        <v>4043</v>
      </c>
      <c r="C509" s="378" t="s">
        <v>2366</v>
      </c>
      <c r="D509" s="378" t="s">
        <v>4044</v>
      </c>
      <c r="E509" s="378" t="s">
        <v>4045</v>
      </c>
      <c r="F509" s="532" t="s">
        <v>999</v>
      </c>
      <c r="G509" s="377"/>
      <c r="H509" s="533" t="s">
        <v>4046</v>
      </c>
      <c r="I509" s="534" t="s">
        <v>4047</v>
      </c>
      <c r="J509" s="377" t="s">
        <v>729</v>
      </c>
      <c r="K509" s="534" t="s">
        <v>4048</v>
      </c>
      <c r="L509" s="382">
        <v>1</v>
      </c>
      <c r="M509" s="382" t="s">
        <v>4049</v>
      </c>
      <c r="N509" s="382" t="s">
        <v>4050</v>
      </c>
      <c r="O509" s="382" t="s">
        <v>4051</v>
      </c>
      <c r="P509" s="382" t="s">
        <v>161</v>
      </c>
      <c r="Q509" s="382" t="s">
        <v>233</v>
      </c>
      <c r="R509" s="535">
        <v>40</v>
      </c>
      <c r="S509" s="382" t="s">
        <v>234</v>
      </c>
      <c r="T509" s="436">
        <v>44927</v>
      </c>
      <c r="U509" s="436">
        <v>46387</v>
      </c>
      <c r="V509" s="536"/>
      <c r="W509" s="536">
        <v>46</v>
      </c>
      <c r="X509" s="536">
        <v>46</v>
      </c>
      <c r="Y509" s="536">
        <v>46</v>
      </c>
      <c r="Z509" s="536">
        <f>+SUM(V509:Y509)</f>
        <v>138</v>
      </c>
      <c r="AA509" s="536"/>
      <c r="AB509" s="536">
        <v>75</v>
      </c>
      <c r="AC509" s="536">
        <v>75</v>
      </c>
      <c r="AD509" s="536">
        <v>70</v>
      </c>
      <c r="AE509" s="536">
        <f>+SUM(AA509:AD509)</f>
        <v>220</v>
      </c>
      <c r="AF509" s="536"/>
      <c r="AG509" s="536">
        <v>40</v>
      </c>
      <c r="AH509" s="536">
        <v>65</v>
      </c>
      <c r="AI509" s="536">
        <v>65</v>
      </c>
      <c r="AJ509" s="536">
        <v>170</v>
      </c>
      <c r="AK509" s="640">
        <v>20</v>
      </c>
      <c r="AL509" s="640">
        <v>80</v>
      </c>
      <c r="AM509" s="640">
        <v>80</v>
      </c>
      <c r="AN509" s="640">
        <v>40</v>
      </c>
      <c r="AO509" s="536">
        <f>+SUM(AK509:AN509)</f>
        <v>220</v>
      </c>
      <c r="AP509" s="536">
        <f>+AO509+AJ509+AE509+Z509</f>
        <v>748</v>
      </c>
      <c r="AQ509" s="845"/>
      <c r="AR509" s="845"/>
      <c r="AS509" s="845"/>
      <c r="AT509" s="845"/>
      <c r="AU509" s="845"/>
      <c r="AV509" s="845"/>
      <c r="AW509" s="845"/>
      <c r="AX509" s="845"/>
      <c r="AY509" s="390">
        <v>158</v>
      </c>
      <c r="AZ509" s="389" t="s">
        <v>4053</v>
      </c>
      <c r="BA509" s="172" t="s">
        <v>201</v>
      </c>
      <c r="BB509" s="646" t="s">
        <v>4054</v>
      </c>
      <c r="BC509" s="404">
        <v>7</v>
      </c>
      <c r="BD509" s="646" t="s">
        <v>4055</v>
      </c>
      <c r="BE509" s="404">
        <f>27+40+36</f>
        <v>103</v>
      </c>
      <c r="BF509" s="846" t="s">
        <v>4056</v>
      </c>
      <c r="BG509" s="404">
        <v>101</v>
      </c>
      <c r="BH509" s="537" t="s">
        <v>4057</v>
      </c>
      <c r="BI509" s="404">
        <f>+BG509+BE509+BC509</f>
        <v>211</v>
      </c>
      <c r="BJ509" s="538" t="s">
        <v>4058</v>
      </c>
      <c r="BK509" s="845" t="s">
        <v>182</v>
      </c>
      <c r="BL509" s="744" t="s">
        <v>4059</v>
      </c>
      <c r="BM509" s="845">
        <v>0</v>
      </c>
      <c r="BN509" s="847" t="s">
        <v>4060</v>
      </c>
      <c r="BO509" s="751">
        <v>90</v>
      </c>
      <c r="BP509" s="848" t="s">
        <v>4061</v>
      </c>
      <c r="BQ509" s="845"/>
      <c r="BR509" s="845"/>
      <c r="BS509" s="751">
        <v>90</v>
      </c>
      <c r="BT509" s="845"/>
      <c r="BU509" s="845"/>
      <c r="BV509" s="845"/>
      <c r="BW509" s="845"/>
      <c r="BX509" s="845"/>
      <c r="BY509" s="845"/>
      <c r="BZ509" s="845"/>
      <c r="CA509" s="845"/>
      <c r="CB509" s="845"/>
      <c r="CC509" s="845"/>
      <c r="CD509" s="845"/>
      <c r="CE509" s="849">
        <v>666</v>
      </c>
      <c r="CF509" s="845"/>
      <c r="CG509" s="539">
        <f>SUM(DH509:DH517)</f>
        <v>11325347960</v>
      </c>
      <c r="CH509" s="540"/>
      <c r="CI509" s="540"/>
      <c r="CJ509" s="83">
        <f t="shared" si="120"/>
        <v>0</v>
      </c>
      <c r="CK509" s="83">
        <f t="shared" si="119"/>
        <v>0</v>
      </c>
      <c r="CL509" s="83" t="str">
        <f t="shared" si="114"/>
        <v>No se reportó avance</v>
      </c>
      <c r="CM509" s="89" t="str">
        <f t="shared" si="115"/>
        <v>No se reportó avance</v>
      </c>
      <c r="CN509" s="89">
        <f t="shared" si="116"/>
        <v>0.89037433155080214</v>
      </c>
      <c r="CO509" s="394" t="s">
        <v>177</v>
      </c>
      <c r="CP509" s="748" t="s">
        <v>4062</v>
      </c>
      <c r="CQ509" s="658" t="s">
        <v>3147</v>
      </c>
      <c r="CR509" s="748" t="s">
        <v>4063</v>
      </c>
      <c r="CS509" s="748" t="s">
        <v>4064</v>
      </c>
      <c r="CT509" s="658" t="s">
        <v>931</v>
      </c>
      <c r="CU509" s="658" t="s">
        <v>233</v>
      </c>
      <c r="CV509" s="658">
        <v>560</v>
      </c>
      <c r="CW509" s="658" t="s">
        <v>402</v>
      </c>
      <c r="CX509" s="395">
        <v>46054</v>
      </c>
      <c r="CY509" s="395">
        <v>46387</v>
      </c>
      <c r="CZ509" s="541">
        <v>0</v>
      </c>
      <c r="DA509" s="541">
        <v>0</v>
      </c>
      <c r="DB509" s="541">
        <v>200</v>
      </c>
      <c r="DC509" s="541">
        <v>0</v>
      </c>
      <c r="DD509" s="541">
        <v>200</v>
      </c>
      <c r="DE509" s="658" t="s">
        <v>3071</v>
      </c>
      <c r="DF509" s="658" t="s">
        <v>4065</v>
      </c>
      <c r="DG509" s="748" t="s">
        <v>4066</v>
      </c>
      <c r="DH509" s="871">
        <v>525000000</v>
      </c>
      <c r="DI509" s="394" t="s">
        <v>956</v>
      </c>
      <c r="DJ509" s="394" t="s">
        <v>480</v>
      </c>
      <c r="DK509" s="658" t="s">
        <v>1024</v>
      </c>
      <c r="DL509" s="658" t="s">
        <v>2708</v>
      </c>
      <c r="DM509" s="394"/>
      <c r="DN509" s="390"/>
      <c r="DO509" s="389"/>
      <c r="DP509" s="390"/>
      <c r="DQ509" s="389"/>
      <c r="DR509" s="389"/>
      <c r="DS509" s="390"/>
      <c r="DT509" s="389"/>
      <c r="DU509" s="390"/>
      <c r="DV509" s="390"/>
      <c r="DW509" s="390"/>
      <c r="DX509" s="394"/>
      <c r="DY509" s="747"/>
      <c r="DZ509" s="364"/>
      <c r="EA509" s="394"/>
      <c r="EB509" s="394"/>
      <c r="EC509" s="390"/>
      <c r="ED509" s="390"/>
      <c r="EE509" s="390"/>
      <c r="EF509" s="390"/>
      <c r="EG509" s="390"/>
      <c r="EH509" s="394"/>
      <c r="EI509" s="389"/>
      <c r="EJ509" s="389"/>
      <c r="EK509" s="389"/>
      <c r="EL509" s="91" t="str">
        <f t="shared" si="117"/>
        <v>No aplica, no hay meta</v>
      </c>
      <c r="EM509" s="83" t="str">
        <f t="shared" si="118"/>
        <v>No se reportó avance</v>
      </c>
      <c r="EN509" s="872"/>
      <c r="EO509" s="605" t="str">
        <f t="shared" ref="EO509:EO544" si="121">+IF(OR(P509="Producto",P509="Resultado",P509="Impacto"),"Producto",P509)</f>
        <v>Producto</v>
      </c>
      <c r="EP509" s="605" t="str">
        <f t="shared" ref="EP509:EP544" si="122">+MID(J509,1,1)</f>
        <v>2</v>
      </c>
    </row>
    <row r="510" spans="1:146" s="605" customFormat="1" ht="78.75">
      <c r="A510" s="390" t="s">
        <v>4042</v>
      </c>
      <c r="B510" s="398" t="s">
        <v>4043</v>
      </c>
      <c r="C510" s="398" t="s">
        <v>2366</v>
      </c>
      <c r="D510" s="398" t="s">
        <v>4044</v>
      </c>
      <c r="E510" s="398" t="s">
        <v>4045</v>
      </c>
      <c r="F510" s="542" t="s">
        <v>999</v>
      </c>
      <c r="G510" s="390"/>
      <c r="H510" s="394" t="s">
        <v>4046</v>
      </c>
      <c r="I510" s="389" t="s">
        <v>4047</v>
      </c>
      <c r="J510" s="390" t="s">
        <v>729</v>
      </c>
      <c r="K510" s="389" t="s">
        <v>4048</v>
      </c>
      <c r="L510" s="390">
        <v>1</v>
      </c>
      <c r="M510" s="390" t="s">
        <v>4049</v>
      </c>
      <c r="N510" s="390" t="s">
        <v>4050</v>
      </c>
      <c r="O510" s="390" t="s">
        <v>4051</v>
      </c>
      <c r="P510" s="390" t="s">
        <v>161</v>
      </c>
      <c r="Q510" s="390" t="s">
        <v>233</v>
      </c>
      <c r="R510" s="543" t="s">
        <v>4052</v>
      </c>
      <c r="S510" s="390" t="s">
        <v>234</v>
      </c>
      <c r="T510" s="437">
        <v>44927</v>
      </c>
      <c r="U510" s="437">
        <v>46387</v>
      </c>
      <c r="V510" s="543"/>
      <c r="W510" s="543"/>
      <c r="X510" s="543"/>
      <c r="Y510" s="543"/>
      <c r="Z510" s="543"/>
      <c r="AA510" s="543"/>
      <c r="AB510" s="543"/>
      <c r="AC510" s="543"/>
      <c r="AD510" s="543"/>
      <c r="AE510" s="543"/>
      <c r="AF510" s="543"/>
      <c r="AG510" s="543"/>
      <c r="AH510" s="543"/>
      <c r="AI510" s="543"/>
      <c r="AJ510" s="543"/>
      <c r="AK510" s="544"/>
      <c r="AL510" s="544"/>
      <c r="AM510" s="544"/>
      <c r="AN510" s="544"/>
      <c r="AO510" s="543"/>
      <c r="AP510" s="545"/>
      <c r="AQ510" s="546"/>
      <c r="AR510" s="546"/>
      <c r="AS510" s="546"/>
      <c r="AT510" s="546"/>
      <c r="AU510" s="546"/>
      <c r="AV510" s="546"/>
      <c r="AW510" s="546"/>
      <c r="AX510" s="546"/>
      <c r="AY510" s="546"/>
      <c r="AZ510" s="744"/>
      <c r="BA510" s="546"/>
      <c r="BB510" s="546"/>
      <c r="BC510" s="546"/>
      <c r="BD510" s="546"/>
      <c r="BE510" s="546"/>
      <c r="BF510" s="546"/>
      <c r="BG510" s="546"/>
      <c r="BH510" s="546"/>
      <c r="BI510" s="546"/>
      <c r="BJ510" s="546"/>
      <c r="BK510" s="546"/>
      <c r="BL510" s="546"/>
      <c r="BM510" s="546"/>
      <c r="BN510" s="546"/>
      <c r="BO510" s="546"/>
      <c r="BP510" s="546"/>
      <c r="BQ510" s="546"/>
      <c r="BR510" s="546"/>
      <c r="BS510" s="546"/>
      <c r="BT510" s="546"/>
      <c r="BU510" s="546"/>
      <c r="BV510" s="546"/>
      <c r="BW510" s="546"/>
      <c r="BX510" s="546"/>
      <c r="BY510" s="546"/>
      <c r="BZ510" s="546"/>
      <c r="CA510" s="546"/>
      <c r="CB510" s="546"/>
      <c r="CC510" s="546"/>
      <c r="CD510" s="546"/>
      <c r="CE510" s="546"/>
      <c r="CF510" s="546"/>
      <c r="CG510" s="547"/>
      <c r="CH510" s="548"/>
      <c r="CI510" s="548"/>
      <c r="CJ510" s="83" t="str">
        <f t="shared" si="120"/>
        <v>No aplica</v>
      </c>
      <c r="CK510" s="83" t="str">
        <f t="shared" si="119"/>
        <v>No aplica</v>
      </c>
      <c r="CL510" s="83" t="str">
        <f t="shared" si="114"/>
        <v>No requiere reporte</v>
      </c>
      <c r="CM510" s="89" t="str">
        <f t="shared" si="115"/>
        <v>No requiere reporte</v>
      </c>
      <c r="CN510" s="89" t="str">
        <f t="shared" si="116"/>
        <v>No requiere reporte</v>
      </c>
      <c r="CO510" s="394" t="s">
        <v>185</v>
      </c>
      <c r="CP510" s="748" t="s">
        <v>4067</v>
      </c>
      <c r="CQ510" s="658" t="s">
        <v>3147</v>
      </c>
      <c r="CR510" s="748" t="s">
        <v>4068</v>
      </c>
      <c r="CS510" s="748" t="s">
        <v>4069</v>
      </c>
      <c r="CT510" s="658" t="s">
        <v>931</v>
      </c>
      <c r="CU510" s="658" t="s">
        <v>233</v>
      </c>
      <c r="CV510" s="658">
        <v>520</v>
      </c>
      <c r="CW510" s="658" t="s">
        <v>402</v>
      </c>
      <c r="CX510" s="395">
        <v>46054</v>
      </c>
      <c r="CY510" s="395">
        <v>46387</v>
      </c>
      <c r="CZ510" s="541">
        <v>160</v>
      </c>
      <c r="DA510" s="541">
        <v>480</v>
      </c>
      <c r="DB510" s="541">
        <v>480</v>
      </c>
      <c r="DC510" s="541">
        <v>160</v>
      </c>
      <c r="DD510" s="541">
        <v>1280</v>
      </c>
      <c r="DE510" s="658" t="s">
        <v>3071</v>
      </c>
      <c r="DF510" s="658" t="s">
        <v>4065</v>
      </c>
      <c r="DG510" s="748" t="s">
        <v>4066</v>
      </c>
      <c r="DH510" s="871">
        <v>1280000000</v>
      </c>
      <c r="DI510" s="394" t="s">
        <v>956</v>
      </c>
      <c r="DJ510" s="394" t="s">
        <v>480</v>
      </c>
      <c r="DK510" s="658" t="s">
        <v>1024</v>
      </c>
      <c r="DL510" s="658" t="s">
        <v>2708</v>
      </c>
      <c r="DM510" s="394"/>
      <c r="DN510" s="390"/>
      <c r="DO510" s="389"/>
      <c r="DP510" s="390"/>
      <c r="DQ510" s="389"/>
      <c r="DR510" s="389"/>
      <c r="DS510" s="390"/>
      <c r="DT510" s="389"/>
      <c r="DU510" s="390"/>
      <c r="DV510" s="390"/>
      <c r="DW510" s="390"/>
      <c r="DX510" s="394"/>
      <c r="DY510" s="747"/>
      <c r="DZ510" s="364"/>
      <c r="EA510" s="873"/>
      <c r="EB510" s="873"/>
      <c r="EC510" s="654"/>
      <c r="ED510" s="654"/>
      <c r="EE510" s="654"/>
      <c r="EF510" s="654"/>
      <c r="EG510" s="654"/>
      <c r="EH510" s="394"/>
      <c r="EI510" s="389"/>
      <c r="EJ510" s="389"/>
      <c r="EK510" s="389"/>
      <c r="EL510" s="91" t="str">
        <f t="shared" si="117"/>
        <v>No se reportó avance</v>
      </c>
      <c r="EM510" s="83" t="str">
        <f t="shared" si="118"/>
        <v>No se reportó avance</v>
      </c>
      <c r="EN510" s="872"/>
      <c r="EO510" s="605" t="str">
        <f t="shared" si="121"/>
        <v>Producto</v>
      </c>
      <c r="EP510" s="605" t="str">
        <f t="shared" si="122"/>
        <v>2</v>
      </c>
    </row>
    <row r="511" spans="1:146" s="605" customFormat="1" ht="78.75">
      <c r="A511" s="390" t="s">
        <v>4042</v>
      </c>
      <c r="B511" s="398" t="s">
        <v>4043</v>
      </c>
      <c r="C511" s="398" t="s">
        <v>2366</v>
      </c>
      <c r="D511" s="398" t="s">
        <v>4044</v>
      </c>
      <c r="E511" s="398" t="s">
        <v>4045</v>
      </c>
      <c r="F511" s="542" t="s">
        <v>999</v>
      </c>
      <c r="G511" s="390"/>
      <c r="H511" s="394" t="s">
        <v>4046</v>
      </c>
      <c r="I511" s="389" t="s">
        <v>4047</v>
      </c>
      <c r="J511" s="390" t="s">
        <v>729</v>
      </c>
      <c r="K511" s="389" t="s">
        <v>4048</v>
      </c>
      <c r="L511" s="390">
        <v>1</v>
      </c>
      <c r="M511" s="390" t="s">
        <v>4049</v>
      </c>
      <c r="N511" s="390" t="s">
        <v>4050</v>
      </c>
      <c r="O511" s="390" t="s">
        <v>4051</v>
      </c>
      <c r="P511" s="390" t="s">
        <v>161</v>
      </c>
      <c r="Q511" s="390" t="s">
        <v>233</v>
      </c>
      <c r="R511" s="543" t="s">
        <v>4052</v>
      </c>
      <c r="S511" s="390" t="s">
        <v>234</v>
      </c>
      <c r="T511" s="437">
        <v>44927</v>
      </c>
      <c r="U511" s="437">
        <v>46387</v>
      </c>
      <c r="V511" s="543"/>
      <c r="W511" s="543"/>
      <c r="X511" s="543"/>
      <c r="Y511" s="543"/>
      <c r="Z511" s="543"/>
      <c r="AA511" s="543"/>
      <c r="AB511" s="543"/>
      <c r="AC511" s="543"/>
      <c r="AD511" s="543"/>
      <c r="AE511" s="543"/>
      <c r="AF511" s="543"/>
      <c r="AG511" s="543"/>
      <c r="AH511" s="543"/>
      <c r="AI511" s="543"/>
      <c r="AJ511" s="543"/>
      <c r="AK511" s="544"/>
      <c r="AL511" s="544"/>
      <c r="AM511" s="544"/>
      <c r="AN511" s="544"/>
      <c r="AO511" s="543"/>
      <c r="AP511" s="545"/>
      <c r="AQ511" s="546"/>
      <c r="AR511" s="546"/>
      <c r="AS511" s="546"/>
      <c r="AT511" s="546"/>
      <c r="AU511" s="546"/>
      <c r="AV511" s="546"/>
      <c r="AW511" s="546"/>
      <c r="AX511" s="546"/>
      <c r="AY511" s="546"/>
      <c r="AZ511" s="744"/>
      <c r="BA511" s="546"/>
      <c r="BB511" s="546"/>
      <c r="BC511" s="546"/>
      <c r="BD511" s="546"/>
      <c r="BE511" s="546"/>
      <c r="BF511" s="546"/>
      <c r="BG511" s="546"/>
      <c r="BH511" s="546"/>
      <c r="BI511" s="546"/>
      <c r="BJ511" s="546"/>
      <c r="BK511" s="546"/>
      <c r="BL511" s="546"/>
      <c r="BM511" s="546"/>
      <c r="BN511" s="546"/>
      <c r="BO511" s="546"/>
      <c r="BP511" s="546"/>
      <c r="BQ511" s="546"/>
      <c r="BR511" s="546"/>
      <c r="BS511" s="546"/>
      <c r="BT511" s="546"/>
      <c r="BU511" s="546"/>
      <c r="BV511" s="546"/>
      <c r="BW511" s="546"/>
      <c r="BX511" s="546"/>
      <c r="BY511" s="546"/>
      <c r="BZ511" s="546"/>
      <c r="CA511" s="546"/>
      <c r="CB511" s="546"/>
      <c r="CC511" s="546"/>
      <c r="CD511" s="546"/>
      <c r="CE511" s="546"/>
      <c r="CF511" s="546"/>
      <c r="CG511" s="547"/>
      <c r="CH511" s="548"/>
      <c r="CI511" s="548"/>
      <c r="CJ511" s="83" t="str">
        <f t="shared" si="120"/>
        <v>No aplica</v>
      </c>
      <c r="CK511" s="83" t="str">
        <f t="shared" si="119"/>
        <v>No aplica</v>
      </c>
      <c r="CL511" s="83" t="str">
        <f t="shared" si="114"/>
        <v>No requiere reporte</v>
      </c>
      <c r="CM511" s="89" t="str">
        <f t="shared" si="115"/>
        <v>No requiere reporte</v>
      </c>
      <c r="CN511" s="89" t="str">
        <f t="shared" si="116"/>
        <v>No requiere reporte</v>
      </c>
      <c r="CO511" s="394" t="s">
        <v>190</v>
      </c>
      <c r="CP511" s="748" t="s">
        <v>4070</v>
      </c>
      <c r="CQ511" s="658" t="s">
        <v>1475</v>
      </c>
      <c r="CR511" s="748" t="s">
        <v>4071</v>
      </c>
      <c r="CS511" s="748" t="s">
        <v>4072</v>
      </c>
      <c r="CT511" s="658" t="s">
        <v>931</v>
      </c>
      <c r="CU511" s="658" t="s">
        <v>233</v>
      </c>
      <c r="CV511" s="658">
        <v>1</v>
      </c>
      <c r="CW511" s="658" t="s">
        <v>402</v>
      </c>
      <c r="CX511" s="395">
        <v>46054</v>
      </c>
      <c r="CY511" s="395">
        <v>46387</v>
      </c>
      <c r="CZ511" s="541">
        <v>0</v>
      </c>
      <c r="DA511" s="541">
        <v>0</v>
      </c>
      <c r="DB511" s="541">
        <v>0</v>
      </c>
      <c r="DC511" s="541">
        <v>1</v>
      </c>
      <c r="DD511" s="541">
        <v>1</v>
      </c>
      <c r="DE511" s="658" t="s">
        <v>3071</v>
      </c>
      <c r="DF511" s="658" t="s">
        <v>4065</v>
      </c>
      <c r="DG511" s="748" t="s">
        <v>4066</v>
      </c>
      <c r="DH511" s="871">
        <v>115609760</v>
      </c>
      <c r="DI511" s="394" t="s">
        <v>956</v>
      </c>
      <c r="DJ511" s="394" t="s">
        <v>480</v>
      </c>
      <c r="DK511" s="658" t="s">
        <v>1024</v>
      </c>
      <c r="DL511" s="658" t="s">
        <v>2708</v>
      </c>
      <c r="DM511" s="394"/>
      <c r="DN511" s="394"/>
      <c r="DO511" s="747"/>
      <c r="DP511" s="394"/>
      <c r="DQ511" s="747"/>
      <c r="DR511" s="747"/>
      <c r="DS511" s="394"/>
      <c r="DT511" s="747"/>
      <c r="DU511" s="394"/>
      <c r="DV511" s="394"/>
      <c r="DW511" s="874"/>
      <c r="DX511" s="394"/>
      <c r="DY511" s="747"/>
      <c r="DZ511" s="394"/>
      <c r="EA511" s="394"/>
      <c r="EB511" s="874"/>
      <c r="EC511" s="874"/>
      <c r="ED511" s="874"/>
      <c r="EE511" s="874"/>
      <c r="EF511" s="874"/>
      <c r="EG511" s="874"/>
      <c r="EH511" s="394"/>
      <c r="EI511" s="747"/>
      <c r="EJ511" s="747"/>
      <c r="EK511" s="747"/>
      <c r="EL511" s="91" t="str">
        <f t="shared" si="117"/>
        <v>No aplica, no hay meta</v>
      </c>
      <c r="EM511" s="83" t="str">
        <f t="shared" si="118"/>
        <v>No se reportó avance</v>
      </c>
      <c r="EN511" s="709"/>
      <c r="EO511" s="605" t="str">
        <f t="shared" si="121"/>
        <v>Producto</v>
      </c>
      <c r="EP511" s="605" t="str">
        <f t="shared" si="122"/>
        <v>2</v>
      </c>
    </row>
    <row r="512" spans="1:146" s="605" customFormat="1" ht="78.75">
      <c r="A512" s="390" t="s">
        <v>4042</v>
      </c>
      <c r="B512" s="398" t="s">
        <v>4043</v>
      </c>
      <c r="C512" s="398" t="s">
        <v>2366</v>
      </c>
      <c r="D512" s="398" t="s">
        <v>4044</v>
      </c>
      <c r="E512" s="398" t="s">
        <v>4045</v>
      </c>
      <c r="F512" s="542" t="s">
        <v>999</v>
      </c>
      <c r="G512" s="390"/>
      <c r="H512" s="394" t="s">
        <v>4046</v>
      </c>
      <c r="I512" s="389" t="s">
        <v>4047</v>
      </c>
      <c r="J512" s="390" t="s">
        <v>729</v>
      </c>
      <c r="K512" s="389" t="s">
        <v>4048</v>
      </c>
      <c r="L512" s="390">
        <v>1</v>
      </c>
      <c r="M512" s="390" t="s">
        <v>4049</v>
      </c>
      <c r="N512" s="390" t="s">
        <v>4050</v>
      </c>
      <c r="O512" s="390" t="s">
        <v>4051</v>
      </c>
      <c r="P512" s="390" t="s">
        <v>161</v>
      </c>
      <c r="Q512" s="390" t="s">
        <v>233</v>
      </c>
      <c r="R512" s="543" t="s">
        <v>4052</v>
      </c>
      <c r="S512" s="390" t="s">
        <v>234</v>
      </c>
      <c r="T512" s="437">
        <v>44927</v>
      </c>
      <c r="U512" s="437">
        <v>46387</v>
      </c>
      <c r="V512" s="543"/>
      <c r="W512" s="543"/>
      <c r="X512" s="543"/>
      <c r="Y512" s="543"/>
      <c r="Z512" s="543"/>
      <c r="AA512" s="543"/>
      <c r="AB512" s="543"/>
      <c r="AC512" s="543"/>
      <c r="AD512" s="543"/>
      <c r="AE512" s="543"/>
      <c r="AF512" s="543"/>
      <c r="AG512" s="543"/>
      <c r="AH512" s="543"/>
      <c r="AI512" s="543"/>
      <c r="AJ512" s="543"/>
      <c r="AK512" s="544"/>
      <c r="AL512" s="544"/>
      <c r="AM512" s="544"/>
      <c r="AN512" s="544"/>
      <c r="AO512" s="543"/>
      <c r="AP512" s="545"/>
      <c r="AQ512" s="546"/>
      <c r="AR512" s="546"/>
      <c r="AS512" s="546"/>
      <c r="AT512" s="546"/>
      <c r="AU512" s="546"/>
      <c r="AV512" s="546"/>
      <c r="AW512" s="546"/>
      <c r="AX512" s="546"/>
      <c r="AY512" s="546"/>
      <c r="AZ512" s="744"/>
      <c r="BA512" s="546"/>
      <c r="BB512" s="546"/>
      <c r="BC512" s="546"/>
      <c r="BD512" s="546"/>
      <c r="BE512" s="546"/>
      <c r="BF512" s="546"/>
      <c r="BG512" s="546"/>
      <c r="BH512" s="546"/>
      <c r="BI512" s="546"/>
      <c r="BJ512" s="546"/>
      <c r="BK512" s="546"/>
      <c r="BL512" s="546"/>
      <c r="BM512" s="546"/>
      <c r="BN512" s="546"/>
      <c r="BO512" s="546"/>
      <c r="BP512" s="546"/>
      <c r="BQ512" s="546"/>
      <c r="BR512" s="546"/>
      <c r="BS512" s="546"/>
      <c r="BT512" s="546"/>
      <c r="BU512" s="546"/>
      <c r="BV512" s="546"/>
      <c r="BW512" s="546"/>
      <c r="BX512" s="546"/>
      <c r="BY512" s="546"/>
      <c r="BZ512" s="546"/>
      <c r="CA512" s="546"/>
      <c r="CB512" s="546"/>
      <c r="CC512" s="546"/>
      <c r="CD512" s="546"/>
      <c r="CE512" s="546"/>
      <c r="CF512" s="546"/>
      <c r="CG512" s="547"/>
      <c r="CH512" s="548"/>
      <c r="CI512" s="548"/>
      <c r="CJ512" s="83" t="str">
        <f t="shared" si="120"/>
        <v>No aplica</v>
      </c>
      <c r="CK512" s="83" t="str">
        <f t="shared" si="119"/>
        <v>No aplica</v>
      </c>
      <c r="CL512" s="83" t="str">
        <f t="shared" si="114"/>
        <v>No requiere reporte</v>
      </c>
      <c r="CM512" s="89" t="str">
        <f t="shared" si="115"/>
        <v>No requiere reporte</v>
      </c>
      <c r="CN512" s="89" t="str">
        <f t="shared" si="116"/>
        <v>No requiere reporte</v>
      </c>
      <c r="CO512" s="394" t="s">
        <v>195</v>
      </c>
      <c r="CP512" s="875" t="s">
        <v>4073</v>
      </c>
      <c r="CQ512" s="394" t="s">
        <v>474</v>
      </c>
      <c r="CR512" s="875" t="s">
        <v>4074</v>
      </c>
      <c r="CS512" s="875" t="s">
        <v>4075</v>
      </c>
      <c r="CT512" s="658" t="s">
        <v>931</v>
      </c>
      <c r="CU512" s="658" t="s">
        <v>233</v>
      </c>
      <c r="CV512" s="83" t="s">
        <v>182</v>
      </c>
      <c r="CW512" s="658" t="s">
        <v>402</v>
      </c>
      <c r="CX512" s="395">
        <v>46054</v>
      </c>
      <c r="CY512" s="395">
        <v>46387</v>
      </c>
      <c r="CZ512" s="549">
        <v>20</v>
      </c>
      <c r="DA512" s="549">
        <v>80</v>
      </c>
      <c r="DB512" s="549">
        <v>80</v>
      </c>
      <c r="DC512" s="549">
        <v>40</v>
      </c>
      <c r="DD512" s="549">
        <v>220</v>
      </c>
      <c r="DE512" s="658" t="s">
        <v>3071</v>
      </c>
      <c r="DF512" s="658" t="s">
        <v>4065</v>
      </c>
      <c r="DG512" s="748" t="s">
        <v>4066</v>
      </c>
      <c r="DH512" s="876">
        <v>1144000000</v>
      </c>
      <c r="DI512" s="394" t="s">
        <v>956</v>
      </c>
      <c r="DJ512" s="394" t="s">
        <v>480</v>
      </c>
      <c r="DK512" s="658" t="s">
        <v>1024</v>
      </c>
      <c r="DL512" s="658" t="s">
        <v>2708</v>
      </c>
      <c r="DM512" s="758"/>
      <c r="DN512" s="758"/>
      <c r="DO512" s="877"/>
      <c r="DP512" s="550"/>
      <c r="DQ512" s="877"/>
      <c r="DR512" s="877"/>
      <c r="DS512" s="758"/>
      <c r="DT512" s="877"/>
      <c r="DU512" s="551"/>
      <c r="DV512" s="877"/>
      <c r="DW512" s="877"/>
      <c r="DX512" s="758"/>
      <c r="DY512" s="877"/>
      <c r="DZ512" s="551"/>
      <c r="EA512" s="878"/>
      <c r="EB512" s="879"/>
      <c r="EC512" s="880"/>
      <c r="ED512" s="880"/>
      <c r="EE512" s="880"/>
      <c r="EF512" s="880"/>
      <c r="EG512" s="880"/>
      <c r="EH512" s="758"/>
      <c r="EI512" s="881"/>
      <c r="EJ512" s="881"/>
      <c r="EK512" s="881"/>
      <c r="EL512" s="91" t="str">
        <f t="shared" si="117"/>
        <v>No se reportó avance</v>
      </c>
      <c r="EM512" s="83" t="str">
        <f t="shared" si="118"/>
        <v>No se reportó avance</v>
      </c>
      <c r="EN512" s="882"/>
      <c r="EO512" s="605" t="str">
        <f t="shared" si="121"/>
        <v>Producto</v>
      </c>
      <c r="EP512" s="605" t="str">
        <f t="shared" si="122"/>
        <v>2</v>
      </c>
    </row>
    <row r="513" spans="1:146" s="605" customFormat="1" ht="78.75">
      <c r="A513" s="390" t="s">
        <v>4042</v>
      </c>
      <c r="B513" s="398" t="s">
        <v>4043</v>
      </c>
      <c r="C513" s="398" t="s">
        <v>2366</v>
      </c>
      <c r="D513" s="398" t="s">
        <v>4044</v>
      </c>
      <c r="E513" s="398" t="s">
        <v>4045</v>
      </c>
      <c r="F513" s="542" t="s">
        <v>999</v>
      </c>
      <c r="G513" s="390"/>
      <c r="H513" s="394" t="s">
        <v>4046</v>
      </c>
      <c r="I513" s="389" t="s">
        <v>4047</v>
      </c>
      <c r="J513" s="390" t="s">
        <v>729</v>
      </c>
      <c r="K513" s="389" t="s">
        <v>4048</v>
      </c>
      <c r="L513" s="390">
        <v>1</v>
      </c>
      <c r="M513" s="390" t="s">
        <v>4049</v>
      </c>
      <c r="N513" s="390" t="s">
        <v>4050</v>
      </c>
      <c r="O513" s="390" t="s">
        <v>4051</v>
      </c>
      <c r="P513" s="390" t="s">
        <v>161</v>
      </c>
      <c r="Q513" s="390" t="s">
        <v>233</v>
      </c>
      <c r="R513" s="543" t="s">
        <v>4052</v>
      </c>
      <c r="S513" s="390" t="s">
        <v>234</v>
      </c>
      <c r="T513" s="437">
        <v>44927</v>
      </c>
      <c r="U513" s="437">
        <v>46387</v>
      </c>
      <c r="V513" s="543"/>
      <c r="W513" s="543"/>
      <c r="X513" s="543"/>
      <c r="Y513" s="543"/>
      <c r="Z513" s="543"/>
      <c r="AA513" s="543"/>
      <c r="AB513" s="543"/>
      <c r="AC513" s="543"/>
      <c r="AD513" s="543"/>
      <c r="AE513" s="543"/>
      <c r="AF513" s="543"/>
      <c r="AG513" s="543"/>
      <c r="AH513" s="543"/>
      <c r="AI513" s="543"/>
      <c r="AJ513" s="543"/>
      <c r="AK513" s="544"/>
      <c r="AL513" s="544"/>
      <c r="AM513" s="544"/>
      <c r="AN513" s="544"/>
      <c r="AO513" s="543"/>
      <c r="AP513" s="545"/>
      <c r="AQ513" s="546"/>
      <c r="AR513" s="546"/>
      <c r="AS513" s="546"/>
      <c r="AT513" s="546"/>
      <c r="AU513" s="546"/>
      <c r="AV513" s="546"/>
      <c r="AW513" s="546"/>
      <c r="AX513" s="546"/>
      <c r="AY513" s="546"/>
      <c r="AZ513" s="744"/>
      <c r="BA513" s="546"/>
      <c r="BB513" s="546"/>
      <c r="BC513" s="546"/>
      <c r="BD513" s="546"/>
      <c r="BE513" s="546"/>
      <c r="BF513" s="546"/>
      <c r="BG513" s="546"/>
      <c r="BH513" s="546"/>
      <c r="BI513" s="546"/>
      <c r="BJ513" s="546"/>
      <c r="BK513" s="546"/>
      <c r="BL513" s="546"/>
      <c r="BM513" s="546"/>
      <c r="BN513" s="546"/>
      <c r="BO513" s="546"/>
      <c r="BP513" s="546"/>
      <c r="BQ513" s="546"/>
      <c r="BR513" s="546"/>
      <c r="BS513" s="546"/>
      <c r="BT513" s="546"/>
      <c r="BU513" s="546"/>
      <c r="BV513" s="546"/>
      <c r="BW513" s="546"/>
      <c r="BX513" s="546"/>
      <c r="BY513" s="546"/>
      <c r="BZ513" s="546"/>
      <c r="CA513" s="546"/>
      <c r="CB513" s="546"/>
      <c r="CC513" s="546"/>
      <c r="CD513" s="546"/>
      <c r="CE513" s="546"/>
      <c r="CF513" s="546"/>
      <c r="CG513" s="547"/>
      <c r="CH513" s="548"/>
      <c r="CI513" s="548"/>
      <c r="CJ513" s="83" t="str">
        <f t="shared" si="120"/>
        <v>No aplica</v>
      </c>
      <c r="CK513" s="83" t="str">
        <f t="shared" si="119"/>
        <v>No aplica</v>
      </c>
      <c r="CL513" s="83" t="str">
        <f t="shared" si="114"/>
        <v>No requiere reporte</v>
      </c>
      <c r="CM513" s="89" t="str">
        <f t="shared" si="115"/>
        <v>No requiere reporte</v>
      </c>
      <c r="CN513" s="89" t="str">
        <f t="shared" si="116"/>
        <v>No requiere reporte</v>
      </c>
      <c r="CO513" s="394" t="s">
        <v>202</v>
      </c>
      <c r="CP513" s="748" t="s">
        <v>4076</v>
      </c>
      <c r="CQ513" s="394" t="s">
        <v>474</v>
      </c>
      <c r="CR513" s="748" t="s">
        <v>4077</v>
      </c>
      <c r="CS513" s="748" t="s">
        <v>4078</v>
      </c>
      <c r="CT513" s="658" t="s">
        <v>931</v>
      </c>
      <c r="CU513" s="658" t="s">
        <v>233</v>
      </c>
      <c r="CV513" s="83" t="s">
        <v>182</v>
      </c>
      <c r="CW513" s="658" t="s">
        <v>402</v>
      </c>
      <c r="CX513" s="395">
        <v>46054</v>
      </c>
      <c r="CY513" s="395">
        <v>46387</v>
      </c>
      <c r="CZ513" s="541">
        <v>0</v>
      </c>
      <c r="DA513" s="541">
        <v>3</v>
      </c>
      <c r="DB513" s="541">
        <v>4</v>
      </c>
      <c r="DC513" s="541">
        <v>3</v>
      </c>
      <c r="DD513" s="541">
        <v>10</v>
      </c>
      <c r="DE513" s="658" t="s">
        <v>3071</v>
      </c>
      <c r="DF513" s="658" t="s">
        <v>4065</v>
      </c>
      <c r="DG513" s="748" t="s">
        <v>4066</v>
      </c>
      <c r="DH513" s="871">
        <v>401397416</v>
      </c>
      <c r="DI513" s="394" t="s">
        <v>956</v>
      </c>
      <c r="DJ513" s="394" t="s">
        <v>480</v>
      </c>
      <c r="DK513" s="658" t="s">
        <v>1024</v>
      </c>
      <c r="DL513" s="658" t="s">
        <v>2708</v>
      </c>
      <c r="DM513" s="394"/>
      <c r="DN513" s="394"/>
      <c r="DO513" s="747"/>
      <c r="DP513" s="394"/>
      <c r="DQ513" s="747"/>
      <c r="DR513" s="747"/>
      <c r="DS513" s="394"/>
      <c r="DT513" s="747"/>
      <c r="DU513" s="552"/>
      <c r="DV513" s="747"/>
      <c r="DW513" s="747"/>
      <c r="DX513" s="394"/>
      <c r="DY513" s="747"/>
      <c r="DZ513" s="552"/>
      <c r="EA513" s="883"/>
      <c r="EB513" s="884"/>
      <c r="EC513" s="874"/>
      <c r="ED513" s="874"/>
      <c r="EE513" s="874"/>
      <c r="EF513" s="874"/>
      <c r="EG513" s="874"/>
      <c r="EH513" s="394"/>
      <c r="EI513" s="389"/>
      <c r="EJ513" s="389"/>
      <c r="EK513" s="389"/>
      <c r="EL513" s="91" t="str">
        <f t="shared" si="117"/>
        <v>No aplica, no hay meta</v>
      </c>
      <c r="EM513" s="83" t="str">
        <f t="shared" si="118"/>
        <v>No se reportó avance</v>
      </c>
      <c r="EN513" s="872"/>
      <c r="EO513" s="605" t="str">
        <f t="shared" si="121"/>
        <v>Producto</v>
      </c>
      <c r="EP513" s="605" t="str">
        <f t="shared" si="122"/>
        <v>2</v>
      </c>
    </row>
    <row r="514" spans="1:146" s="605" customFormat="1" ht="78.75">
      <c r="A514" s="390" t="s">
        <v>4042</v>
      </c>
      <c r="B514" s="398" t="s">
        <v>4043</v>
      </c>
      <c r="C514" s="398" t="s">
        <v>2366</v>
      </c>
      <c r="D514" s="398" t="s">
        <v>4044</v>
      </c>
      <c r="E514" s="398" t="s">
        <v>4045</v>
      </c>
      <c r="F514" s="542" t="s">
        <v>999</v>
      </c>
      <c r="G514" s="390"/>
      <c r="H514" s="394" t="s">
        <v>4046</v>
      </c>
      <c r="I514" s="389" t="s">
        <v>4047</v>
      </c>
      <c r="J514" s="390" t="s">
        <v>729</v>
      </c>
      <c r="K514" s="389" t="s">
        <v>4048</v>
      </c>
      <c r="L514" s="390">
        <v>1</v>
      </c>
      <c r="M514" s="390" t="s">
        <v>4049</v>
      </c>
      <c r="N514" s="390" t="s">
        <v>4050</v>
      </c>
      <c r="O514" s="390" t="s">
        <v>4051</v>
      </c>
      <c r="P514" s="390" t="s">
        <v>161</v>
      </c>
      <c r="Q514" s="390" t="s">
        <v>233</v>
      </c>
      <c r="R514" s="543" t="s">
        <v>4052</v>
      </c>
      <c r="S514" s="390" t="s">
        <v>234</v>
      </c>
      <c r="T514" s="437">
        <v>44927</v>
      </c>
      <c r="U514" s="437">
        <v>46387</v>
      </c>
      <c r="V514" s="543"/>
      <c r="W514" s="543"/>
      <c r="X514" s="543"/>
      <c r="Y514" s="543"/>
      <c r="Z514" s="543"/>
      <c r="AA514" s="543"/>
      <c r="AB514" s="543"/>
      <c r="AC514" s="543"/>
      <c r="AD514" s="543"/>
      <c r="AE514" s="543"/>
      <c r="AF514" s="543"/>
      <c r="AG514" s="543"/>
      <c r="AH514" s="543"/>
      <c r="AI514" s="543"/>
      <c r="AJ514" s="543"/>
      <c r="AK514" s="544"/>
      <c r="AL514" s="544"/>
      <c r="AM514" s="544"/>
      <c r="AN514" s="544"/>
      <c r="AO514" s="543"/>
      <c r="AP514" s="545"/>
      <c r="AQ514" s="546"/>
      <c r="AR514" s="546"/>
      <c r="AS514" s="546"/>
      <c r="AT514" s="546"/>
      <c r="AU514" s="546"/>
      <c r="AV514" s="546"/>
      <c r="AW514" s="546"/>
      <c r="AX514" s="546"/>
      <c r="AY514" s="546"/>
      <c r="AZ514" s="744"/>
      <c r="BA514" s="546"/>
      <c r="BB514" s="546"/>
      <c r="BC514" s="546"/>
      <c r="BD514" s="546"/>
      <c r="BE514" s="546"/>
      <c r="BF514" s="546"/>
      <c r="BG514" s="546"/>
      <c r="BH514" s="546"/>
      <c r="BI514" s="546"/>
      <c r="BJ514" s="546"/>
      <c r="BK514" s="546"/>
      <c r="BL514" s="546"/>
      <c r="BM514" s="546"/>
      <c r="BN514" s="546"/>
      <c r="BO514" s="546"/>
      <c r="BP514" s="546"/>
      <c r="BQ514" s="546"/>
      <c r="BR514" s="546"/>
      <c r="BS514" s="546"/>
      <c r="BT514" s="546"/>
      <c r="BU514" s="546"/>
      <c r="BV514" s="546"/>
      <c r="BW514" s="546"/>
      <c r="BX514" s="546"/>
      <c r="BY514" s="546"/>
      <c r="BZ514" s="546"/>
      <c r="CA514" s="546"/>
      <c r="CB514" s="546"/>
      <c r="CC514" s="546"/>
      <c r="CD514" s="546"/>
      <c r="CE514" s="546"/>
      <c r="CF514" s="546"/>
      <c r="CG514" s="547"/>
      <c r="CH514" s="548"/>
      <c r="CI514" s="548"/>
      <c r="CJ514" s="83" t="str">
        <f t="shared" si="120"/>
        <v>No aplica</v>
      </c>
      <c r="CK514" s="83" t="str">
        <f t="shared" si="119"/>
        <v>No aplica</v>
      </c>
      <c r="CL514" s="83" t="str">
        <f t="shared" si="114"/>
        <v>No requiere reporte</v>
      </c>
      <c r="CM514" s="89" t="str">
        <f t="shared" si="115"/>
        <v>No requiere reporte</v>
      </c>
      <c r="CN514" s="89" t="str">
        <f t="shared" si="116"/>
        <v>No requiere reporte</v>
      </c>
      <c r="CO514" s="394" t="s">
        <v>775</v>
      </c>
      <c r="CP514" s="748" t="s">
        <v>4079</v>
      </c>
      <c r="CQ514" s="658" t="s">
        <v>1475</v>
      </c>
      <c r="CR514" s="748" t="s">
        <v>4080</v>
      </c>
      <c r="CS514" s="748" t="s">
        <v>4081</v>
      </c>
      <c r="CT514" s="658" t="s">
        <v>931</v>
      </c>
      <c r="CU514" s="658" t="s">
        <v>233</v>
      </c>
      <c r="CV514" s="658">
        <v>220</v>
      </c>
      <c r="CW514" s="658" t="s">
        <v>402</v>
      </c>
      <c r="CX514" s="395">
        <v>46054</v>
      </c>
      <c r="CY514" s="395">
        <v>46387</v>
      </c>
      <c r="CZ514" s="541">
        <v>20</v>
      </c>
      <c r="DA514" s="541">
        <v>80</v>
      </c>
      <c r="DB514" s="541">
        <v>80</v>
      </c>
      <c r="DC514" s="541">
        <v>40</v>
      </c>
      <c r="DD514" s="541">
        <v>220</v>
      </c>
      <c r="DE514" s="658" t="s">
        <v>3071</v>
      </c>
      <c r="DF514" s="658" t="s">
        <v>4065</v>
      </c>
      <c r="DG514" s="748" t="s">
        <v>4066</v>
      </c>
      <c r="DH514" s="871">
        <v>5932888384</v>
      </c>
      <c r="DI514" s="394" t="s">
        <v>956</v>
      </c>
      <c r="DJ514" s="394" t="s">
        <v>480</v>
      </c>
      <c r="DK514" s="658" t="s">
        <v>1024</v>
      </c>
      <c r="DL514" s="658" t="s">
        <v>2708</v>
      </c>
      <c r="DM514" s="394"/>
      <c r="DN514" s="394"/>
      <c r="DO514" s="747"/>
      <c r="DP514" s="394"/>
      <c r="DQ514" s="747"/>
      <c r="DR514" s="747"/>
      <c r="DS514" s="394"/>
      <c r="DT514" s="747"/>
      <c r="DU514" s="394"/>
      <c r="DV514" s="394"/>
      <c r="DW514" s="394"/>
      <c r="DX514" s="394"/>
      <c r="DY514" s="747"/>
      <c r="DZ514" s="552"/>
      <c r="EA514" s="394"/>
      <c r="EB514" s="394"/>
      <c r="EC514" s="874"/>
      <c r="ED514" s="874"/>
      <c r="EE514" s="874"/>
      <c r="EF514" s="874"/>
      <c r="EG514" s="874"/>
      <c r="EH514" s="394"/>
      <c r="EI514" s="389"/>
      <c r="EJ514" s="389"/>
      <c r="EK514" s="389"/>
      <c r="EL514" s="91" t="str">
        <f t="shared" si="117"/>
        <v>No se reportó avance</v>
      </c>
      <c r="EM514" s="83" t="str">
        <f t="shared" si="118"/>
        <v>No se reportó avance</v>
      </c>
      <c r="EN514" s="872"/>
      <c r="EO514" s="605" t="str">
        <f t="shared" si="121"/>
        <v>Producto</v>
      </c>
      <c r="EP514" s="605" t="str">
        <f t="shared" si="122"/>
        <v>2</v>
      </c>
    </row>
    <row r="515" spans="1:146" s="605" customFormat="1" ht="78.75">
      <c r="A515" s="390" t="s">
        <v>4042</v>
      </c>
      <c r="B515" s="398" t="s">
        <v>4043</v>
      </c>
      <c r="C515" s="398" t="s">
        <v>2366</v>
      </c>
      <c r="D515" s="398" t="s">
        <v>4044</v>
      </c>
      <c r="E515" s="398" t="s">
        <v>4045</v>
      </c>
      <c r="F515" s="542" t="s">
        <v>999</v>
      </c>
      <c r="G515" s="390"/>
      <c r="H515" s="394" t="s">
        <v>4046</v>
      </c>
      <c r="I515" s="389" t="s">
        <v>4047</v>
      </c>
      <c r="J515" s="390" t="s">
        <v>729</v>
      </c>
      <c r="K515" s="389" t="s">
        <v>4048</v>
      </c>
      <c r="L515" s="390">
        <v>1</v>
      </c>
      <c r="M515" s="390" t="s">
        <v>4049</v>
      </c>
      <c r="N515" s="390" t="s">
        <v>4050</v>
      </c>
      <c r="O515" s="390" t="s">
        <v>4051</v>
      </c>
      <c r="P515" s="390" t="s">
        <v>161</v>
      </c>
      <c r="Q515" s="390" t="s">
        <v>233</v>
      </c>
      <c r="R515" s="543" t="s">
        <v>4052</v>
      </c>
      <c r="S515" s="390" t="s">
        <v>234</v>
      </c>
      <c r="T515" s="437">
        <v>44927</v>
      </c>
      <c r="U515" s="437">
        <v>46387</v>
      </c>
      <c r="V515" s="543"/>
      <c r="W515" s="543"/>
      <c r="X515" s="543"/>
      <c r="Y515" s="543"/>
      <c r="Z515" s="543"/>
      <c r="AA515" s="543"/>
      <c r="AB515" s="543"/>
      <c r="AC515" s="543"/>
      <c r="AD515" s="543"/>
      <c r="AE515" s="543"/>
      <c r="AF515" s="543"/>
      <c r="AG515" s="543"/>
      <c r="AH515" s="543"/>
      <c r="AI515" s="543"/>
      <c r="AJ515" s="543"/>
      <c r="AK515" s="544"/>
      <c r="AL515" s="544"/>
      <c r="AM515" s="544"/>
      <c r="AN515" s="544"/>
      <c r="AO515" s="543"/>
      <c r="AP515" s="545"/>
      <c r="AQ515" s="546"/>
      <c r="AR515" s="546"/>
      <c r="AS515" s="546"/>
      <c r="AT515" s="546"/>
      <c r="AU515" s="546"/>
      <c r="AV515" s="546"/>
      <c r="AW515" s="546"/>
      <c r="AX515" s="546"/>
      <c r="AY515" s="546"/>
      <c r="AZ515" s="744"/>
      <c r="BA515" s="546"/>
      <c r="BB515" s="546"/>
      <c r="BC515" s="546"/>
      <c r="BD515" s="546"/>
      <c r="BE515" s="546"/>
      <c r="BF515" s="546"/>
      <c r="BG515" s="546"/>
      <c r="BH515" s="546"/>
      <c r="BI515" s="546"/>
      <c r="BJ515" s="546"/>
      <c r="BK515" s="546"/>
      <c r="BL515" s="546"/>
      <c r="BM515" s="546"/>
      <c r="BN515" s="546"/>
      <c r="BO515" s="546"/>
      <c r="BP515" s="546"/>
      <c r="BQ515" s="546"/>
      <c r="BR515" s="546"/>
      <c r="BS515" s="546"/>
      <c r="BT515" s="546"/>
      <c r="BU515" s="546"/>
      <c r="BV515" s="546"/>
      <c r="BW515" s="546"/>
      <c r="BX515" s="546"/>
      <c r="BY515" s="546"/>
      <c r="BZ515" s="546"/>
      <c r="CA515" s="546"/>
      <c r="CB515" s="546"/>
      <c r="CC515" s="546"/>
      <c r="CD515" s="546"/>
      <c r="CE515" s="546"/>
      <c r="CF515" s="546"/>
      <c r="CG515" s="547"/>
      <c r="CH515" s="548"/>
      <c r="CI515" s="548"/>
      <c r="CJ515" s="83" t="str">
        <f t="shared" si="120"/>
        <v>No aplica</v>
      </c>
      <c r="CK515" s="83" t="str">
        <f t="shared" si="119"/>
        <v>No aplica</v>
      </c>
      <c r="CL515" s="83" t="str">
        <f t="shared" si="114"/>
        <v>No requiere reporte</v>
      </c>
      <c r="CM515" s="89" t="str">
        <f t="shared" si="115"/>
        <v>No requiere reporte</v>
      </c>
      <c r="CN515" s="89" t="str">
        <f t="shared" si="116"/>
        <v>No requiere reporte</v>
      </c>
      <c r="CO515" s="394" t="s">
        <v>1440</v>
      </c>
      <c r="CP515" s="748" t="s">
        <v>4082</v>
      </c>
      <c r="CQ515" s="658" t="s">
        <v>1475</v>
      </c>
      <c r="CR515" s="748" t="s">
        <v>4083</v>
      </c>
      <c r="CS515" s="748" t="s">
        <v>4072</v>
      </c>
      <c r="CT515" s="658" t="s">
        <v>931</v>
      </c>
      <c r="CU515" s="658" t="s">
        <v>233</v>
      </c>
      <c r="CV515" s="658">
        <v>5</v>
      </c>
      <c r="CW515" s="658" t="s">
        <v>402</v>
      </c>
      <c r="CX515" s="395">
        <v>46054</v>
      </c>
      <c r="CY515" s="395">
        <v>46387</v>
      </c>
      <c r="CZ515" s="541">
        <v>0</v>
      </c>
      <c r="DA515" s="541">
        <v>0</v>
      </c>
      <c r="DB515" s="541">
        <v>5</v>
      </c>
      <c r="DC515" s="541">
        <v>0</v>
      </c>
      <c r="DD515" s="541">
        <v>5</v>
      </c>
      <c r="DE515" s="658" t="s">
        <v>3071</v>
      </c>
      <c r="DF515" s="658" t="s">
        <v>4065</v>
      </c>
      <c r="DG515" s="748" t="s">
        <v>4066</v>
      </c>
      <c r="DH515" s="871">
        <v>261070000</v>
      </c>
      <c r="DI515" s="394" t="s">
        <v>956</v>
      </c>
      <c r="DJ515" s="394" t="s">
        <v>480</v>
      </c>
      <c r="DK515" s="658" t="s">
        <v>1024</v>
      </c>
      <c r="DL515" s="658" t="s">
        <v>2708</v>
      </c>
      <c r="DM515" s="394"/>
      <c r="DN515" s="394"/>
      <c r="DO515" s="747"/>
      <c r="DP515" s="394"/>
      <c r="DQ515" s="747"/>
      <c r="DR515" s="747"/>
      <c r="DS515" s="394"/>
      <c r="DT515" s="747"/>
      <c r="DU515" s="874"/>
      <c r="DV515" s="732"/>
      <c r="DW515" s="693"/>
      <c r="DX515" s="394"/>
      <c r="DY515" s="747"/>
      <c r="DZ515" s="553"/>
      <c r="EA515" s="883"/>
      <c r="EB515" s="884"/>
      <c r="EC515" s="874"/>
      <c r="ED515" s="874"/>
      <c r="EE515" s="874"/>
      <c r="EF515" s="874"/>
      <c r="EG515" s="874"/>
      <c r="EH515" s="394"/>
      <c r="EI515" s="389"/>
      <c r="EJ515" s="389"/>
      <c r="EK515" s="389"/>
      <c r="EL515" s="91" t="str">
        <f t="shared" si="117"/>
        <v>No aplica, no hay meta</v>
      </c>
      <c r="EM515" s="83" t="str">
        <f t="shared" si="118"/>
        <v>No se reportó avance</v>
      </c>
      <c r="EN515" s="872"/>
      <c r="EO515" s="605" t="str">
        <f t="shared" si="121"/>
        <v>Producto</v>
      </c>
      <c r="EP515" s="605" t="str">
        <f t="shared" si="122"/>
        <v>2</v>
      </c>
    </row>
    <row r="516" spans="1:146" s="605" customFormat="1" ht="78.75">
      <c r="A516" s="390" t="s">
        <v>4042</v>
      </c>
      <c r="B516" s="398" t="s">
        <v>4043</v>
      </c>
      <c r="C516" s="398" t="s">
        <v>2366</v>
      </c>
      <c r="D516" s="398" t="s">
        <v>4044</v>
      </c>
      <c r="E516" s="398" t="s">
        <v>4045</v>
      </c>
      <c r="F516" s="542" t="s">
        <v>999</v>
      </c>
      <c r="G516" s="390"/>
      <c r="H516" s="394" t="s">
        <v>4046</v>
      </c>
      <c r="I516" s="389" t="s">
        <v>4047</v>
      </c>
      <c r="J516" s="390" t="s">
        <v>729</v>
      </c>
      <c r="K516" s="389" t="s">
        <v>4048</v>
      </c>
      <c r="L516" s="390">
        <v>1</v>
      </c>
      <c r="M516" s="390" t="s">
        <v>4049</v>
      </c>
      <c r="N516" s="390" t="s">
        <v>4050</v>
      </c>
      <c r="O516" s="390" t="s">
        <v>4051</v>
      </c>
      <c r="P516" s="390" t="s">
        <v>161</v>
      </c>
      <c r="Q516" s="390" t="s">
        <v>233</v>
      </c>
      <c r="R516" s="543" t="s">
        <v>4052</v>
      </c>
      <c r="S516" s="390" t="s">
        <v>234</v>
      </c>
      <c r="T516" s="437">
        <v>44927</v>
      </c>
      <c r="U516" s="437">
        <v>46387</v>
      </c>
      <c r="V516" s="543"/>
      <c r="W516" s="543"/>
      <c r="X516" s="543"/>
      <c r="Y516" s="543"/>
      <c r="Z516" s="543"/>
      <c r="AA516" s="543"/>
      <c r="AB516" s="543"/>
      <c r="AC516" s="543"/>
      <c r="AD516" s="543"/>
      <c r="AE516" s="543"/>
      <c r="AF516" s="543"/>
      <c r="AG516" s="543"/>
      <c r="AH516" s="543"/>
      <c r="AI516" s="543"/>
      <c r="AJ516" s="543"/>
      <c r="AK516" s="544"/>
      <c r="AL516" s="544"/>
      <c r="AM516" s="544"/>
      <c r="AN516" s="544"/>
      <c r="AO516" s="543"/>
      <c r="AP516" s="545"/>
      <c r="AQ516" s="546"/>
      <c r="AR516" s="546"/>
      <c r="AS516" s="546"/>
      <c r="AT516" s="546"/>
      <c r="AU516" s="546"/>
      <c r="AV516" s="546"/>
      <c r="AW516" s="546"/>
      <c r="AX516" s="546"/>
      <c r="AY516" s="546"/>
      <c r="AZ516" s="744"/>
      <c r="BA516" s="546"/>
      <c r="BB516" s="546"/>
      <c r="BC516" s="546"/>
      <c r="BD516" s="546"/>
      <c r="BE516" s="546"/>
      <c r="BF516" s="546"/>
      <c r="BG516" s="546"/>
      <c r="BH516" s="546"/>
      <c r="BI516" s="546"/>
      <c r="BJ516" s="546"/>
      <c r="BK516" s="546"/>
      <c r="BL516" s="546"/>
      <c r="BM516" s="546"/>
      <c r="BN516" s="546"/>
      <c r="BO516" s="546"/>
      <c r="BP516" s="546"/>
      <c r="BQ516" s="546"/>
      <c r="BR516" s="546"/>
      <c r="BS516" s="546"/>
      <c r="BT516" s="546"/>
      <c r="BU516" s="546"/>
      <c r="BV516" s="546"/>
      <c r="BW516" s="546"/>
      <c r="BX516" s="546"/>
      <c r="BY516" s="546"/>
      <c r="BZ516" s="546"/>
      <c r="CA516" s="546"/>
      <c r="CB516" s="546"/>
      <c r="CC516" s="546"/>
      <c r="CD516" s="546"/>
      <c r="CE516" s="546"/>
      <c r="CF516" s="546"/>
      <c r="CG516" s="547"/>
      <c r="CH516" s="548"/>
      <c r="CI516" s="548"/>
      <c r="CJ516" s="83" t="str">
        <f t="shared" si="120"/>
        <v>No aplica</v>
      </c>
      <c r="CK516" s="83" t="str">
        <f t="shared" si="119"/>
        <v>No aplica</v>
      </c>
      <c r="CL516" s="83" t="str">
        <f t="shared" si="114"/>
        <v>No requiere reporte</v>
      </c>
      <c r="CM516" s="89" t="str">
        <f t="shared" si="115"/>
        <v>No requiere reporte</v>
      </c>
      <c r="CN516" s="89" t="str">
        <f t="shared" si="116"/>
        <v>No requiere reporte</v>
      </c>
      <c r="CO516" s="394" t="s">
        <v>1447</v>
      </c>
      <c r="CP516" s="748" t="s">
        <v>4084</v>
      </c>
      <c r="CQ516" s="658" t="s">
        <v>474</v>
      </c>
      <c r="CR516" s="748" t="s">
        <v>4085</v>
      </c>
      <c r="CS516" s="748" t="s">
        <v>4086</v>
      </c>
      <c r="CT516" s="658" t="s">
        <v>931</v>
      </c>
      <c r="CU516" s="658" t="s">
        <v>233</v>
      </c>
      <c r="CV516" s="83" t="s">
        <v>182</v>
      </c>
      <c r="CW516" s="658" t="s">
        <v>402</v>
      </c>
      <c r="CX516" s="395">
        <v>46054</v>
      </c>
      <c r="CY516" s="395">
        <v>46387</v>
      </c>
      <c r="CZ516" s="541">
        <v>20</v>
      </c>
      <c r="DA516" s="541">
        <v>80</v>
      </c>
      <c r="DB516" s="541">
        <v>80</v>
      </c>
      <c r="DC516" s="541">
        <v>40</v>
      </c>
      <c r="DD516" s="541">
        <v>220</v>
      </c>
      <c r="DE516" s="658" t="s">
        <v>3071</v>
      </c>
      <c r="DF516" s="658" t="s">
        <v>4065</v>
      </c>
      <c r="DG516" s="748" t="s">
        <v>4066</v>
      </c>
      <c r="DH516" s="871">
        <v>887691200</v>
      </c>
      <c r="DI516" s="394" t="s">
        <v>956</v>
      </c>
      <c r="DJ516" s="394" t="s">
        <v>480</v>
      </c>
      <c r="DK516" s="658" t="s">
        <v>1024</v>
      </c>
      <c r="DL516" s="658" t="s">
        <v>2708</v>
      </c>
      <c r="DM516" s="394"/>
      <c r="DN516" s="394"/>
      <c r="DO516" s="747"/>
      <c r="DP516" s="394"/>
      <c r="DQ516" s="747"/>
      <c r="DR516" s="747"/>
      <c r="DS516" s="394"/>
      <c r="DT516" s="747"/>
      <c r="DU516" s="732"/>
      <c r="DV516" s="732"/>
      <c r="DW516" s="693"/>
      <c r="DX516" s="394"/>
      <c r="DY516" s="747"/>
      <c r="DZ516" s="732"/>
      <c r="EA516" s="732"/>
      <c r="EB516" s="693"/>
      <c r="EC516" s="874"/>
      <c r="ED516" s="874"/>
      <c r="EE516" s="874"/>
      <c r="EF516" s="874"/>
      <c r="EG516" s="874"/>
      <c r="EH516" s="394"/>
      <c r="EI516" s="389"/>
      <c r="EJ516" s="389"/>
      <c r="EK516" s="389"/>
      <c r="EL516" s="91" t="str">
        <f t="shared" si="117"/>
        <v>No se reportó avance</v>
      </c>
      <c r="EM516" s="83" t="str">
        <f t="shared" si="118"/>
        <v>No se reportó avance</v>
      </c>
      <c r="EN516" s="872"/>
      <c r="EO516" s="605" t="str">
        <f t="shared" si="121"/>
        <v>Producto</v>
      </c>
      <c r="EP516" s="605" t="str">
        <f t="shared" si="122"/>
        <v>2</v>
      </c>
    </row>
    <row r="517" spans="1:146" s="605" customFormat="1" ht="78.75">
      <c r="A517" s="390" t="s">
        <v>4042</v>
      </c>
      <c r="B517" s="398" t="s">
        <v>4043</v>
      </c>
      <c r="C517" s="398" t="s">
        <v>2366</v>
      </c>
      <c r="D517" s="398" t="s">
        <v>4044</v>
      </c>
      <c r="E517" s="398" t="s">
        <v>4045</v>
      </c>
      <c r="F517" s="542" t="s">
        <v>999</v>
      </c>
      <c r="G517" s="390"/>
      <c r="H517" s="394" t="s">
        <v>4046</v>
      </c>
      <c r="I517" s="389" t="s">
        <v>4047</v>
      </c>
      <c r="J517" s="390" t="s">
        <v>729</v>
      </c>
      <c r="K517" s="389" t="s">
        <v>4048</v>
      </c>
      <c r="L517" s="390">
        <v>1</v>
      </c>
      <c r="M517" s="390" t="s">
        <v>4049</v>
      </c>
      <c r="N517" s="390" t="s">
        <v>4050</v>
      </c>
      <c r="O517" s="390" t="s">
        <v>4051</v>
      </c>
      <c r="P517" s="390" t="s">
        <v>161</v>
      </c>
      <c r="Q517" s="390" t="s">
        <v>233</v>
      </c>
      <c r="R517" s="543" t="s">
        <v>4052</v>
      </c>
      <c r="S517" s="390" t="s">
        <v>234</v>
      </c>
      <c r="T517" s="437">
        <v>44927</v>
      </c>
      <c r="U517" s="437">
        <v>46387</v>
      </c>
      <c r="V517" s="543"/>
      <c r="W517" s="543"/>
      <c r="X517" s="543"/>
      <c r="Y517" s="543"/>
      <c r="Z517" s="543"/>
      <c r="AA517" s="543"/>
      <c r="AB517" s="543"/>
      <c r="AC517" s="543"/>
      <c r="AD517" s="543"/>
      <c r="AE517" s="543"/>
      <c r="AF517" s="543"/>
      <c r="AG517" s="543"/>
      <c r="AH517" s="543"/>
      <c r="AI517" s="543"/>
      <c r="AJ517" s="543"/>
      <c r="AK517" s="544"/>
      <c r="AL517" s="544"/>
      <c r="AM517" s="544"/>
      <c r="AN517" s="544"/>
      <c r="AO517" s="543"/>
      <c r="AP517" s="545"/>
      <c r="AQ517" s="546"/>
      <c r="AR517" s="546"/>
      <c r="AS517" s="546"/>
      <c r="AT517" s="546"/>
      <c r="AU517" s="546"/>
      <c r="AV517" s="546"/>
      <c r="AW517" s="546"/>
      <c r="AX517" s="546"/>
      <c r="AY517" s="546"/>
      <c r="AZ517" s="744"/>
      <c r="BA517" s="546"/>
      <c r="BB517" s="546"/>
      <c r="BC517" s="546"/>
      <c r="BD517" s="546"/>
      <c r="BE517" s="546"/>
      <c r="BF517" s="546"/>
      <c r="BG517" s="546"/>
      <c r="BH517" s="546"/>
      <c r="BI517" s="546"/>
      <c r="BJ517" s="546"/>
      <c r="BK517" s="546"/>
      <c r="BL517" s="546"/>
      <c r="BM517" s="546"/>
      <c r="BN517" s="546"/>
      <c r="BO517" s="546"/>
      <c r="BP517" s="546"/>
      <c r="BQ517" s="546"/>
      <c r="BR517" s="546"/>
      <c r="BS517" s="546"/>
      <c r="BT517" s="546"/>
      <c r="BU517" s="546"/>
      <c r="BV517" s="546"/>
      <c r="BW517" s="546"/>
      <c r="BX517" s="546"/>
      <c r="BY517" s="546"/>
      <c r="BZ517" s="546"/>
      <c r="CA517" s="546"/>
      <c r="CB517" s="546"/>
      <c r="CC517" s="546"/>
      <c r="CD517" s="546"/>
      <c r="CE517" s="546"/>
      <c r="CF517" s="546"/>
      <c r="CG517" s="547"/>
      <c r="CH517" s="548"/>
      <c r="CI517" s="548"/>
      <c r="CJ517" s="83" t="str">
        <f t="shared" si="120"/>
        <v>No aplica</v>
      </c>
      <c r="CK517" s="83" t="str">
        <f t="shared" si="119"/>
        <v>No aplica</v>
      </c>
      <c r="CL517" s="83" t="str">
        <f t="shared" si="114"/>
        <v>No requiere reporte</v>
      </c>
      <c r="CM517" s="89" t="str">
        <f t="shared" si="115"/>
        <v>No requiere reporte</v>
      </c>
      <c r="CN517" s="89" t="str">
        <f t="shared" si="116"/>
        <v>No requiere reporte</v>
      </c>
      <c r="CO517" s="394" t="s">
        <v>3332</v>
      </c>
      <c r="CP517" s="748" t="s">
        <v>4087</v>
      </c>
      <c r="CQ517" s="658" t="s">
        <v>474</v>
      </c>
      <c r="CR517" s="748" t="s">
        <v>4088</v>
      </c>
      <c r="CS517" s="748" t="s">
        <v>4089</v>
      </c>
      <c r="CT517" s="658" t="s">
        <v>931</v>
      </c>
      <c r="CU517" s="658" t="s">
        <v>233</v>
      </c>
      <c r="CV517" s="658">
        <v>220</v>
      </c>
      <c r="CW517" s="658" t="s">
        <v>402</v>
      </c>
      <c r="CX517" s="395">
        <v>46054</v>
      </c>
      <c r="CY517" s="395">
        <v>46387</v>
      </c>
      <c r="CZ517" s="541">
        <v>20</v>
      </c>
      <c r="DA517" s="541">
        <v>80</v>
      </c>
      <c r="DB517" s="541">
        <v>80</v>
      </c>
      <c r="DC517" s="541">
        <v>40</v>
      </c>
      <c r="DD517" s="541">
        <v>220</v>
      </c>
      <c r="DE517" s="658" t="s">
        <v>3071</v>
      </c>
      <c r="DF517" s="658" t="s">
        <v>4065</v>
      </c>
      <c r="DG517" s="748" t="s">
        <v>4066</v>
      </c>
      <c r="DH517" s="871">
        <v>777691200</v>
      </c>
      <c r="DI517" s="394" t="s">
        <v>956</v>
      </c>
      <c r="DJ517" s="394" t="s">
        <v>480</v>
      </c>
      <c r="DK517" s="658" t="s">
        <v>1024</v>
      </c>
      <c r="DL517" s="658" t="s">
        <v>2708</v>
      </c>
      <c r="DM517" s="394"/>
      <c r="DN517" s="394"/>
      <c r="DO517" s="874"/>
      <c r="DP517" s="553"/>
      <c r="DQ517" s="747"/>
      <c r="DR517" s="747"/>
      <c r="DS517" s="394"/>
      <c r="DT517" s="747"/>
      <c r="DU517" s="552"/>
      <c r="DV517" s="732"/>
      <c r="DW517" s="693"/>
      <c r="DX517" s="394"/>
      <c r="DY517" s="747"/>
      <c r="DZ517" s="552"/>
      <c r="EA517" s="732"/>
      <c r="EB517" s="693"/>
      <c r="EC517" s="874"/>
      <c r="ED517" s="874"/>
      <c r="EE517" s="874"/>
      <c r="EF517" s="874"/>
      <c r="EG517" s="874"/>
      <c r="EH517" s="394"/>
      <c r="EI517" s="654"/>
      <c r="EJ517" s="389"/>
      <c r="EK517" s="389"/>
      <c r="EL517" s="91" t="str">
        <f t="shared" si="117"/>
        <v>No se reportó avance</v>
      </c>
      <c r="EM517" s="83" t="str">
        <f t="shared" si="118"/>
        <v>No se reportó avance</v>
      </c>
      <c r="EN517" s="872"/>
      <c r="EO517" s="605" t="str">
        <f t="shared" si="121"/>
        <v>Producto</v>
      </c>
      <c r="EP517" s="605" t="str">
        <f t="shared" si="122"/>
        <v>2</v>
      </c>
    </row>
    <row r="518" spans="1:146" s="605" customFormat="1" ht="409.5">
      <c r="A518" s="377" t="s">
        <v>4042</v>
      </c>
      <c r="B518" s="378" t="s">
        <v>4043</v>
      </c>
      <c r="C518" s="378" t="s">
        <v>2366</v>
      </c>
      <c r="D518" s="378" t="s">
        <v>4090</v>
      </c>
      <c r="E518" s="378" t="s">
        <v>4091</v>
      </c>
      <c r="F518" s="532" t="s">
        <v>999</v>
      </c>
      <c r="G518" s="377"/>
      <c r="H518" s="533" t="s">
        <v>4092</v>
      </c>
      <c r="I518" s="534" t="s">
        <v>4047</v>
      </c>
      <c r="J518" s="377" t="s">
        <v>729</v>
      </c>
      <c r="K518" s="534" t="s">
        <v>4048</v>
      </c>
      <c r="L518" s="382">
        <v>2</v>
      </c>
      <c r="M518" s="382" t="s">
        <v>4093</v>
      </c>
      <c r="N518" s="382" t="s">
        <v>4094</v>
      </c>
      <c r="O518" s="382" t="s">
        <v>4095</v>
      </c>
      <c r="P518" s="382" t="s">
        <v>161</v>
      </c>
      <c r="Q518" s="382" t="s">
        <v>233</v>
      </c>
      <c r="R518" s="535">
        <v>116</v>
      </c>
      <c r="S518" s="382" t="s">
        <v>234</v>
      </c>
      <c r="T518" s="436">
        <v>44927</v>
      </c>
      <c r="U518" s="436">
        <v>46387</v>
      </c>
      <c r="V518" s="536">
        <v>0</v>
      </c>
      <c r="W518" s="536">
        <v>5</v>
      </c>
      <c r="X518" s="536">
        <v>30</v>
      </c>
      <c r="Y518" s="536">
        <v>5</v>
      </c>
      <c r="Z518" s="536">
        <v>40</v>
      </c>
      <c r="AA518" s="536"/>
      <c r="AB518" s="536">
        <v>55</v>
      </c>
      <c r="AC518" s="536">
        <v>55</v>
      </c>
      <c r="AD518" s="536">
        <v>54</v>
      </c>
      <c r="AE518" s="536">
        <v>164</v>
      </c>
      <c r="AF518" s="536"/>
      <c r="AG518" s="536">
        <v>40</v>
      </c>
      <c r="AH518" s="536">
        <v>60</v>
      </c>
      <c r="AI518" s="536">
        <v>40</v>
      </c>
      <c r="AJ518" s="536">
        <f>+SUM(AF518:AI518)</f>
        <v>140</v>
      </c>
      <c r="AK518" s="640">
        <v>4</v>
      </c>
      <c r="AL518" s="640">
        <v>12</v>
      </c>
      <c r="AM518" s="640">
        <v>12</v>
      </c>
      <c r="AN518" s="640">
        <v>4</v>
      </c>
      <c r="AO518" s="536">
        <f>+SUM(AK518:AN518)</f>
        <v>32</v>
      </c>
      <c r="AP518" s="536">
        <f>+Z518+AE518+AJ518+AO518</f>
        <v>376</v>
      </c>
      <c r="AQ518" s="546"/>
      <c r="AR518" s="546"/>
      <c r="AS518" s="546"/>
      <c r="AT518" s="546"/>
      <c r="AU518" s="546"/>
      <c r="AV518" s="546"/>
      <c r="AW518" s="546"/>
      <c r="AX518" s="546"/>
      <c r="AY518" s="174">
        <v>40</v>
      </c>
      <c r="AZ518" s="554" t="s">
        <v>4096</v>
      </c>
      <c r="BA518" s="172" t="s">
        <v>201</v>
      </c>
      <c r="BB518" s="646" t="s">
        <v>4097</v>
      </c>
      <c r="BC518" s="404">
        <v>0</v>
      </c>
      <c r="BD518" s="646" t="s">
        <v>4098</v>
      </c>
      <c r="BE518" s="404">
        <v>90</v>
      </c>
      <c r="BF518" s="646" t="s">
        <v>4099</v>
      </c>
      <c r="BG518" s="174">
        <v>28</v>
      </c>
      <c r="BH518" s="554" t="s">
        <v>4100</v>
      </c>
      <c r="BI518" s="404">
        <f>+BC518+BE518+BG518</f>
        <v>118</v>
      </c>
      <c r="BJ518" s="538" t="s">
        <v>4101</v>
      </c>
      <c r="BK518" s="845" t="s">
        <v>182</v>
      </c>
      <c r="BL518" s="744" t="s">
        <v>4102</v>
      </c>
      <c r="BM518" s="845">
        <v>0</v>
      </c>
      <c r="BN518" s="850" t="s">
        <v>4103</v>
      </c>
      <c r="BO518" s="751">
        <v>0</v>
      </c>
      <c r="BP518" s="851" t="s">
        <v>4104</v>
      </c>
      <c r="BQ518" s="546"/>
      <c r="BR518" s="546"/>
      <c r="BS518" s="751">
        <v>0</v>
      </c>
      <c r="BT518" s="546"/>
      <c r="BU518" s="546"/>
      <c r="BV518" s="546"/>
      <c r="BW518" s="546"/>
      <c r="BX518" s="546"/>
      <c r="BY518" s="546"/>
      <c r="BZ518" s="546"/>
      <c r="CA518" s="546"/>
      <c r="CB518" s="546"/>
      <c r="CC518" s="546"/>
      <c r="CD518" s="546"/>
      <c r="CE518" s="849">
        <v>384</v>
      </c>
      <c r="CF518" s="546"/>
      <c r="CG518" s="539">
        <f>SUM(DH518:DH518)</f>
        <v>252288000</v>
      </c>
      <c r="CH518" s="555"/>
      <c r="CI518" s="555"/>
      <c r="CJ518" s="83">
        <f t="shared" si="120"/>
        <v>0</v>
      </c>
      <c r="CK518" s="83">
        <f t="shared" si="119"/>
        <v>0</v>
      </c>
      <c r="CL518" s="83" t="str">
        <f t="shared" si="114"/>
        <v>No se reportó avance</v>
      </c>
      <c r="CM518" s="89" t="str">
        <f t="shared" si="115"/>
        <v>No se reportó avance</v>
      </c>
      <c r="CN518" s="89">
        <f t="shared" si="116"/>
        <v>1.0000100000000001</v>
      </c>
      <c r="CO518" s="394" t="s">
        <v>225</v>
      </c>
      <c r="CP518" s="748" t="s">
        <v>4105</v>
      </c>
      <c r="CQ518" s="658" t="s">
        <v>4106</v>
      </c>
      <c r="CR518" s="747" t="s">
        <v>4107</v>
      </c>
      <c r="CS518" s="748" t="s">
        <v>4108</v>
      </c>
      <c r="CT518" s="658" t="s">
        <v>931</v>
      </c>
      <c r="CU518" s="658" t="s">
        <v>233</v>
      </c>
      <c r="CV518" s="658">
        <v>70</v>
      </c>
      <c r="CW518" s="658" t="s">
        <v>402</v>
      </c>
      <c r="CX518" s="395">
        <v>46054</v>
      </c>
      <c r="CY518" s="395">
        <v>46387</v>
      </c>
      <c r="CZ518" s="556">
        <v>4</v>
      </c>
      <c r="DA518" s="556">
        <v>12</v>
      </c>
      <c r="DB518" s="556">
        <v>12</v>
      </c>
      <c r="DC518" s="556">
        <v>4</v>
      </c>
      <c r="DD518" s="541">
        <v>32</v>
      </c>
      <c r="DE518" s="658" t="s">
        <v>3071</v>
      </c>
      <c r="DF518" s="658" t="s">
        <v>4109</v>
      </c>
      <c r="DG518" s="748" t="s">
        <v>4110</v>
      </c>
      <c r="DH518" s="557">
        <v>252288000</v>
      </c>
      <c r="DI518" s="658" t="s">
        <v>1022</v>
      </c>
      <c r="DJ518" s="885"/>
      <c r="DK518" s="658" t="s">
        <v>1024</v>
      </c>
      <c r="DL518" s="658" t="s">
        <v>2708</v>
      </c>
      <c r="DM518" s="394"/>
      <c r="DN518" s="394"/>
      <c r="DO518" s="874"/>
      <c r="DP518" s="394"/>
      <c r="DQ518" s="747"/>
      <c r="DR518" s="874"/>
      <c r="DS518" s="394"/>
      <c r="DT518" s="747"/>
      <c r="DU518" s="552"/>
      <c r="DV518" s="747"/>
      <c r="DW518" s="747"/>
      <c r="DX518" s="394"/>
      <c r="DY518" s="747"/>
      <c r="DZ518" s="552"/>
      <c r="EA518" s="747"/>
      <c r="EB518" s="747"/>
      <c r="EC518" s="874"/>
      <c r="ED518" s="874"/>
      <c r="EE518" s="874"/>
      <c r="EF518" s="874"/>
      <c r="EG518" s="874"/>
      <c r="EH518" s="394"/>
      <c r="EI518" s="654"/>
      <c r="EJ518" s="389"/>
      <c r="EK518" s="654"/>
      <c r="EL518" s="91" t="str">
        <f t="shared" si="117"/>
        <v>No se reportó avance</v>
      </c>
      <c r="EM518" s="83" t="str">
        <f t="shared" si="118"/>
        <v>No se reportó avance</v>
      </c>
      <c r="EN518" s="770"/>
      <c r="EO518" s="605" t="str">
        <f t="shared" si="121"/>
        <v>Producto</v>
      </c>
      <c r="EP518" s="605" t="str">
        <f t="shared" si="122"/>
        <v>2</v>
      </c>
    </row>
    <row r="519" spans="1:146" s="605" customFormat="1" ht="409.5">
      <c r="A519" s="377" t="s">
        <v>4042</v>
      </c>
      <c r="B519" s="378" t="s">
        <v>4043</v>
      </c>
      <c r="C519" s="378" t="s">
        <v>2366</v>
      </c>
      <c r="D519" s="378" t="s">
        <v>4090</v>
      </c>
      <c r="E519" s="377" t="s">
        <v>4111</v>
      </c>
      <c r="F519" s="532" t="s">
        <v>999</v>
      </c>
      <c r="G519" s="377"/>
      <c r="H519" s="533" t="s">
        <v>4112</v>
      </c>
      <c r="I519" s="534" t="s">
        <v>4047</v>
      </c>
      <c r="J519" s="377" t="s">
        <v>729</v>
      </c>
      <c r="K519" s="558" t="s">
        <v>4113</v>
      </c>
      <c r="L519" s="382">
        <v>3</v>
      </c>
      <c r="M519" s="382" t="s">
        <v>4114</v>
      </c>
      <c r="N519" s="382" t="s">
        <v>4115</v>
      </c>
      <c r="O519" s="382" t="s">
        <v>4116</v>
      </c>
      <c r="P519" s="382" t="s">
        <v>200</v>
      </c>
      <c r="Q519" s="382" t="s">
        <v>162</v>
      </c>
      <c r="R519" s="383">
        <v>1</v>
      </c>
      <c r="S519" s="382" t="s">
        <v>252</v>
      </c>
      <c r="T519" s="436">
        <v>44927</v>
      </c>
      <c r="U519" s="436">
        <v>46387</v>
      </c>
      <c r="V519" s="383">
        <v>1</v>
      </c>
      <c r="W519" s="383">
        <v>1</v>
      </c>
      <c r="X519" s="383">
        <v>1</v>
      </c>
      <c r="Y519" s="383">
        <v>1</v>
      </c>
      <c r="Z519" s="383">
        <v>1</v>
      </c>
      <c r="AA519" s="383">
        <v>1</v>
      </c>
      <c r="AB519" s="383">
        <v>1</v>
      </c>
      <c r="AC519" s="383">
        <v>1</v>
      </c>
      <c r="AD519" s="383">
        <v>1</v>
      </c>
      <c r="AE519" s="383">
        <v>1</v>
      </c>
      <c r="AF519" s="383">
        <v>1</v>
      </c>
      <c r="AG519" s="383">
        <v>1</v>
      </c>
      <c r="AH519" s="383">
        <v>1</v>
      </c>
      <c r="AI519" s="383">
        <v>1</v>
      </c>
      <c r="AJ519" s="383">
        <v>1</v>
      </c>
      <c r="AK519" s="559">
        <v>1</v>
      </c>
      <c r="AL519" s="559">
        <v>1</v>
      </c>
      <c r="AM519" s="559">
        <v>1</v>
      </c>
      <c r="AN519" s="559">
        <v>1</v>
      </c>
      <c r="AO519" s="383">
        <v>1</v>
      </c>
      <c r="AP519" s="383">
        <v>1</v>
      </c>
      <c r="AQ519" s="546"/>
      <c r="AR519" s="546"/>
      <c r="AS519" s="546"/>
      <c r="AT519" s="546"/>
      <c r="AU519" s="546"/>
      <c r="AV519" s="546"/>
      <c r="AW519" s="546"/>
      <c r="AX519" s="546"/>
      <c r="AY519" s="172">
        <v>1</v>
      </c>
      <c r="AZ519" s="554" t="s">
        <v>4117</v>
      </c>
      <c r="BA519" s="172">
        <f>2/2</f>
        <v>1</v>
      </c>
      <c r="BB519" s="646" t="s">
        <v>4118</v>
      </c>
      <c r="BC519" s="172">
        <v>1</v>
      </c>
      <c r="BD519" s="646" t="s">
        <v>4119</v>
      </c>
      <c r="BE519" s="172">
        <f>2/2</f>
        <v>1</v>
      </c>
      <c r="BF519" s="646" t="s">
        <v>4120</v>
      </c>
      <c r="BG519" s="172">
        <v>1</v>
      </c>
      <c r="BH519" s="172" t="s">
        <v>4121</v>
      </c>
      <c r="BI519" s="172">
        <v>1</v>
      </c>
      <c r="BJ519" s="172" t="s">
        <v>4122</v>
      </c>
      <c r="BK519" s="852">
        <v>0.5</v>
      </c>
      <c r="BL519" s="744" t="s">
        <v>4123</v>
      </c>
      <c r="BM519" s="852">
        <f>1/1</f>
        <v>1</v>
      </c>
      <c r="BN519" s="850" t="s">
        <v>4124</v>
      </c>
      <c r="BO519" s="753">
        <v>1</v>
      </c>
      <c r="BP519" s="851" t="s">
        <v>4125</v>
      </c>
      <c r="BQ519" s="546"/>
      <c r="BR519" s="546"/>
      <c r="BS519" s="560">
        <v>1</v>
      </c>
      <c r="BT519" s="546"/>
      <c r="BU519" s="546"/>
      <c r="BV519" s="546"/>
      <c r="BW519" s="546"/>
      <c r="BX519" s="546"/>
      <c r="BY519" s="546"/>
      <c r="BZ519" s="546"/>
      <c r="CA519" s="546"/>
      <c r="CB519" s="546"/>
      <c r="CC519" s="546"/>
      <c r="CD519" s="546"/>
      <c r="CE519" s="413">
        <v>1</v>
      </c>
      <c r="CF519" s="546"/>
      <c r="CG519" s="539">
        <f>SUM(DH519:DH520)</f>
        <v>5487575991</v>
      </c>
      <c r="CH519" s="555"/>
      <c r="CI519" s="555"/>
      <c r="CJ519" s="83">
        <f t="shared" si="120"/>
        <v>0</v>
      </c>
      <c r="CK519" s="83">
        <f t="shared" si="119"/>
        <v>0</v>
      </c>
      <c r="CL519" s="83" t="str">
        <f t="shared" si="114"/>
        <v>No se reportó avance</v>
      </c>
      <c r="CM519" s="89" t="str">
        <f t="shared" si="115"/>
        <v>No se reportó avance</v>
      </c>
      <c r="CN519" s="89">
        <f t="shared" si="116"/>
        <v>1</v>
      </c>
      <c r="CO519" s="394" t="s">
        <v>236</v>
      </c>
      <c r="CP519" s="747" t="s">
        <v>4126</v>
      </c>
      <c r="CQ519" s="658" t="s">
        <v>3147</v>
      </c>
      <c r="CR519" s="747" t="s">
        <v>4127</v>
      </c>
      <c r="CS519" s="748" t="s">
        <v>4128</v>
      </c>
      <c r="CT519" s="658" t="s">
        <v>931</v>
      </c>
      <c r="CU519" s="658" t="s">
        <v>233</v>
      </c>
      <c r="CV519" s="658">
        <v>4</v>
      </c>
      <c r="CW519" s="658" t="s">
        <v>402</v>
      </c>
      <c r="CX519" s="395">
        <v>46054</v>
      </c>
      <c r="CY519" s="395">
        <v>46387</v>
      </c>
      <c r="CZ519" s="541">
        <v>1</v>
      </c>
      <c r="DA519" s="541">
        <v>1</v>
      </c>
      <c r="DB519" s="541">
        <v>1</v>
      </c>
      <c r="DC519" s="541">
        <v>1</v>
      </c>
      <c r="DD519" s="541">
        <v>4</v>
      </c>
      <c r="DE519" s="658" t="s">
        <v>761</v>
      </c>
      <c r="DF519" s="658" t="s">
        <v>762</v>
      </c>
      <c r="DG519" s="748" t="s">
        <v>763</v>
      </c>
      <c r="DH519" s="557">
        <v>4546963903</v>
      </c>
      <c r="DI519" s="658" t="s">
        <v>956</v>
      </c>
      <c r="DJ519" s="658" t="s">
        <v>480</v>
      </c>
      <c r="DK519" s="658" t="s">
        <v>1024</v>
      </c>
      <c r="DL519" s="658" t="s">
        <v>2708</v>
      </c>
      <c r="DM519" s="394"/>
      <c r="DN519" s="394"/>
      <c r="DO519" s="747"/>
      <c r="DP519" s="874"/>
      <c r="DQ519" s="747"/>
      <c r="DR519" s="747"/>
      <c r="DS519" s="394"/>
      <c r="DT519" s="747"/>
      <c r="DU519" s="552"/>
      <c r="DV519" s="747"/>
      <c r="DW519" s="747"/>
      <c r="DX519" s="394"/>
      <c r="DY519" s="747"/>
      <c r="DZ519" s="552"/>
      <c r="EA519" s="747"/>
      <c r="EB519" s="747"/>
      <c r="EC519" s="874"/>
      <c r="ED519" s="874"/>
      <c r="EE519" s="874"/>
      <c r="EF519" s="874"/>
      <c r="EG519" s="874"/>
      <c r="EH519" s="394"/>
      <c r="EI519" s="389"/>
      <c r="EJ519" s="389"/>
      <c r="EK519" s="389"/>
      <c r="EL519" s="91" t="str">
        <f t="shared" si="117"/>
        <v>No se reportó avance</v>
      </c>
      <c r="EM519" s="83" t="str">
        <f t="shared" si="118"/>
        <v>No se reportó avance</v>
      </c>
      <c r="EN519" s="872"/>
      <c r="EO519" s="605" t="str">
        <f t="shared" si="121"/>
        <v>Gestión</v>
      </c>
      <c r="EP519" s="605" t="str">
        <f t="shared" si="122"/>
        <v>2</v>
      </c>
    </row>
    <row r="520" spans="1:146" s="605" customFormat="1" ht="90">
      <c r="A520" s="390" t="s">
        <v>4042</v>
      </c>
      <c r="B520" s="398" t="s">
        <v>4043</v>
      </c>
      <c r="C520" s="398" t="s">
        <v>2366</v>
      </c>
      <c r="D520" s="398" t="s">
        <v>4090</v>
      </c>
      <c r="E520" s="390" t="s">
        <v>4111</v>
      </c>
      <c r="F520" s="542" t="s">
        <v>999</v>
      </c>
      <c r="G520" s="390"/>
      <c r="H520" s="394" t="s">
        <v>4112</v>
      </c>
      <c r="I520" s="389" t="s">
        <v>4047</v>
      </c>
      <c r="J520" s="390" t="s">
        <v>729</v>
      </c>
      <c r="K520" s="561" t="s">
        <v>4113</v>
      </c>
      <c r="L520" s="390">
        <v>3</v>
      </c>
      <c r="M520" s="390" t="s">
        <v>4114</v>
      </c>
      <c r="N520" s="390" t="s">
        <v>4115</v>
      </c>
      <c r="O520" s="390" t="s">
        <v>4116</v>
      </c>
      <c r="P520" s="390" t="s">
        <v>200</v>
      </c>
      <c r="Q520" s="402" t="s">
        <v>162</v>
      </c>
      <c r="R520" s="172">
        <v>1</v>
      </c>
      <c r="S520" s="390" t="s">
        <v>252</v>
      </c>
      <c r="T520" s="437">
        <v>44927</v>
      </c>
      <c r="U520" s="437">
        <v>46387</v>
      </c>
      <c r="V520" s="398"/>
      <c r="W520" s="398"/>
      <c r="X520" s="398"/>
      <c r="Y520" s="398"/>
      <c r="Z520" s="398"/>
      <c r="AA520" s="398"/>
      <c r="AB520" s="398"/>
      <c r="AC520" s="398"/>
      <c r="AD520" s="398"/>
      <c r="AE520" s="398"/>
      <c r="AF520" s="398"/>
      <c r="AG520" s="398"/>
      <c r="AH520" s="398"/>
      <c r="AI520" s="398"/>
      <c r="AJ520" s="398"/>
      <c r="AK520" s="395"/>
      <c r="AL520" s="395"/>
      <c r="AM520" s="395"/>
      <c r="AN520" s="395"/>
      <c r="AO520" s="398"/>
      <c r="AP520" s="398"/>
      <c r="AQ520" s="546"/>
      <c r="AR520" s="546"/>
      <c r="AS520" s="546"/>
      <c r="AT520" s="546"/>
      <c r="AU520" s="546"/>
      <c r="AV520" s="546"/>
      <c r="AW520" s="546"/>
      <c r="AX520" s="546"/>
      <c r="AY520" s="546"/>
      <c r="AZ520" s="744"/>
      <c r="BA520" s="546"/>
      <c r="BB520" s="546"/>
      <c r="BC520" s="546"/>
      <c r="BD520" s="546"/>
      <c r="BE520" s="546"/>
      <c r="BF520" s="546"/>
      <c r="BG520" s="546"/>
      <c r="BH520" s="546"/>
      <c r="BI520" s="546"/>
      <c r="BJ520" s="546"/>
      <c r="BK520" s="546"/>
      <c r="BL520" s="546"/>
      <c r="BM520" s="546"/>
      <c r="BN520" s="546"/>
      <c r="BO520" s="546"/>
      <c r="BP520" s="546"/>
      <c r="BQ520" s="546"/>
      <c r="BR520" s="546"/>
      <c r="BS520" s="546"/>
      <c r="BT520" s="546"/>
      <c r="BU520" s="546"/>
      <c r="BV520" s="546"/>
      <c r="BW520" s="546"/>
      <c r="BX520" s="546"/>
      <c r="BY520" s="546"/>
      <c r="BZ520" s="546"/>
      <c r="CA520" s="546"/>
      <c r="CB520" s="546"/>
      <c r="CC520" s="546"/>
      <c r="CD520" s="546"/>
      <c r="CE520" s="546"/>
      <c r="CF520" s="546"/>
      <c r="CG520" s="547"/>
      <c r="CH520" s="548"/>
      <c r="CI520" s="548"/>
      <c r="CJ520" s="83" t="str">
        <f t="shared" si="120"/>
        <v>No aplica</v>
      </c>
      <c r="CK520" s="83" t="str">
        <f t="shared" si="119"/>
        <v>No aplica</v>
      </c>
      <c r="CL520" s="83" t="str">
        <f t="shared" si="114"/>
        <v>No requiere reporte</v>
      </c>
      <c r="CM520" s="89" t="str">
        <f t="shared" si="115"/>
        <v>No requiere reporte</v>
      </c>
      <c r="CN520" s="89" t="str">
        <f t="shared" si="116"/>
        <v>No requiere reporte</v>
      </c>
      <c r="CO520" s="394" t="s">
        <v>361</v>
      </c>
      <c r="CP520" s="747" t="s">
        <v>4129</v>
      </c>
      <c r="CQ520" s="658" t="s">
        <v>3147</v>
      </c>
      <c r="CR520" s="747" t="s">
        <v>4130</v>
      </c>
      <c r="CS520" s="748" t="s">
        <v>4131</v>
      </c>
      <c r="CT520" s="658" t="s">
        <v>931</v>
      </c>
      <c r="CU520" s="658" t="s">
        <v>233</v>
      </c>
      <c r="CV520" s="658">
        <v>4</v>
      </c>
      <c r="CW520" s="658" t="s">
        <v>402</v>
      </c>
      <c r="CX520" s="395">
        <v>46054</v>
      </c>
      <c r="CY520" s="395">
        <v>46387</v>
      </c>
      <c r="CZ520" s="541">
        <v>1</v>
      </c>
      <c r="DA520" s="541">
        <v>1</v>
      </c>
      <c r="DB520" s="541">
        <v>1</v>
      </c>
      <c r="DC520" s="541">
        <v>1</v>
      </c>
      <c r="DD520" s="541">
        <v>4</v>
      </c>
      <c r="DE520" s="658" t="s">
        <v>761</v>
      </c>
      <c r="DF520" s="658" t="s">
        <v>762</v>
      </c>
      <c r="DG520" s="748" t="s">
        <v>763</v>
      </c>
      <c r="DH520" s="557">
        <v>940612088</v>
      </c>
      <c r="DI520" s="658" t="s">
        <v>956</v>
      </c>
      <c r="DJ520" s="658" t="s">
        <v>480</v>
      </c>
      <c r="DK520" s="658" t="s">
        <v>1024</v>
      </c>
      <c r="DL520" s="658" t="s">
        <v>2708</v>
      </c>
      <c r="DM520" s="394"/>
      <c r="DN520" s="394"/>
      <c r="DO520" s="747"/>
      <c r="DP520" s="394"/>
      <c r="DQ520" s="747"/>
      <c r="DR520" s="747"/>
      <c r="DS520" s="394"/>
      <c r="DT520" s="747"/>
      <c r="DU520" s="747"/>
      <c r="DV520" s="747"/>
      <c r="DW520" s="747"/>
      <c r="DX520" s="394"/>
      <c r="DY520" s="747"/>
      <c r="DZ520" s="552"/>
      <c r="EA520" s="747"/>
      <c r="EB520" s="747"/>
      <c r="EC520" s="874"/>
      <c r="ED520" s="874"/>
      <c r="EE520" s="874"/>
      <c r="EF520" s="874"/>
      <c r="EG520" s="874"/>
      <c r="EH520" s="394"/>
      <c r="EI520" s="389"/>
      <c r="EJ520" s="389"/>
      <c r="EK520" s="389"/>
      <c r="EL520" s="91" t="str">
        <f t="shared" si="117"/>
        <v>No se reportó avance</v>
      </c>
      <c r="EM520" s="83" t="str">
        <f t="shared" si="118"/>
        <v>No se reportó avance</v>
      </c>
      <c r="EN520" s="872"/>
      <c r="EO520" s="605" t="str">
        <f t="shared" si="121"/>
        <v>Gestión</v>
      </c>
      <c r="EP520" s="605" t="str">
        <f t="shared" si="122"/>
        <v>2</v>
      </c>
    </row>
    <row r="521" spans="1:146" s="605" customFormat="1" ht="409.5">
      <c r="A521" s="377" t="s">
        <v>4042</v>
      </c>
      <c r="B521" s="378" t="s">
        <v>4043</v>
      </c>
      <c r="C521" s="378" t="s">
        <v>2366</v>
      </c>
      <c r="D521" s="378" t="s">
        <v>4132</v>
      </c>
      <c r="E521" s="378" t="s">
        <v>4133</v>
      </c>
      <c r="F521" s="532" t="s">
        <v>999</v>
      </c>
      <c r="G521" s="377" t="s">
        <v>4134</v>
      </c>
      <c r="H521" s="533" t="s">
        <v>4135</v>
      </c>
      <c r="I521" s="534" t="s">
        <v>4047</v>
      </c>
      <c r="J521" s="377" t="s">
        <v>729</v>
      </c>
      <c r="K521" s="558" t="s">
        <v>730</v>
      </c>
      <c r="L521" s="382">
        <v>4</v>
      </c>
      <c r="M521" s="382" t="s">
        <v>4136</v>
      </c>
      <c r="N521" s="382" t="s">
        <v>4137</v>
      </c>
      <c r="O521" s="382" t="s">
        <v>4138</v>
      </c>
      <c r="P521" s="382" t="s">
        <v>200</v>
      </c>
      <c r="Q521" s="382" t="s">
        <v>162</v>
      </c>
      <c r="R521" s="383">
        <v>1</v>
      </c>
      <c r="S521" s="382" t="s">
        <v>252</v>
      </c>
      <c r="T521" s="436">
        <v>44927</v>
      </c>
      <c r="U521" s="436">
        <v>46387</v>
      </c>
      <c r="V521" s="451">
        <v>1</v>
      </c>
      <c r="W521" s="451">
        <v>1</v>
      </c>
      <c r="X521" s="451">
        <v>1</v>
      </c>
      <c r="Y521" s="451">
        <v>1</v>
      </c>
      <c r="Z521" s="451">
        <v>1</v>
      </c>
      <c r="AA521" s="383">
        <v>1</v>
      </c>
      <c r="AB521" s="383">
        <v>1</v>
      </c>
      <c r="AC521" s="383">
        <v>1</v>
      </c>
      <c r="AD521" s="383">
        <v>1</v>
      </c>
      <c r="AE521" s="451">
        <v>1</v>
      </c>
      <c r="AF521" s="383">
        <v>1</v>
      </c>
      <c r="AG521" s="383">
        <v>1</v>
      </c>
      <c r="AH521" s="383">
        <v>1</v>
      </c>
      <c r="AI521" s="383">
        <v>1</v>
      </c>
      <c r="AJ521" s="451">
        <v>1</v>
      </c>
      <c r="AK521" s="562">
        <v>1</v>
      </c>
      <c r="AL521" s="562">
        <v>1</v>
      </c>
      <c r="AM521" s="562">
        <v>1</v>
      </c>
      <c r="AN521" s="562">
        <v>1</v>
      </c>
      <c r="AO521" s="451">
        <v>1</v>
      </c>
      <c r="AP521" s="451">
        <v>1</v>
      </c>
      <c r="AQ521" s="546"/>
      <c r="AR521" s="546"/>
      <c r="AS521" s="546"/>
      <c r="AT521" s="546"/>
      <c r="AU521" s="546"/>
      <c r="AV521" s="546"/>
      <c r="AW521" s="546"/>
      <c r="AX521" s="546"/>
      <c r="AY521" s="172">
        <v>0.86499999999999999</v>
      </c>
      <c r="AZ521" s="554" t="s">
        <v>4139</v>
      </c>
      <c r="BA521" s="172">
        <f>3/3</f>
        <v>1</v>
      </c>
      <c r="BB521" s="646" t="s">
        <v>4140</v>
      </c>
      <c r="BC521" s="172">
        <v>0.28000000000000003</v>
      </c>
      <c r="BD521" s="646" t="s">
        <v>4141</v>
      </c>
      <c r="BE521" s="172">
        <f>3/5</f>
        <v>0.6</v>
      </c>
      <c r="BF521" s="646" t="s">
        <v>4142</v>
      </c>
      <c r="BG521" s="172">
        <v>1</v>
      </c>
      <c r="BH521" s="172" t="s">
        <v>4143</v>
      </c>
      <c r="BI521" s="172">
        <v>1</v>
      </c>
      <c r="BJ521" s="172" t="s">
        <v>4144</v>
      </c>
      <c r="BK521" s="852">
        <v>1</v>
      </c>
      <c r="BL521" s="744" t="s">
        <v>4145</v>
      </c>
      <c r="BM521" s="853">
        <v>0.1</v>
      </c>
      <c r="BN521" s="850" t="s">
        <v>4146</v>
      </c>
      <c r="BO521" s="854">
        <v>0.86</v>
      </c>
      <c r="BP521" s="851" t="s">
        <v>4147</v>
      </c>
      <c r="BQ521" s="546"/>
      <c r="BR521" s="546"/>
      <c r="BS521" s="560">
        <v>0.96</v>
      </c>
      <c r="BT521" s="546"/>
      <c r="BU521" s="546"/>
      <c r="BV521" s="546"/>
      <c r="BW521" s="546"/>
      <c r="BX521" s="546"/>
      <c r="BY521" s="546"/>
      <c r="BZ521" s="546"/>
      <c r="CA521" s="546"/>
      <c r="CB521" s="546"/>
      <c r="CC521" s="546"/>
      <c r="CD521" s="546"/>
      <c r="CE521" s="413">
        <v>1</v>
      </c>
      <c r="CF521" s="546"/>
      <c r="CG521" s="539">
        <f>SUM(DH521:DH522)</f>
        <v>3014163580</v>
      </c>
      <c r="CH521" s="555"/>
      <c r="CI521" s="555"/>
      <c r="CJ521" s="83">
        <f t="shared" si="120"/>
        <v>0</v>
      </c>
      <c r="CK521" s="83">
        <f t="shared" si="119"/>
        <v>0</v>
      </c>
      <c r="CL521" s="83" t="str">
        <f t="shared" si="114"/>
        <v>No se reportó avance</v>
      </c>
      <c r="CM521" s="89" t="str">
        <f t="shared" si="115"/>
        <v>No se reportó avance</v>
      </c>
      <c r="CN521" s="89">
        <f t="shared" si="116"/>
        <v>1</v>
      </c>
      <c r="CO521" s="394" t="s">
        <v>391</v>
      </c>
      <c r="CP521" s="748" t="s">
        <v>4148</v>
      </c>
      <c r="CQ521" s="658" t="s">
        <v>1475</v>
      </c>
      <c r="CR521" s="748" t="s">
        <v>4149</v>
      </c>
      <c r="CS521" s="748" t="s">
        <v>4150</v>
      </c>
      <c r="CT521" s="658" t="s">
        <v>161</v>
      </c>
      <c r="CU521" s="658" t="s">
        <v>233</v>
      </c>
      <c r="CV521" s="658">
        <v>70</v>
      </c>
      <c r="CW521" s="658" t="s">
        <v>402</v>
      </c>
      <c r="CX521" s="395">
        <v>46054</v>
      </c>
      <c r="CY521" s="395">
        <v>46387</v>
      </c>
      <c r="CZ521" s="541">
        <v>0</v>
      </c>
      <c r="DA521" s="541">
        <v>20</v>
      </c>
      <c r="DB521" s="541">
        <v>25</v>
      </c>
      <c r="DC521" s="541">
        <v>25</v>
      </c>
      <c r="DD521" s="541">
        <v>70</v>
      </c>
      <c r="DE521" s="658" t="s">
        <v>3071</v>
      </c>
      <c r="DF521" s="658" t="s">
        <v>4065</v>
      </c>
      <c r="DG521" s="748" t="s">
        <v>4066</v>
      </c>
      <c r="DH521" s="871">
        <v>2374163580</v>
      </c>
      <c r="DI521" s="658" t="s">
        <v>956</v>
      </c>
      <c r="DJ521" s="658" t="s">
        <v>480</v>
      </c>
      <c r="DK521" s="658" t="s">
        <v>1024</v>
      </c>
      <c r="DL521" s="658" t="s">
        <v>2708</v>
      </c>
      <c r="DM521" s="394"/>
      <c r="DN521" s="394"/>
      <c r="DO521" s="747"/>
      <c r="DP521" s="394"/>
      <c r="DQ521" s="747"/>
      <c r="DR521" s="747"/>
      <c r="DS521" s="394"/>
      <c r="DT521" s="747"/>
      <c r="DU521" s="553"/>
      <c r="DV521" s="732"/>
      <c r="DW521" s="693"/>
      <c r="DX521" s="394"/>
      <c r="DY521" s="747"/>
      <c r="DZ521" s="553"/>
      <c r="EA521" s="732"/>
      <c r="EB521" s="693"/>
      <c r="EC521" s="874"/>
      <c r="ED521" s="874"/>
      <c r="EE521" s="874"/>
      <c r="EF521" s="874"/>
      <c r="EG521" s="874"/>
      <c r="EH521" s="394"/>
      <c r="EI521" s="389"/>
      <c r="EJ521" s="389"/>
      <c r="EK521" s="389"/>
      <c r="EL521" s="91" t="str">
        <f t="shared" si="117"/>
        <v>No aplica, no hay meta</v>
      </c>
      <c r="EM521" s="83" t="str">
        <f t="shared" si="118"/>
        <v>No se reportó avance</v>
      </c>
      <c r="EN521" s="872"/>
      <c r="EO521" s="605" t="str">
        <f t="shared" si="121"/>
        <v>Gestión</v>
      </c>
      <c r="EP521" s="605" t="str">
        <f t="shared" si="122"/>
        <v>2</v>
      </c>
    </row>
    <row r="522" spans="1:146" s="605" customFormat="1" ht="101.25">
      <c r="A522" s="390" t="s">
        <v>4042</v>
      </c>
      <c r="B522" s="398" t="s">
        <v>4043</v>
      </c>
      <c r="C522" s="398" t="s">
        <v>2366</v>
      </c>
      <c r="D522" s="398" t="s">
        <v>4132</v>
      </c>
      <c r="E522" s="398" t="s">
        <v>4133</v>
      </c>
      <c r="F522" s="542" t="s">
        <v>999</v>
      </c>
      <c r="G522" s="390" t="s">
        <v>4134</v>
      </c>
      <c r="H522" s="394" t="s">
        <v>4135</v>
      </c>
      <c r="I522" s="389" t="s">
        <v>4047</v>
      </c>
      <c r="J522" s="390" t="s">
        <v>729</v>
      </c>
      <c r="K522" s="561" t="s">
        <v>730</v>
      </c>
      <c r="L522" s="390">
        <v>4</v>
      </c>
      <c r="M522" s="390" t="s">
        <v>4136</v>
      </c>
      <c r="N522" s="390" t="s">
        <v>4137</v>
      </c>
      <c r="O522" s="390" t="s">
        <v>4138</v>
      </c>
      <c r="P522" s="390" t="s">
        <v>200</v>
      </c>
      <c r="Q522" s="390" t="s">
        <v>162</v>
      </c>
      <c r="R522" s="398">
        <v>1</v>
      </c>
      <c r="S522" s="390" t="s">
        <v>252</v>
      </c>
      <c r="T522" s="437">
        <v>44927</v>
      </c>
      <c r="U522" s="437">
        <v>46387</v>
      </c>
      <c r="V522" s="398"/>
      <c r="W522" s="398"/>
      <c r="X522" s="398"/>
      <c r="Y522" s="398"/>
      <c r="Z522" s="398"/>
      <c r="AA522" s="398"/>
      <c r="AB522" s="398"/>
      <c r="AC522" s="398"/>
      <c r="AD522" s="398"/>
      <c r="AE522" s="398"/>
      <c r="AF522" s="398"/>
      <c r="AG522" s="398"/>
      <c r="AH522" s="398"/>
      <c r="AI522" s="398"/>
      <c r="AJ522" s="398"/>
      <c r="AK522" s="395"/>
      <c r="AL522" s="395"/>
      <c r="AM522" s="395"/>
      <c r="AN522" s="395"/>
      <c r="AO522" s="398"/>
      <c r="AP522" s="398"/>
      <c r="AQ522" s="546"/>
      <c r="AR522" s="546"/>
      <c r="AS522" s="546"/>
      <c r="AT522" s="546"/>
      <c r="AU522" s="546"/>
      <c r="AV522" s="546"/>
      <c r="AW522" s="546"/>
      <c r="AX522" s="546"/>
      <c r="AY522" s="546"/>
      <c r="AZ522" s="744"/>
      <c r="BA522" s="546"/>
      <c r="BB522" s="546"/>
      <c r="BC522" s="546"/>
      <c r="BD522" s="546"/>
      <c r="BE522" s="546"/>
      <c r="BF522" s="546"/>
      <c r="BG522" s="546"/>
      <c r="BH522" s="546"/>
      <c r="BI522" s="546"/>
      <c r="BJ522" s="546"/>
      <c r="BK522" s="546"/>
      <c r="BL522" s="546"/>
      <c r="BM522" s="546"/>
      <c r="BN522" s="546"/>
      <c r="BO522" s="546"/>
      <c r="BP522" s="546"/>
      <c r="BQ522" s="546"/>
      <c r="BR522" s="546"/>
      <c r="BS522" s="546"/>
      <c r="BT522" s="546"/>
      <c r="BU522" s="546"/>
      <c r="BV522" s="546"/>
      <c r="BW522" s="546"/>
      <c r="BX522" s="546"/>
      <c r="BY522" s="546"/>
      <c r="BZ522" s="546"/>
      <c r="CA522" s="546"/>
      <c r="CB522" s="546"/>
      <c r="CC522" s="546"/>
      <c r="CD522" s="546"/>
      <c r="CE522" s="546"/>
      <c r="CF522" s="546"/>
      <c r="CG522" s="547"/>
      <c r="CH522" s="548"/>
      <c r="CI522" s="548"/>
      <c r="CJ522" s="83" t="str">
        <f t="shared" si="120"/>
        <v>No aplica</v>
      </c>
      <c r="CK522" s="83" t="str">
        <f t="shared" si="119"/>
        <v>No aplica</v>
      </c>
      <c r="CL522" s="83" t="str">
        <f t="shared" si="114"/>
        <v>No requiere reporte</v>
      </c>
      <c r="CM522" s="89" t="str">
        <f t="shared" si="115"/>
        <v>No requiere reporte</v>
      </c>
      <c r="CN522" s="89" t="str">
        <f t="shared" si="116"/>
        <v>No requiere reporte</v>
      </c>
      <c r="CO522" s="394" t="s">
        <v>403</v>
      </c>
      <c r="CP522" s="748" t="s">
        <v>4151</v>
      </c>
      <c r="CQ522" s="658" t="s">
        <v>1475</v>
      </c>
      <c r="CR522" s="748" t="s">
        <v>4152</v>
      </c>
      <c r="CS522" s="748" t="s">
        <v>4153</v>
      </c>
      <c r="CT522" s="658" t="s">
        <v>931</v>
      </c>
      <c r="CU522" s="658" t="s">
        <v>233</v>
      </c>
      <c r="CV522" s="658">
        <v>40</v>
      </c>
      <c r="CW522" s="658" t="s">
        <v>402</v>
      </c>
      <c r="CX522" s="395">
        <v>46054</v>
      </c>
      <c r="CY522" s="395">
        <v>46387</v>
      </c>
      <c r="CZ522" s="541">
        <v>0</v>
      </c>
      <c r="DA522" s="541">
        <v>10</v>
      </c>
      <c r="DB522" s="541">
        <v>15</v>
      </c>
      <c r="DC522" s="541">
        <v>15</v>
      </c>
      <c r="DD522" s="541">
        <v>40</v>
      </c>
      <c r="DE522" s="658" t="s">
        <v>3071</v>
      </c>
      <c r="DF522" s="658" t="s">
        <v>4065</v>
      </c>
      <c r="DG522" s="748" t="s">
        <v>4066</v>
      </c>
      <c r="DH522" s="871">
        <v>640000000</v>
      </c>
      <c r="DI522" s="658" t="s">
        <v>956</v>
      </c>
      <c r="DJ522" s="658" t="s">
        <v>480</v>
      </c>
      <c r="DK522" s="658" t="s">
        <v>1024</v>
      </c>
      <c r="DL522" s="658" t="s">
        <v>2708</v>
      </c>
      <c r="DM522" s="394"/>
      <c r="DN522" s="394"/>
      <c r="DO522" s="747"/>
      <c r="DP522" s="874"/>
      <c r="DQ522" s="747"/>
      <c r="DR522" s="747"/>
      <c r="DS522" s="394"/>
      <c r="DT522" s="747"/>
      <c r="DU522" s="874"/>
      <c r="DV522" s="732"/>
      <c r="DW522" s="693"/>
      <c r="DX522" s="394"/>
      <c r="DY522" s="747"/>
      <c r="DZ522" s="553"/>
      <c r="EA522" s="732"/>
      <c r="EB522" s="693"/>
      <c r="EC522" s="874"/>
      <c r="ED522" s="874"/>
      <c r="EE522" s="874"/>
      <c r="EF522" s="874"/>
      <c r="EG522" s="874"/>
      <c r="EH522" s="394"/>
      <c r="EI522" s="389"/>
      <c r="EJ522" s="389"/>
      <c r="EK522" s="389"/>
      <c r="EL522" s="91" t="str">
        <f t="shared" si="117"/>
        <v>No aplica, no hay meta</v>
      </c>
      <c r="EM522" s="83" t="str">
        <f t="shared" si="118"/>
        <v>No se reportó avance</v>
      </c>
      <c r="EN522" s="872"/>
      <c r="EO522" s="605" t="str">
        <f t="shared" si="121"/>
        <v>Gestión</v>
      </c>
      <c r="EP522" s="605" t="str">
        <f t="shared" si="122"/>
        <v>2</v>
      </c>
    </row>
    <row r="523" spans="1:146" s="605" customFormat="1" ht="409.5">
      <c r="A523" s="377" t="s">
        <v>4042</v>
      </c>
      <c r="B523" s="378" t="s">
        <v>4043</v>
      </c>
      <c r="C523" s="378" t="s">
        <v>4154</v>
      </c>
      <c r="D523" s="378" t="s">
        <v>4155</v>
      </c>
      <c r="E523" s="377" t="s">
        <v>4156</v>
      </c>
      <c r="F523" s="532" t="s">
        <v>999</v>
      </c>
      <c r="G523" s="377" t="s">
        <v>4157</v>
      </c>
      <c r="H523" s="533" t="s">
        <v>4158</v>
      </c>
      <c r="I523" s="534" t="s">
        <v>4047</v>
      </c>
      <c r="J523" s="377" t="s">
        <v>729</v>
      </c>
      <c r="K523" s="558" t="s">
        <v>4159</v>
      </c>
      <c r="L523" s="382">
        <v>5</v>
      </c>
      <c r="M523" s="382" t="s">
        <v>4160</v>
      </c>
      <c r="N523" s="382" t="s">
        <v>4161</v>
      </c>
      <c r="O523" s="382" t="s">
        <v>4162</v>
      </c>
      <c r="P523" s="382" t="s">
        <v>200</v>
      </c>
      <c r="Q523" s="382" t="s">
        <v>233</v>
      </c>
      <c r="R523" s="383">
        <v>1</v>
      </c>
      <c r="S523" s="382" t="s">
        <v>252</v>
      </c>
      <c r="T523" s="436">
        <v>44927</v>
      </c>
      <c r="U523" s="436">
        <v>46387</v>
      </c>
      <c r="V523" s="383">
        <v>0.05</v>
      </c>
      <c r="W523" s="383">
        <v>0.05</v>
      </c>
      <c r="X523" s="383">
        <v>0.2</v>
      </c>
      <c r="Y523" s="383">
        <v>0.14000000000000001</v>
      </c>
      <c r="Z523" s="383">
        <v>0.44</v>
      </c>
      <c r="AA523" s="383">
        <v>0.03</v>
      </c>
      <c r="AB523" s="383">
        <v>0.05</v>
      </c>
      <c r="AC523" s="383">
        <v>0.05</v>
      </c>
      <c r="AD523" s="383">
        <v>0.03</v>
      </c>
      <c r="AE523" s="383">
        <v>0.1633</v>
      </c>
      <c r="AF523" s="383">
        <v>0.04</v>
      </c>
      <c r="AG523" s="383">
        <v>0.05</v>
      </c>
      <c r="AH523" s="383">
        <v>0.05</v>
      </c>
      <c r="AI523" s="383">
        <v>0.05</v>
      </c>
      <c r="AJ523" s="383">
        <v>0.1867</v>
      </c>
      <c r="AK523" s="559">
        <v>0.03</v>
      </c>
      <c r="AL523" s="559">
        <v>0.06</v>
      </c>
      <c r="AM523" s="559">
        <v>0.06</v>
      </c>
      <c r="AN523" s="559">
        <v>0.06</v>
      </c>
      <c r="AO523" s="383">
        <v>0.21</v>
      </c>
      <c r="AP523" s="383">
        <v>1</v>
      </c>
      <c r="AQ523" s="546"/>
      <c r="AR523" s="546"/>
      <c r="AS523" s="546"/>
      <c r="AT523" s="546"/>
      <c r="AU523" s="546"/>
      <c r="AV523" s="546"/>
      <c r="AW523" s="546"/>
      <c r="AX523" s="546"/>
      <c r="AY523" s="172">
        <v>0.44</v>
      </c>
      <c r="AZ523" s="554" t="s">
        <v>4163</v>
      </c>
      <c r="BA523" s="172">
        <v>0.03</v>
      </c>
      <c r="BB523" s="646" t="s">
        <v>4164</v>
      </c>
      <c r="BC523" s="172">
        <v>0.08</v>
      </c>
      <c r="BD523" s="646" t="s">
        <v>4165</v>
      </c>
      <c r="BE523" s="172">
        <v>0.05</v>
      </c>
      <c r="BF523" s="646" t="s">
        <v>4166</v>
      </c>
      <c r="BG523" s="172">
        <v>0.03</v>
      </c>
      <c r="BH523" s="172" t="s">
        <v>4167</v>
      </c>
      <c r="BI523" s="172">
        <v>0.19</v>
      </c>
      <c r="BJ523" s="172" t="s">
        <v>4168</v>
      </c>
      <c r="BK523" s="563">
        <v>0.02</v>
      </c>
      <c r="BL523" s="744" t="s">
        <v>4169</v>
      </c>
      <c r="BM523" s="852">
        <v>0.05</v>
      </c>
      <c r="BN523" s="744" t="s">
        <v>4170</v>
      </c>
      <c r="BO523" s="753">
        <v>0.05</v>
      </c>
      <c r="BP523" s="745" t="s">
        <v>4171</v>
      </c>
      <c r="BQ523" s="546"/>
      <c r="BR523" s="546"/>
      <c r="BS523" s="753">
        <v>0.19</v>
      </c>
      <c r="BT523" s="546"/>
      <c r="BU523" s="546"/>
      <c r="BV523" s="546"/>
      <c r="BW523" s="546"/>
      <c r="BX523" s="546"/>
      <c r="BY523" s="546"/>
      <c r="BZ523" s="546"/>
      <c r="CA523" s="546"/>
      <c r="CB523" s="546"/>
      <c r="CC523" s="546"/>
      <c r="CD523" s="546"/>
      <c r="CE523" s="413">
        <v>1</v>
      </c>
      <c r="CF523" s="546"/>
      <c r="CG523" s="539">
        <f>SUM(DH523:DH525)</f>
        <v>6849021104</v>
      </c>
      <c r="CH523" s="555"/>
      <c r="CI523" s="555"/>
      <c r="CJ523" s="83">
        <f t="shared" si="120"/>
        <v>0</v>
      </c>
      <c r="CK523" s="83">
        <f t="shared" si="119"/>
        <v>0</v>
      </c>
      <c r="CL523" s="83" t="str">
        <f t="shared" si="114"/>
        <v>No se reportó avance</v>
      </c>
      <c r="CM523" s="89" t="str">
        <f t="shared" si="115"/>
        <v>No se reportó avance</v>
      </c>
      <c r="CN523" s="89">
        <f t="shared" si="116"/>
        <v>1</v>
      </c>
      <c r="CO523" s="394" t="s">
        <v>583</v>
      </c>
      <c r="CP523" s="747" t="s">
        <v>4172</v>
      </c>
      <c r="CQ523" s="658" t="s">
        <v>3147</v>
      </c>
      <c r="CR523" s="747" t="s">
        <v>4173</v>
      </c>
      <c r="CS523" s="748" t="s">
        <v>4174</v>
      </c>
      <c r="CT523" s="658" t="s">
        <v>931</v>
      </c>
      <c r="CU523" s="658" t="s">
        <v>233</v>
      </c>
      <c r="CV523" s="658">
        <v>4</v>
      </c>
      <c r="CW523" s="658" t="s">
        <v>402</v>
      </c>
      <c r="CX523" s="395">
        <v>46054</v>
      </c>
      <c r="CY523" s="395">
        <v>46387</v>
      </c>
      <c r="CZ523" s="541">
        <v>1</v>
      </c>
      <c r="DA523" s="541">
        <v>1</v>
      </c>
      <c r="DB523" s="541">
        <v>1</v>
      </c>
      <c r="DC523" s="541">
        <v>1</v>
      </c>
      <c r="DD523" s="541">
        <v>4</v>
      </c>
      <c r="DE523" s="658" t="s">
        <v>761</v>
      </c>
      <c r="DF523" s="658" t="s">
        <v>762</v>
      </c>
      <c r="DG523" s="748" t="s">
        <v>763</v>
      </c>
      <c r="DH523" s="557">
        <v>2705433869</v>
      </c>
      <c r="DI523" s="658" t="s">
        <v>956</v>
      </c>
      <c r="DJ523" s="658" t="s">
        <v>480</v>
      </c>
      <c r="DK523" s="658" t="s">
        <v>1024</v>
      </c>
      <c r="DL523" s="658" t="s">
        <v>2708</v>
      </c>
      <c r="DM523" s="394"/>
      <c r="DN523" s="394"/>
      <c r="DO523" s="747"/>
      <c r="DP523" s="874"/>
      <c r="DQ523" s="747"/>
      <c r="DR523" s="747"/>
      <c r="DS523" s="394"/>
      <c r="DT523" s="747"/>
      <c r="DU523" s="552"/>
      <c r="DV523" s="732"/>
      <c r="DW523" s="145"/>
      <c r="DX523" s="394"/>
      <c r="DY523" s="747"/>
      <c r="DZ523" s="552"/>
      <c r="EA523" s="732"/>
      <c r="EB523" s="145"/>
      <c r="EC523" s="874"/>
      <c r="ED523" s="874"/>
      <c r="EE523" s="874"/>
      <c r="EF523" s="874"/>
      <c r="EG523" s="874"/>
      <c r="EH523" s="394"/>
      <c r="EI523" s="389"/>
      <c r="EJ523" s="389"/>
      <c r="EK523" s="389"/>
      <c r="EL523" s="91" t="str">
        <f t="shared" si="117"/>
        <v>No se reportó avance</v>
      </c>
      <c r="EM523" s="83" t="str">
        <f t="shared" si="118"/>
        <v>No se reportó avance</v>
      </c>
      <c r="EN523" s="872"/>
      <c r="EO523" s="605" t="str">
        <f t="shared" si="121"/>
        <v>Gestión</v>
      </c>
      <c r="EP523" s="605" t="str">
        <f t="shared" si="122"/>
        <v>2</v>
      </c>
    </row>
    <row r="524" spans="1:146" s="605" customFormat="1" ht="78.75">
      <c r="A524" s="390" t="s">
        <v>4042</v>
      </c>
      <c r="B524" s="398" t="s">
        <v>4043</v>
      </c>
      <c r="C524" s="398" t="s">
        <v>4154</v>
      </c>
      <c r="D524" s="398" t="s">
        <v>4155</v>
      </c>
      <c r="E524" s="390" t="s">
        <v>4156</v>
      </c>
      <c r="F524" s="542" t="s">
        <v>999</v>
      </c>
      <c r="G524" s="390" t="s">
        <v>4157</v>
      </c>
      <c r="H524" s="394" t="s">
        <v>4158</v>
      </c>
      <c r="I524" s="389" t="s">
        <v>4047</v>
      </c>
      <c r="J524" s="390" t="s">
        <v>729</v>
      </c>
      <c r="K524" s="561" t="s">
        <v>4159</v>
      </c>
      <c r="L524" s="390">
        <v>5</v>
      </c>
      <c r="M524" s="390" t="s">
        <v>4160</v>
      </c>
      <c r="N524" s="390" t="s">
        <v>4161</v>
      </c>
      <c r="O524" s="390" t="s">
        <v>4175</v>
      </c>
      <c r="P524" s="390" t="s">
        <v>200</v>
      </c>
      <c r="Q524" s="390" t="s">
        <v>233</v>
      </c>
      <c r="R524" s="398">
        <v>1</v>
      </c>
      <c r="S524" s="390" t="s">
        <v>252</v>
      </c>
      <c r="T524" s="437">
        <v>44927</v>
      </c>
      <c r="U524" s="437">
        <v>46387</v>
      </c>
      <c r="V524" s="398"/>
      <c r="W524" s="398"/>
      <c r="X524" s="398"/>
      <c r="Y524" s="398"/>
      <c r="Z524" s="398"/>
      <c r="AA524" s="398"/>
      <c r="AB524" s="398"/>
      <c r="AC524" s="398"/>
      <c r="AD524" s="398"/>
      <c r="AE524" s="398"/>
      <c r="AF524" s="398"/>
      <c r="AG524" s="398"/>
      <c r="AH524" s="398"/>
      <c r="AI524" s="398"/>
      <c r="AJ524" s="398"/>
      <c r="AK524" s="414"/>
      <c r="AL524" s="414"/>
      <c r="AM524" s="414"/>
      <c r="AN524" s="414"/>
      <c r="AO524" s="398"/>
      <c r="AP524" s="398"/>
      <c r="AQ524" s="546"/>
      <c r="AR524" s="546"/>
      <c r="AS524" s="546"/>
      <c r="AT524" s="546"/>
      <c r="AU524" s="546"/>
      <c r="AV524" s="546"/>
      <c r="AW524" s="546"/>
      <c r="AX524" s="546"/>
      <c r="AY524" s="546"/>
      <c r="AZ524" s="744"/>
      <c r="BA524" s="546"/>
      <c r="BB524" s="546"/>
      <c r="BC524" s="546"/>
      <c r="BD524" s="546"/>
      <c r="BE524" s="546"/>
      <c r="BF524" s="546"/>
      <c r="BG524" s="546"/>
      <c r="BH524" s="546"/>
      <c r="BI524" s="546"/>
      <c r="BJ524" s="546"/>
      <c r="BK524" s="546"/>
      <c r="BL524" s="546"/>
      <c r="BM524" s="546"/>
      <c r="BN524" s="546"/>
      <c r="BO524" s="546"/>
      <c r="BP524" s="546"/>
      <c r="BQ524" s="546"/>
      <c r="BR524" s="546"/>
      <c r="BS524" s="546"/>
      <c r="BT524" s="546"/>
      <c r="BU524" s="546"/>
      <c r="BV524" s="546"/>
      <c r="BW524" s="546"/>
      <c r="BX524" s="546"/>
      <c r="BY524" s="546"/>
      <c r="BZ524" s="546"/>
      <c r="CA524" s="546"/>
      <c r="CB524" s="546"/>
      <c r="CC524" s="546"/>
      <c r="CD524" s="546"/>
      <c r="CE524" s="546"/>
      <c r="CF524" s="546"/>
      <c r="CG524" s="547"/>
      <c r="CH524" s="548"/>
      <c r="CI524" s="548"/>
      <c r="CJ524" s="83" t="str">
        <f t="shared" si="120"/>
        <v>No aplica</v>
      </c>
      <c r="CK524" s="83" t="str">
        <f t="shared" si="119"/>
        <v>No aplica</v>
      </c>
      <c r="CL524" s="83" t="str">
        <f t="shared" si="114"/>
        <v>No requiere reporte</v>
      </c>
      <c r="CM524" s="89" t="str">
        <f t="shared" si="115"/>
        <v>No requiere reporte</v>
      </c>
      <c r="CN524" s="89" t="str">
        <f t="shared" si="116"/>
        <v>No requiere reporte</v>
      </c>
      <c r="CO524" s="394" t="s">
        <v>589</v>
      </c>
      <c r="CP524" s="747" t="s">
        <v>4176</v>
      </c>
      <c r="CQ524" s="658" t="s">
        <v>3147</v>
      </c>
      <c r="CR524" s="747" t="s">
        <v>4177</v>
      </c>
      <c r="CS524" s="748" t="s">
        <v>4178</v>
      </c>
      <c r="CT524" s="658" t="s">
        <v>931</v>
      </c>
      <c r="CU524" s="658" t="s">
        <v>233</v>
      </c>
      <c r="CV524" s="658">
        <v>20</v>
      </c>
      <c r="CW524" s="658" t="s">
        <v>402</v>
      </c>
      <c r="CX524" s="395">
        <v>46054</v>
      </c>
      <c r="CY524" s="395">
        <v>46387</v>
      </c>
      <c r="CZ524" s="541">
        <v>3</v>
      </c>
      <c r="DA524" s="541">
        <v>7</v>
      </c>
      <c r="DB524" s="541">
        <v>7</v>
      </c>
      <c r="DC524" s="541">
        <v>7</v>
      </c>
      <c r="DD524" s="541">
        <v>24</v>
      </c>
      <c r="DE524" s="658" t="s">
        <v>761</v>
      </c>
      <c r="DF524" s="658" t="s">
        <v>762</v>
      </c>
      <c r="DG524" s="748" t="s">
        <v>763</v>
      </c>
      <c r="DH524" s="557">
        <v>553665390</v>
      </c>
      <c r="DI524" s="658" t="s">
        <v>956</v>
      </c>
      <c r="DJ524" s="658" t="s">
        <v>480</v>
      </c>
      <c r="DK524" s="658" t="s">
        <v>1024</v>
      </c>
      <c r="DL524" s="658" t="s">
        <v>2708</v>
      </c>
      <c r="DM524" s="394"/>
      <c r="DN524" s="394"/>
      <c r="DO524" s="747"/>
      <c r="DP524" s="874"/>
      <c r="DQ524" s="747"/>
      <c r="DR524" s="747"/>
      <c r="DS524" s="394"/>
      <c r="DT524" s="747"/>
      <c r="DU524" s="747"/>
      <c r="DV524" s="732"/>
      <c r="DW524" s="145"/>
      <c r="DX524" s="394"/>
      <c r="DY524" s="747"/>
      <c r="DZ524" s="552"/>
      <c r="EA524" s="732"/>
      <c r="EB524" s="145"/>
      <c r="EC524" s="874"/>
      <c r="ED524" s="874"/>
      <c r="EE524" s="874"/>
      <c r="EF524" s="874"/>
      <c r="EG524" s="874"/>
      <c r="EH524" s="394"/>
      <c r="EI524" s="389"/>
      <c r="EJ524" s="389"/>
      <c r="EK524" s="389"/>
      <c r="EL524" s="91" t="str">
        <f t="shared" si="117"/>
        <v>No se reportó avance</v>
      </c>
      <c r="EM524" s="83" t="str">
        <f t="shared" si="118"/>
        <v>No se reportó avance</v>
      </c>
      <c r="EN524" s="872"/>
      <c r="EO524" s="605" t="str">
        <f t="shared" si="121"/>
        <v>Gestión</v>
      </c>
      <c r="EP524" s="605" t="str">
        <f t="shared" si="122"/>
        <v>2</v>
      </c>
    </row>
    <row r="525" spans="1:146" s="605" customFormat="1" ht="78.75">
      <c r="A525" s="390" t="s">
        <v>4042</v>
      </c>
      <c r="B525" s="398" t="s">
        <v>4043</v>
      </c>
      <c r="C525" s="398" t="s">
        <v>4154</v>
      </c>
      <c r="D525" s="398" t="s">
        <v>4155</v>
      </c>
      <c r="E525" s="390" t="s">
        <v>4156</v>
      </c>
      <c r="F525" s="542" t="s">
        <v>999</v>
      </c>
      <c r="G525" s="390" t="s">
        <v>4157</v>
      </c>
      <c r="H525" s="394" t="s">
        <v>4158</v>
      </c>
      <c r="I525" s="389" t="s">
        <v>4047</v>
      </c>
      <c r="J525" s="390" t="s">
        <v>729</v>
      </c>
      <c r="K525" s="561" t="s">
        <v>4159</v>
      </c>
      <c r="L525" s="390">
        <v>5</v>
      </c>
      <c r="M525" s="390" t="s">
        <v>4160</v>
      </c>
      <c r="N525" s="390" t="s">
        <v>4161</v>
      </c>
      <c r="O525" s="390" t="s">
        <v>4175</v>
      </c>
      <c r="P525" s="390" t="s">
        <v>200</v>
      </c>
      <c r="Q525" s="390" t="s">
        <v>233</v>
      </c>
      <c r="R525" s="398">
        <v>1</v>
      </c>
      <c r="S525" s="390" t="s">
        <v>252</v>
      </c>
      <c r="T525" s="437">
        <v>44927</v>
      </c>
      <c r="U525" s="437">
        <v>46387</v>
      </c>
      <c r="V525" s="398"/>
      <c r="W525" s="398"/>
      <c r="X525" s="398"/>
      <c r="Y525" s="398"/>
      <c r="Z525" s="398"/>
      <c r="AA525" s="398"/>
      <c r="AB525" s="398"/>
      <c r="AC525" s="398"/>
      <c r="AD525" s="398"/>
      <c r="AE525" s="398"/>
      <c r="AF525" s="398"/>
      <c r="AG525" s="398"/>
      <c r="AH525" s="398"/>
      <c r="AI525" s="398"/>
      <c r="AJ525" s="398"/>
      <c r="AK525" s="414"/>
      <c r="AL525" s="414"/>
      <c r="AM525" s="414"/>
      <c r="AN525" s="414"/>
      <c r="AO525" s="398"/>
      <c r="AP525" s="398"/>
      <c r="AQ525" s="546"/>
      <c r="AR525" s="546"/>
      <c r="AS525" s="546"/>
      <c r="AT525" s="546"/>
      <c r="AU525" s="546"/>
      <c r="AV525" s="546"/>
      <c r="AW525" s="546"/>
      <c r="AX525" s="546"/>
      <c r="AY525" s="546"/>
      <c r="AZ525" s="744"/>
      <c r="BA525" s="546"/>
      <c r="BB525" s="546"/>
      <c r="BC525" s="546"/>
      <c r="BD525" s="546"/>
      <c r="BE525" s="546"/>
      <c r="BF525" s="546"/>
      <c r="BG525" s="546"/>
      <c r="BH525" s="546"/>
      <c r="BI525" s="546"/>
      <c r="BJ525" s="546"/>
      <c r="BK525" s="546"/>
      <c r="BL525" s="546"/>
      <c r="BM525" s="546"/>
      <c r="BN525" s="546"/>
      <c r="BO525" s="546"/>
      <c r="BP525" s="546"/>
      <c r="BQ525" s="546"/>
      <c r="BR525" s="546"/>
      <c r="BS525" s="546"/>
      <c r="BT525" s="546"/>
      <c r="BU525" s="546"/>
      <c r="BV525" s="546"/>
      <c r="BW525" s="546"/>
      <c r="BX525" s="546"/>
      <c r="BY525" s="546"/>
      <c r="BZ525" s="546"/>
      <c r="CA525" s="546"/>
      <c r="CB525" s="546"/>
      <c r="CC525" s="546"/>
      <c r="CD525" s="546"/>
      <c r="CE525" s="546"/>
      <c r="CF525" s="546"/>
      <c r="CG525" s="547"/>
      <c r="CH525" s="548"/>
      <c r="CI525" s="548"/>
      <c r="CJ525" s="83" t="str">
        <f t="shared" si="120"/>
        <v>No aplica</v>
      </c>
      <c r="CK525" s="83" t="str">
        <f t="shared" si="119"/>
        <v>No aplica</v>
      </c>
      <c r="CL525" s="83" t="str">
        <f t="shared" si="114"/>
        <v>No requiere reporte</v>
      </c>
      <c r="CM525" s="89" t="str">
        <f t="shared" si="115"/>
        <v>No requiere reporte</v>
      </c>
      <c r="CN525" s="89" t="str">
        <f t="shared" si="116"/>
        <v>No requiere reporte</v>
      </c>
      <c r="CO525" s="394" t="s">
        <v>592</v>
      </c>
      <c r="CP525" s="747" t="s">
        <v>4179</v>
      </c>
      <c r="CQ525" s="658" t="s">
        <v>3147</v>
      </c>
      <c r="CR525" s="747" t="s">
        <v>4180</v>
      </c>
      <c r="CS525" s="748" t="s">
        <v>4181</v>
      </c>
      <c r="CT525" s="658" t="s">
        <v>931</v>
      </c>
      <c r="CU525" s="658" t="s">
        <v>233</v>
      </c>
      <c r="CV525" s="658">
        <v>4</v>
      </c>
      <c r="CW525" s="658" t="s">
        <v>402</v>
      </c>
      <c r="CX525" s="395">
        <v>46054</v>
      </c>
      <c r="CY525" s="395">
        <v>46387</v>
      </c>
      <c r="CZ525" s="541">
        <v>1</v>
      </c>
      <c r="DA525" s="541">
        <v>1</v>
      </c>
      <c r="DB525" s="541">
        <v>1</v>
      </c>
      <c r="DC525" s="541">
        <v>1</v>
      </c>
      <c r="DD525" s="541">
        <v>4</v>
      </c>
      <c r="DE525" s="658" t="s">
        <v>761</v>
      </c>
      <c r="DF525" s="658" t="s">
        <v>762</v>
      </c>
      <c r="DG525" s="748" t="s">
        <v>763</v>
      </c>
      <c r="DH525" s="557">
        <v>3589921845</v>
      </c>
      <c r="DI525" s="658" t="s">
        <v>956</v>
      </c>
      <c r="DJ525" s="658" t="s">
        <v>480</v>
      </c>
      <c r="DK525" s="658" t="s">
        <v>1024</v>
      </c>
      <c r="DL525" s="658" t="s">
        <v>2708</v>
      </c>
      <c r="DM525" s="394"/>
      <c r="DN525" s="394"/>
      <c r="DO525" s="747"/>
      <c r="DP525" s="394"/>
      <c r="DQ525" s="747"/>
      <c r="DR525" s="747"/>
      <c r="DS525" s="394"/>
      <c r="DT525" s="747"/>
      <c r="DU525" s="747"/>
      <c r="DV525" s="732"/>
      <c r="DW525" s="693"/>
      <c r="DX525" s="394"/>
      <c r="DY525" s="747"/>
      <c r="DZ525" s="552"/>
      <c r="EA525" s="732"/>
      <c r="EB525" s="693"/>
      <c r="EC525" s="874"/>
      <c r="ED525" s="874"/>
      <c r="EE525" s="874"/>
      <c r="EF525" s="874"/>
      <c r="EG525" s="874"/>
      <c r="EH525" s="394"/>
      <c r="EI525" s="389"/>
      <c r="EJ525" s="389"/>
      <c r="EK525" s="389"/>
      <c r="EL525" s="91" t="str">
        <f t="shared" si="117"/>
        <v>No se reportó avance</v>
      </c>
      <c r="EM525" s="83" t="str">
        <f t="shared" si="118"/>
        <v>No se reportó avance</v>
      </c>
      <c r="EN525" s="872"/>
      <c r="EO525" s="605" t="str">
        <f t="shared" si="121"/>
        <v>Gestión</v>
      </c>
      <c r="EP525" s="605" t="str">
        <f t="shared" si="122"/>
        <v>2</v>
      </c>
    </row>
    <row r="526" spans="1:146" s="605" customFormat="1" ht="409.5">
      <c r="A526" s="377" t="s">
        <v>4042</v>
      </c>
      <c r="B526" s="378" t="s">
        <v>4043</v>
      </c>
      <c r="C526" s="378" t="s">
        <v>2366</v>
      </c>
      <c r="D526" s="378" t="s">
        <v>4132</v>
      </c>
      <c r="E526" s="378" t="s">
        <v>4182</v>
      </c>
      <c r="F526" s="532" t="s">
        <v>999</v>
      </c>
      <c r="G526" s="377"/>
      <c r="H526" s="533" t="s">
        <v>4183</v>
      </c>
      <c r="I526" s="534" t="s">
        <v>4047</v>
      </c>
      <c r="J526" s="377" t="s">
        <v>729</v>
      </c>
      <c r="K526" s="558" t="s">
        <v>730</v>
      </c>
      <c r="L526" s="382">
        <v>6</v>
      </c>
      <c r="M526" s="382" t="s">
        <v>4184</v>
      </c>
      <c r="N526" s="382" t="s">
        <v>4185</v>
      </c>
      <c r="O526" s="382" t="s">
        <v>4186</v>
      </c>
      <c r="P526" s="382" t="s">
        <v>161</v>
      </c>
      <c r="Q526" s="382" t="s">
        <v>233</v>
      </c>
      <c r="R526" s="535" t="s">
        <v>4187</v>
      </c>
      <c r="S526" s="382" t="s">
        <v>234</v>
      </c>
      <c r="T526" s="436">
        <v>44927</v>
      </c>
      <c r="U526" s="436">
        <v>46387</v>
      </c>
      <c r="V526" s="564">
        <v>0</v>
      </c>
      <c r="W526" s="564">
        <v>30</v>
      </c>
      <c r="X526" s="564">
        <v>40</v>
      </c>
      <c r="Y526" s="564">
        <v>30</v>
      </c>
      <c r="Z526" s="535" t="s">
        <v>4187</v>
      </c>
      <c r="AA526" s="564"/>
      <c r="AB526" s="564">
        <v>30</v>
      </c>
      <c r="AC526" s="564">
        <v>40</v>
      </c>
      <c r="AD526" s="564">
        <v>30</v>
      </c>
      <c r="AE526" s="564">
        <v>100</v>
      </c>
      <c r="AF526" s="564">
        <v>0</v>
      </c>
      <c r="AG526" s="564">
        <v>20</v>
      </c>
      <c r="AH526" s="564">
        <v>40</v>
      </c>
      <c r="AI526" s="564">
        <v>40</v>
      </c>
      <c r="AJ526" s="564">
        <v>100</v>
      </c>
      <c r="AK526" s="565">
        <v>0</v>
      </c>
      <c r="AL526" s="565">
        <v>30</v>
      </c>
      <c r="AM526" s="565">
        <v>40</v>
      </c>
      <c r="AN526" s="565">
        <v>30</v>
      </c>
      <c r="AO526" s="564">
        <v>100</v>
      </c>
      <c r="AP526" s="535" t="s">
        <v>4188</v>
      </c>
      <c r="AQ526" s="546"/>
      <c r="AR526" s="546"/>
      <c r="AS526" s="546"/>
      <c r="AT526" s="546"/>
      <c r="AU526" s="546"/>
      <c r="AV526" s="546"/>
      <c r="AW526" s="546"/>
      <c r="AX526" s="546"/>
      <c r="AY526" s="543">
        <v>56</v>
      </c>
      <c r="AZ526" s="554" t="s">
        <v>4189</v>
      </c>
      <c r="BA526" s="172" t="s">
        <v>182</v>
      </c>
      <c r="BB526" s="646" t="s">
        <v>4190</v>
      </c>
      <c r="BC526" s="404">
        <v>4</v>
      </c>
      <c r="BD526" s="646" t="s">
        <v>4191</v>
      </c>
      <c r="BE526" s="404">
        <v>16</v>
      </c>
      <c r="BF526" s="646" t="s">
        <v>4192</v>
      </c>
      <c r="BG526" s="174">
        <v>58</v>
      </c>
      <c r="BH526" s="172" t="s">
        <v>4193</v>
      </c>
      <c r="BI526" s="404">
        <v>78</v>
      </c>
      <c r="BJ526" s="404" t="s">
        <v>4194</v>
      </c>
      <c r="BK526" s="845" t="s">
        <v>182</v>
      </c>
      <c r="BL526" s="744" t="s">
        <v>4195</v>
      </c>
      <c r="BM526" s="855">
        <v>0</v>
      </c>
      <c r="BN526" s="850" t="s">
        <v>4196</v>
      </c>
      <c r="BO526" s="849">
        <v>20</v>
      </c>
      <c r="BP526" s="851" t="s">
        <v>4197</v>
      </c>
      <c r="BQ526" s="546"/>
      <c r="BR526" s="546"/>
      <c r="BS526" s="751">
        <v>20</v>
      </c>
      <c r="BT526" s="546"/>
      <c r="BU526" s="546"/>
      <c r="BV526" s="546"/>
      <c r="BW526" s="546"/>
      <c r="BX526" s="546"/>
      <c r="BY526" s="546"/>
      <c r="BZ526" s="546"/>
      <c r="CA526" s="546"/>
      <c r="CB526" s="546"/>
      <c r="CC526" s="546"/>
      <c r="CD526" s="546"/>
      <c r="CE526" s="849">
        <v>100</v>
      </c>
      <c r="CF526" s="546"/>
      <c r="CG526" s="539">
        <f>SUM(DH526:DH531)</f>
        <v>3000350914</v>
      </c>
      <c r="CH526" s="555"/>
      <c r="CI526" s="555"/>
      <c r="CJ526" s="83">
        <f t="shared" si="120"/>
        <v>0</v>
      </c>
      <c r="CK526" s="83">
        <f t="shared" si="119"/>
        <v>0</v>
      </c>
      <c r="CL526" s="83" t="str">
        <f t="shared" si="114"/>
        <v>No aplica, no hay meta</v>
      </c>
      <c r="CM526" s="89" t="str">
        <f t="shared" si="115"/>
        <v>No se reportó avance</v>
      </c>
      <c r="CN526" s="89">
        <f t="shared" si="116"/>
        <v>0.25</v>
      </c>
      <c r="CO526" s="394" t="s">
        <v>1362</v>
      </c>
      <c r="CP526" s="748" t="s">
        <v>4198</v>
      </c>
      <c r="CQ526" s="658" t="s">
        <v>3147</v>
      </c>
      <c r="CR526" s="748" t="s">
        <v>4199</v>
      </c>
      <c r="CS526" s="748" t="s">
        <v>4200</v>
      </c>
      <c r="CT526" s="658" t="s">
        <v>931</v>
      </c>
      <c r="CU526" s="658" t="s">
        <v>233</v>
      </c>
      <c r="CV526" s="658">
        <v>100</v>
      </c>
      <c r="CW526" s="658" t="s">
        <v>402</v>
      </c>
      <c r="CX526" s="395">
        <v>46054</v>
      </c>
      <c r="CY526" s="395">
        <v>46387</v>
      </c>
      <c r="CZ526" s="541">
        <v>0</v>
      </c>
      <c r="DA526" s="541">
        <v>30</v>
      </c>
      <c r="DB526" s="541">
        <v>40</v>
      </c>
      <c r="DC526" s="541">
        <v>30</v>
      </c>
      <c r="DD526" s="541">
        <v>100</v>
      </c>
      <c r="DE526" s="658" t="s">
        <v>3071</v>
      </c>
      <c r="DF526" s="658" t="s">
        <v>4201</v>
      </c>
      <c r="DG526" s="748" t="s">
        <v>4202</v>
      </c>
      <c r="DH526" s="557">
        <v>1479893530</v>
      </c>
      <c r="DI526" s="658" t="s">
        <v>956</v>
      </c>
      <c r="DJ526" s="658" t="s">
        <v>480</v>
      </c>
      <c r="DK526" s="658" t="s">
        <v>1024</v>
      </c>
      <c r="DL526" s="658" t="s">
        <v>2708</v>
      </c>
      <c r="DM526" s="394"/>
      <c r="DN526" s="394"/>
      <c r="DO526" s="747"/>
      <c r="DP526" s="394"/>
      <c r="DQ526" s="747"/>
      <c r="DR526" s="747"/>
      <c r="DS526" s="394"/>
      <c r="DT526" s="874"/>
      <c r="DU526" s="553"/>
      <c r="DV526" s="874"/>
      <c r="DW526" s="874"/>
      <c r="DX526" s="394"/>
      <c r="DY526" s="874"/>
      <c r="DZ526" s="553"/>
      <c r="EA526" s="874"/>
      <c r="EB526" s="874"/>
      <c r="EC526" s="874"/>
      <c r="ED526" s="874"/>
      <c r="EE526" s="874"/>
      <c r="EF526" s="874"/>
      <c r="EG526" s="874"/>
      <c r="EH526" s="394"/>
      <c r="EI526" s="389"/>
      <c r="EJ526" s="389"/>
      <c r="EK526" s="389"/>
      <c r="EL526" s="91" t="str">
        <f t="shared" si="117"/>
        <v>No aplica, no hay meta</v>
      </c>
      <c r="EM526" s="83" t="str">
        <f t="shared" si="118"/>
        <v>No se reportó avance</v>
      </c>
      <c r="EN526" s="872"/>
      <c r="EO526" s="605" t="str">
        <f t="shared" si="121"/>
        <v>Producto</v>
      </c>
      <c r="EP526" s="605" t="str">
        <f t="shared" si="122"/>
        <v>2</v>
      </c>
    </row>
    <row r="527" spans="1:146" s="605" customFormat="1" ht="67.5">
      <c r="A527" s="390" t="s">
        <v>4042</v>
      </c>
      <c r="B527" s="398" t="s">
        <v>4043</v>
      </c>
      <c r="C527" s="398" t="s">
        <v>2366</v>
      </c>
      <c r="D527" s="398" t="s">
        <v>4132</v>
      </c>
      <c r="E527" s="398" t="s">
        <v>4182</v>
      </c>
      <c r="F527" s="542" t="s">
        <v>999</v>
      </c>
      <c r="G527" s="390"/>
      <c r="H527" s="394" t="s">
        <v>4183</v>
      </c>
      <c r="I527" s="389" t="s">
        <v>4047</v>
      </c>
      <c r="J527" s="390" t="s">
        <v>729</v>
      </c>
      <c r="K527" s="561" t="s">
        <v>730</v>
      </c>
      <c r="L527" s="390">
        <v>6</v>
      </c>
      <c r="M527" s="390" t="s">
        <v>4184</v>
      </c>
      <c r="N527" s="390" t="s">
        <v>4185</v>
      </c>
      <c r="O527" s="390" t="s">
        <v>4186</v>
      </c>
      <c r="P527" s="390" t="s">
        <v>161</v>
      </c>
      <c r="Q527" s="390" t="s">
        <v>233</v>
      </c>
      <c r="R527" s="566" t="s">
        <v>4187</v>
      </c>
      <c r="S527" s="390" t="s">
        <v>234</v>
      </c>
      <c r="T527" s="437">
        <v>44927</v>
      </c>
      <c r="U527" s="437">
        <v>46387</v>
      </c>
      <c r="V527" s="567"/>
      <c r="W527" s="567"/>
      <c r="X527" s="567"/>
      <c r="Y527" s="567"/>
      <c r="Z527" s="543"/>
      <c r="AA527" s="543"/>
      <c r="AB527" s="543"/>
      <c r="AC527" s="543"/>
      <c r="AD527" s="543"/>
      <c r="AE527" s="567"/>
      <c r="AF527" s="567"/>
      <c r="AG527" s="567"/>
      <c r="AH527" s="567"/>
      <c r="AI527" s="567"/>
      <c r="AJ527" s="567"/>
      <c r="AK527" s="568"/>
      <c r="AL527" s="568"/>
      <c r="AM527" s="568"/>
      <c r="AN527" s="568"/>
      <c r="AO527" s="567"/>
      <c r="AP527" s="543"/>
      <c r="AQ527" s="546"/>
      <c r="AR527" s="546"/>
      <c r="AS527" s="546"/>
      <c r="AT527" s="546"/>
      <c r="AU527" s="546"/>
      <c r="AV527" s="546"/>
      <c r="AW527" s="546"/>
      <c r="AX527" s="546"/>
      <c r="AY527" s="546"/>
      <c r="AZ527" s="744"/>
      <c r="BA527" s="546"/>
      <c r="BB527" s="546"/>
      <c r="BC527" s="546"/>
      <c r="BD527" s="546"/>
      <c r="BE527" s="546"/>
      <c r="BF527" s="546"/>
      <c r="BG527" s="546"/>
      <c r="BH527" s="546"/>
      <c r="BI527" s="546"/>
      <c r="BJ527" s="546"/>
      <c r="BK527" s="546"/>
      <c r="BL527" s="546"/>
      <c r="BM527" s="546"/>
      <c r="BN527" s="546"/>
      <c r="BO527" s="546"/>
      <c r="BP527" s="546"/>
      <c r="BQ527" s="546"/>
      <c r="BR527" s="546"/>
      <c r="BS527" s="546"/>
      <c r="BT527" s="546"/>
      <c r="BU527" s="546"/>
      <c r="BV527" s="546"/>
      <c r="BW527" s="546"/>
      <c r="BX527" s="546"/>
      <c r="BY527" s="546"/>
      <c r="BZ527" s="546"/>
      <c r="CA527" s="546"/>
      <c r="CB527" s="546"/>
      <c r="CC527" s="546"/>
      <c r="CD527" s="546"/>
      <c r="CE527" s="546"/>
      <c r="CF527" s="546"/>
      <c r="CG527" s="547"/>
      <c r="CH527" s="548"/>
      <c r="CI527" s="548"/>
      <c r="CJ527" s="83" t="str">
        <f t="shared" si="120"/>
        <v>No aplica</v>
      </c>
      <c r="CK527" s="83" t="str">
        <f t="shared" si="119"/>
        <v>No aplica</v>
      </c>
      <c r="CL527" s="83" t="str">
        <f t="shared" si="114"/>
        <v>No requiere reporte</v>
      </c>
      <c r="CM527" s="89" t="str">
        <f t="shared" si="115"/>
        <v>No requiere reporte</v>
      </c>
      <c r="CN527" s="89" t="str">
        <f t="shared" si="116"/>
        <v>No requiere reporte</v>
      </c>
      <c r="CO527" s="394" t="s">
        <v>1368</v>
      </c>
      <c r="CP527" s="748" t="s">
        <v>4203</v>
      </c>
      <c r="CQ527" s="658" t="s">
        <v>3147</v>
      </c>
      <c r="CR527" s="748" t="s">
        <v>4204</v>
      </c>
      <c r="CS527" s="748" t="s">
        <v>4205</v>
      </c>
      <c r="CT527" s="658" t="s">
        <v>931</v>
      </c>
      <c r="CU527" s="658" t="s">
        <v>233</v>
      </c>
      <c r="CV527" s="658">
        <v>100</v>
      </c>
      <c r="CW527" s="658" t="s">
        <v>402</v>
      </c>
      <c r="CX527" s="395">
        <v>46054</v>
      </c>
      <c r="CY527" s="395">
        <v>46387</v>
      </c>
      <c r="CZ527" s="541">
        <v>0</v>
      </c>
      <c r="DA527" s="541">
        <v>30</v>
      </c>
      <c r="DB527" s="541">
        <v>40</v>
      </c>
      <c r="DC527" s="541">
        <v>30</v>
      </c>
      <c r="DD527" s="541">
        <v>100</v>
      </c>
      <c r="DE527" s="658" t="s">
        <v>3071</v>
      </c>
      <c r="DF527" s="658" t="s">
        <v>4201</v>
      </c>
      <c r="DG527" s="748" t="s">
        <v>4202</v>
      </c>
      <c r="DH527" s="557">
        <v>457193585</v>
      </c>
      <c r="DI527" s="658" t="s">
        <v>956</v>
      </c>
      <c r="DJ527" s="658" t="s">
        <v>480</v>
      </c>
      <c r="DK527" s="658" t="s">
        <v>1024</v>
      </c>
      <c r="DL527" s="658" t="s">
        <v>2708</v>
      </c>
      <c r="DM527" s="394"/>
      <c r="DN527" s="394"/>
      <c r="DO527" s="747"/>
      <c r="DP527" s="394"/>
      <c r="DQ527" s="747"/>
      <c r="DR527" s="747"/>
      <c r="DS527" s="394"/>
      <c r="DT527" s="874"/>
      <c r="DU527" s="874"/>
      <c r="DV527" s="874"/>
      <c r="DW527" s="874"/>
      <c r="DX527" s="394"/>
      <c r="DY527" s="874"/>
      <c r="DZ527" s="886"/>
      <c r="EA527" s="874"/>
      <c r="EB527" s="874"/>
      <c r="EC527" s="874"/>
      <c r="ED527" s="874"/>
      <c r="EE527" s="874"/>
      <c r="EF527" s="874"/>
      <c r="EG527" s="874"/>
      <c r="EH527" s="394"/>
      <c r="EI527" s="389"/>
      <c r="EJ527" s="389"/>
      <c r="EK527" s="389"/>
      <c r="EL527" s="91" t="str">
        <f t="shared" si="117"/>
        <v>No aplica, no hay meta</v>
      </c>
      <c r="EM527" s="83" t="str">
        <f t="shared" si="118"/>
        <v>No se reportó avance</v>
      </c>
      <c r="EN527" s="872"/>
      <c r="EO527" s="605" t="str">
        <f t="shared" si="121"/>
        <v>Producto</v>
      </c>
      <c r="EP527" s="605" t="str">
        <f t="shared" si="122"/>
        <v>2</v>
      </c>
    </row>
    <row r="528" spans="1:146" s="605" customFormat="1" ht="67.5">
      <c r="A528" s="390" t="s">
        <v>4042</v>
      </c>
      <c r="B528" s="398" t="s">
        <v>4043</v>
      </c>
      <c r="C528" s="398" t="s">
        <v>2366</v>
      </c>
      <c r="D528" s="398" t="s">
        <v>4132</v>
      </c>
      <c r="E528" s="398" t="s">
        <v>4182</v>
      </c>
      <c r="F528" s="542" t="s">
        <v>999</v>
      </c>
      <c r="G528" s="390"/>
      <c r="H528" s="394" t="s">
        <v>4183</v>
      </c>
      <c r="I528" s="389" t="s">
        <v>4047</v>
      </c>
      <c r="J528" s="390" t="s">
        <v>729</v>
      </c>
      <c r="K528" s="561" t="s">
        <v>730</v>
      </c>
      <c r="L528" s="390">
        <v>6</v>
      </c>
      <c r="M528" s="390" t="s">
        <v>4184</v>
      </c>
      <c r="N528" s="390" t="s">
        <v>4185</v>
      </c>
      <c r="O528" s="390" t="s">
        <v>4186</v>
      </c>
      <c r="P528" s="390" t="s">
        <v>161</v>
      </c>
      <c r="Q528" s="390" t="s">
        <v>233</v>
      </c>
      <c r="R528" s="566" t="s">
        <v>4187</v>
      </c>
      <c r="S528" s="390" t="s">
        <v>234</v>
      </c>
      <c r="T528" s="437">
        <v>44927</v>
      </c>
      <c r="U528" s="437">
        <v>46387</v>
      </c>
      <c r="V528" s="567"/>
      <c r="W528" s="567"/>
      <c r="X528" s="567"/>
      <c r="Y528" s="567"/>
      <c r="Z528" s="543"/>
      <c r="AA528" s="543"/>
      <c r="AB528" s="543"/>
      <c r="AC528" s="543"/>
      <c r="AD528" s="543"/>
      <c r="AE528" s="567"/>
      <c r="AF528" s="567"/>
      <c r="AG528" s="567"/>
      <c r="AH528" s="567"/>
      <c r="AI528" s="567"/>
      <c r="AJ528" s="567"/>
      <c r="AK528" s="568"/>
      <c r="AL528" s="568"/>
      <c r="AM528" s="568"/>
      <c r="AN528" s="568"/>
      <c r="AO528" s="567"/>
      <c r="AP528" s="543"/>
      <c r="AQ528" s="546"/>
      <c r="AR528" s="546"/>
      <c r="AS528" s="546"/>
      <c r="AT528" s="546"/>
      <c r="AU528" s="546"/>
      <c r="AV528" s="546"/>
      <c r="AW528" s="546"/>
      <c r="AX528" s="546"/>
      <c r="AY528" s="546"/>
      <c r="AZ528" s="744"/>
      <c r="BA528" s="546"/>
      <c r="BB528" s="546"/>
      <c r="BC528" s="546"/>
      <c r="BD528" s="546"/>
      <c r="BE528" s="546"/>
      <c r="BF528" s="546"/>
      <c r="BG528" s="546"/>
      <c r="BH528" s="546"/>
      <c r="BI528" s="546"/>
      <c r="BJ528" s="546"/>
      <c r="BK528" s="546"/>
      <c r="BL528" s="546"/>
      <c r="BM528" s="546"/>
      <c r="BN528" s="546"/>
      <c r="BO528" s="546"/>
      <c r="BP528" s="546"/>
      <c r="BQ528" s="546"/>
      <c r="BR528" s="546"/>
      <c r="BS528" s="546"/>
      <c r="BT528" s="546"/>
      <c r="BU528" s="546"/>
      <c r="BV528" s="546"/>
      <c r="BW528" s="546"/>
      <c r="BX528" s="546"/>
      <c r="BY528" s="546"/>
      <c r="BZ528" s="546"/>
      <c r="CA528" s="546"/>
      <c r="CB528" s="546"/>
      <c r="CC528" s="546"/>
      <c r="CD528" s="546"/>
      <c r="CE528" s="546"/>
      <c r="CF528" s="546"/>
      <c r="CG528" s="547"/>
      <c r="CH528" s="548"/>
      <c r="CI528" s="548"/>
      <c r="CJ528" s="83" t="str">
        <f t="shared" si="120"/>
        <v>No aplica</v>
      </c>
      <c r="CK528" s="83" t="str">
        <f t="shared" si="119"/>
        <v>No aplica</v>
      </c>
      <c r="CL528" s="83" t="str">
        <f t="shared" si="114"/>
        <v>No requiere reporte</v>
      </c>
      <c r="CM528" s="89" t="str">
        <f t="shared" si="115"/>
        <v>No requiere reporte</v>
      </c>
      <c r="CN528" s="89" t="str">
        <f t="shared" si="116"/>
        <v>No requiere reporte</v>
      </c>
      <c r="CO528" s="394" t="s">
        <v>1885</v>
      </c>
      <c r="CP528" s="748" t="s">
        <v>4206</v>
      </c>
      <c r="CQ528" s="658" t="s">
        <v>3147</v>
      </c>
      <c r="CR528" s="748" t="s">
        <v>4207</v>
      </c>
      <c r="CS528" s="748" t="s">
        <v>4208</v>
      </c>
      <c r="CT528" s="658" t="s">
        <v>931</v>
      </c>
      <c r="CU528" s="658" t="s">
        <v>233</v>
      </c>
      <c r="CV528" s="658">
        <v>1</v>
      </c>
      <c r="CW528" s="658" t="s">
        <v>402</v>
      </c>
      <c r="CX528" s="395">
        <v>46054</v>
      </c>
      <c r="CY528" s="395">
        <v>46387</v>
      </c>
      <c r="CZ528" s="541">
        <v>0</v>
      </c>
      <c r="DA528" s="541">
        <v>0</v>
      </c>
      <c r="DB528" s="541">
        <v>1</v>
      </c>
      <c r="DC528" s="541">
        <v>0</v>
      </c>
      <c r="DD528" s="541">
        <v>1</v>
      </c>
      <c r="DE528" s="658" t="s">
        <v>3071</v>
      </c>
      <c r="DF528" s="658" t="s">
        <v>4201</v>
      </c>
      <c r="DG528" s="748" t="s">
        <v>4202</v>
      </c>
      <c r="DH528" s="557">
        <v>88115624</v>
      </c>
      <c r="DI528" s="658" t="s">
        <v>956</v>
      </c>
      <c r="DJ528" s="658" t="s">
        <v>480</v>
      </c>
      <c r="DK528" s="658" t="s">
        <v>1024</v>
      </c>
      <c r="DL528" s="658" t="s">
        <v>2708</v>
      </c>
      <c r="DM528" s="394"/>
      <c r="DN528" s="394"/>
      <c r="DO528" s="747"/>
      <c r="DP528" s="394"/>
      <c r="DQ528" s="747"/>
      <c r="DR528" s="747"/>
      <c r="DS528" s="394"/>
      <c r="DT528" s="874"/>
      <c r="DU528" s="874"/>
      <c r="DV528" s="874"/>
      <c r="DW528" s="874"/>
      <c r="DX528" s="394"/>
      <c r="DY528" s="874"/>
      <c r="DZ528" s="886"/>
      <c r="EA528" s="874"/>
      <c r="EB528" s="874"/>
      <c r="EC528" s="874"/>
      <c r="ED528" s="874"/>
      <c r="EE528" s="874"/>
      <c r="EF528" s="874"/>
      <c r="EG528" s="874"/>
      <c r="EH528" s="394"/>
      <c r="EI528" s="389"/>
      <c r="EJ528" s="389"/>
      <c r="EK528" s="389"/>
      <c r="EL528" s="91" t="str">
        <f t="shared" si="117"/>
        <v>No aplica, no hay meta</v>
      </c>
      <c r="EM528" s="83" t="str">
        <f t="shared" si="118"/>
        <v>No se reportó avance</v>
      </c>
      <c r="EN528" s="872"/>
      <c r="EO528" s="605" t="str">
        <f t="shared" si="121"/>
        <v>Producto</v>
      </c>
      <c r="EP528" s="605" t="str">
        <f t="shared" si="122"/>
        <v>2</v>
      </c>
    </row>
    <row r="529" spans="1:146" s="605" customFormat="1" ht="67.5">
      <c r="A529" s="390" t="s">
        <v>4042</v>
      </c>
      <c r="B529" s="398" t="s">
        <v>4043</v>
      </c>
      <c r="C529" s="398" t="s">
        <v>2366</v>
      </c>
      <c r="D529" s="398" t="s">
        <v>4132</v>
      </c>
      <c r="E529" s="398" t="s">
        <v>4182</v>
      </c>
      <c r="F529" s="542" t="s">
        <v>999</v>
      </c>
      <c r="G529" s="390"/>
      <c r="H529" s="394" t="s">
        <v>4183</v>
      </c>
      <c r="I529" s="389" t="s">
        <v>4047</v>
      </c>
      <c r="J529" s="390" t="s">
        <v>729</v>
      </c>
      <c r="K529" s="561" t="s">
        <v>730</v>
      </c>
      <c r="L529" s="390">
        <v>6</v>
      </c>
      <c r="M529" s="390" t="s">
        <v>4184</v>
      </c>
      <c r="N529" s="390" t="s">
        <v>4185</v>
      </c>
      <c r="O529" s="390" t="s">
        <v>4186</v>
      </c>
      <c r="P529" s="390" t="s">
        <v>161</v>
      </c>
      <c r="Q529" s="390" t="s">
        <v>233</v>
      </c>
      <c r="R529" s="566" t="s">
        <v>4187</v>
      </c>
      <c r="S529" s="390" t="s">
        <v>234</v>
      </c>
      <c r="T529" s="437">
        <v>44927</v>
      </c>
      <c r="U529" s="437">
        <v>46387</v>
      </c>
      <c r="V529" s="567"/>
      <c r="W529" s="567"/>
      <c r="X529" s="567"/>
      <c r="Y529" s="567"/>
      <c r="Z529" s="543"/>
      <c r="AA529" s="543"/>
      <c r="AB529" s="543"/>
      <c r="AC529" s="543"/>
      <c r="AD529" s="543"/>
      <c r="AE529" s="567"/>
      <c r="AF529" s="567"/>
      <c r="AG529" s="567"/>
      <c r="AH529" s="567"/>
      <c r="AI529" s="567"/>
      <c r="AJ529" s="567"/>
      <c r="AK529" s="568"/>
      <c r="AL529" s="568"/>
      <c r="AM529" s="568"/>
      <c r="AN529" s="568"/>
      <c r="AO529" s="567"/>
      <c r="AP529" s="543"/>
      <c r="AQ529" s="546"/>
      <c r="AR529" s="546"/>
      <c r="AS529" s="546"/>
      <c r="AT529" s="546"/>
      <c r="AU529" s="546"/>
      <c r="AV529" s="546"/>
      <c r="AW529" s="546"/>
      <c r="AX529" s="546"/>
      <c r="AY529" s="546"/>
      <c r="AZ529" s="744"/>
      <c r="BA529" s="546"/>
      <c r="BB529" s="546"/>
      <c r="BC529" s="546"/>
      <c r="BD529" s="546"/>
      <c r="BE529" s="546"/>
      <c r="BF529" s="546"/>
      <c r="BG529" s="546"/>
      <c r="BH529" s="546"/>
      <c r="BI529" s="546"/>
      <c r="BJ529" s="546"/>
      <c r="BK529" s="546"/>
      <c r="BL529" s="546"/>
      <c r="BM529" s="546"/>
      <c r="BN529" s="546"/>
      <c r="BO529" s="546"/>
      <c r="BP529" s="546"/>
      <c r="BQ529" s="546"/>
      <c r="BR529" s="546"/>
      <c r="BS529" s="546"/>
      <c r="BT529" s="546"/>
      <c r="BU529" s="546"/>
      <c r="BV529" s="546"/>
      <c r="BW529" s="546"/>
      <c r="BX529" s="546"/>
      <c r="BY529" s="546"/>
      <c r="BZ529" s="546"/>
      <c r="CA529" s="546"/>
      <c r="CB529" s="546"/>
      <c r="CC529" s="546"/>
      <c r="CD529" s="546"/>
      <c r="CE529" s="546"/>
      <c r="CF529" s="546"/>
      <c r="CG529" s="547"/>
      <c r="CH529" s="548"/>
      <c r="CI529" s="548"/>
      <c r="CJ529" s="83" t="str">
        <f t="shared" si="120"/>
        <v>No aplica</v>
      </c>
      <c r="CK529" s="83" t="str">
        <f t="shared" si="119"/>
        <v>No aplica</v>
      </c>
      <c r="CL529" s="83" t="str">
        <f t="shared" ref="CL529:CL569" si="123">+IFERROR(IF(M529=M528,"No requiere reporte",IF(OR(AK529=0,AK529=""),"No aplica, no hay meta",IF(AK529="NA","No aplica, no hay meta",IF(BU529="","No se reportó avance",IF(OR(AND(Q529="Capacidad",OR(R529="",R529=0,R529="NA")),AND(Q529="Reducción",OR(R529="",R529=0,R529="NA"))),"Se requiere valor de línea base para este tipo de acumulación",IF(OR(AND(Q529="Flujo",OR(R529&lt;&gt;"",R529&lt;&gt;0,R529&lt;&gt;"NA"),BU529="NA"),AND(Q529="Stock",OR(R529&lt;&gt;"",R529&lt;&gt;0,R529&lt;&gt;"NA"),BU529="NA")),"No aplica",IF(Q529="Flujo",IF(BU529/AK529&gt;1,1.00001,BU529/AK529),IF(Q529="Stock",IF(BU529/AK529&gt;1,1.00001,BU529/AK529),IF(Q529="Acumulado",IF((BU529)/AK529&gt;1,1.00001,(BU529)/AK529),IF(Q529="Capacidad",IF(((BU529-R529)/(AK529-R529))&gt;1,1.00001,((BU529-R529)/(AK529-R529))),IF(Q529="Reducción",IF(((R529-BU529)/(R529-BU529))&gt;1,1.00001,((R529-BU529)/(R529-BU529))),"Revisar acumulación"))))))))))),"Revisar fórmula")</f>
        <v>No requiere reporte</v>
      </c>
      <c r="CM529" s="89" t="str">
        <f t="shared" ref="CM529:CM569" si="124">+IFERROR(IF(M529=M528,"No requiere reporte",IF(OR(AO529=0,AO529=""),"No aplica, no hay meta",IF(AO529="NA","No aplica, no hay meta",IF(CC529="","No se reportó avance",IF(OR(AND(Q529="Capacidad",OR(R529="",R529=0,R529="NA")),AND(Q529="Reducción",OR(R529="",R529=0,R529="NA"))),"Se requiere valor de línea base para este tipo de acumulación",IF(OR(AND(Q529="Flujo",OR(R529&lt;&gt;"",R529&lt;&gt;0,R529&lt;&gt;"NA"),CC529="NA"),AND(Q529="Stock",OR(R529&lt;&gt;"",R529&lt;&gt;0,R529&lt;&gt;"NA"),CC529="NA")),"No aplica",IF(Q529="Flujo",IF(CC529/AO529&gt;1,1.00001,CC529/AO529),IF(Q529="Stock",IF(CC529/AO529&gt;1,1.00001,CC529/AO529),IF(Q529="Acumulado",IF((CC529)/AO529&gt;1,1.00001,(CC529)/AO529),IF(Q529="Capacidad",IF(((CC529-R529)/(AO529-R529))&gt;1,1.00001,((CC529-R529)/(AO529-R529))),IF(Q529="Reducción",IF(((R529-CC529)/(R529-CC529))&gt;1,1.00001,((R529-CC529)/(R529-CC529))),"Revisar acumulación"))))))))))),"Revisar fórmula")</f>
        <v>No requiere reporte</v>
      </c>
      <c r="CN529" s="89" t="str">
        <f t="shared" ref="CN529:CN569" si="125">+IFERROR(IF(M529=M528,"No requiere reporte",IF(OR(AP529=0,AP529=""),"No aplica, no hay meta",IF(AP529="NA","No aplica, no hay meta",IF(CE529="","No se reportó avance",IF(OR(AND(Q529="Capacidad",OR(R529="",R529=0,R529="NA")),AND(Q529="Reducción",OR(R529="",R529=0,R529="NA"))),"Se requiere valor de línea base para este tipo de acumulación",IF(OR(AND(Q529="Flujo",OR(R529&lt;&gt;"",R529&lt;&gt;0,R529&lt;&gt;"NA"),CE529="NA"),AND(Q529="Stock",OR(R529&lt;&gt;"",R529&lt;&gt;0,R529&lt;&gt;"NA"),CE529="NA")),"No aplica",IF(Q529="Flujo",IF(CE529/AP529&gt;1,1.00001,CE529/AP529),IF(Q529="Stock",IF(CE529/AP529&gt;1,1.00001,CE529/AP529),IF(Q529="Acumulado",IF((CE529)/AP529&gt;1,1.00001,(CE529)/AP529),IF(Q529="Capacidad",IF(((CE529-R529)/(AP529-R529))&gt;1,1.00001,((CE529-R529)/(AP529-R529))),IF(Q529="Reducción",IF(((R529-CE529)/(R529-CE529))&gt;1,1.00001,((R529-CE529)/(R529-CE529))),"Revisar acumulación"))))))))))),"Revisar fórmula")</f>
        <v>No requiere reporte</v>
      </c>
      <c r="CO529" s="394" t="s">
        <v>1891</v>
      </c>
      <c r="CP529" s="748" t="s">
        <v>4209</v>
      </c>
      <c r="CQ529" s="658" t="s">
        <v>3147</v>
      </c>
      <c r="CR529" s="748" t="s">
        <v>4210</v>
      </c>
      <c r="CS529" s="748" t="s">
        <v>4211</v>
      </c>
      <c r="CT529" s="658" t="s">
        <v>931</v>
      </c>
      <c r="CU529" s="658" t="s">
        <v>233</v>
      </c>
      <c r="CV529" s="658">
        <v>10</v>
      </c>
      <c r="CW529" s="658" t="s">
        <v>402</v>
      </c>
      <c r="CX529" s="395">
        <v>46054</v>
      </c>
      <c r="CY529" s="395">
        <v>46387</v>
      </c>
      <c r="CZ529" s="541">
        <v>0</v>
      </c>
      <c r="DA529" s="541">
        <v>2</v>
      </c>
      <c r="DB529" s="541">
        <v>3</v>
      </c>
      <c r="DC529" s="541">
        <v>0</v>
      </c>
      <c r="DD529" s="541">
        <v>5</v>
      </c>
      <c r="DE529" s="658" t="s">
        <v>3071</v>
      </c>
      <c r="DF529" s="658" t="s">
        <v>4201</v>
      </c>
      <c r="DG529" s="748" t="s">
        <v>4202</v>
      </c>
      <c r="DH529" s="557">
        <v>26780000</v>
      </c>
      <c r="DI529" s="658" t="s">
        <v>956</v>
      </c>
      <c r="DJ529" s="658" t="s">
        <v>480</v>
      </c>
      <c r="DK529" s="658" t="s">
        <v>1024</v>
      </c>
      <c r="DL529" s="658" t="s">
        <v>2708</v>
      </c>
      <c r="DM529" s="394"/>
      <c r="DN529" s="394"/>
      <c r="DO529" s="747"/>
      <c r="DP529" s="874"/>
      <c r="DQ529" s="747"/>
      <c r="DR529" s="747"/>
      <c r="DS529" s="394"/>
      <c r="DT529" s="874"/>
      <c r="DU529" s="874"/>
      <c r="DV529" s="874"/>
      <c r="DW529" s="874"/>
      <c r="DX529" s="394"/>
      <c r="DY529" s="874"/>
      <c r="DZ529" s="553"/>
      <c r="EA529" s="874"/>
      <c r="EB529" s="874"/>
      <c r="EC529" s="874"/>
      <c r="ED529" s="874"/>
      <c r="EE529" s="874"/>
      <c r="EF529" s="874"/>
      <c r="EG529" s="874"/>
      <c r="EH529" s="394"/>
      <c r="EI529" s="389"/>
      <c r="EJ529" s="389"/>
      <c r="EK529" s="389"/>
      <c r="EL529" s="91" t="str">
        <f t="shared" ref="EL529:EL569" si="126">+IFERROR(IF(CP529=CP528,"No requiere reporte",IF(OR(CZ529=0,CZ529=""),"No aplica, no hay meta",IF(CZ529="NA","No aplica, no hay meta",IF(DN529="","No se reportó avance",IF(OR(AND(CU529="Capacidad",OR(CV529="",CV529=0,CV529="NA")),AND(CU529="Reducción",OR(CV529="",CV529=0,CV529="NA"))),"Se requiere valor de línea base para este tipo de acumulación",IF(OR(AND(CU529="Flujo",OR(CV529&lt;&gt;"",CV529&lt;&gt;0,CV529&lt;&gt;"NA"),DN529="NA"),AND(CU529="Stock",OR(CV529&lt;&gt;"",CV529&lt;&gt;0,CV529&lt;&gt;"NA"),DN529="NA")),"No aplica",IF(CU529="Flujo",IF(DN529/CZ529&gt;1,1.00001,DN529/CZ529),IF(CU529="Stock",IF(DN529/CZ529&gt;1,1.00001,DN529/CZ529),IF(CU529="Acumulado",IF((DN529)/CZ529&gt;1,1.00001,(DN529)/CZ529),IF(CU529="Capacidad",IF(((DN529-CV529)/(CZ529-CV529))&gt;1,1.00001,((DN529-CV529)/(CZ529-CV529))),IF(CU529="Reducción",IF(((CV529-DN529)/(CV529-DN529))&gt;1,1.00001,((CV529-DN529)/(CV529-DN529))),"Revisar acumulación"))))))))))),"Revisar fórmula")</f>
        <v>No aplica, no hay meta</v>
      </c>
      <c r="EM529" s="83" t="str">
        <f t="shared" ref="EM529:EM569" si="127">+IFERROR(IF(CP529=CP528,"No requiere reporte",IF(OR(DD529=0,DD529=""),"No aplica, no hay meta",IF(DD529="NA","No aplica, no hay meta",IF(EH529="","No se reportó avance",IF(OR(AND(CU529="Capacidad",OR(CV529="",CV529=0,CV529="NA")),AND(CU529="Reducción",OR(CV529="",CV529=0,CV529="NA"))),"Se requiere valor de línea base para este tipo de acumulación",IF(OR(AND(CU529="Flujo",OR(CV529&lt;&gt;"",CV529&lt;&gt;0,CV529&lt;&gt;"NA"),EH529="NA"),AND(CU529="Stock",OR(CV529&lt;&gt;"",CV529&lt;&gt;0,CV529&lt;&gt;"NA"),CV529="NA")),"No aplica",IF(CU529="Flujo",IF(EH529/DD529&gt;1,1.00001,EH529/DD529),IF(CU529="Stock",IF(EH529/DD529&gt;1,1.00001,EH529/DD529),IF(CU529="Acumulado",IF((EH529)/DD529&gt;1,1.00001,(EH529)/DD529),IF(CU529="Capacidad",IF(((EH529-CV529)/(DD529-CV529))&gt;1,1.00001,((EH529-CV529)/(DD529-CV529))),IF(CU529="Reducción",IF(((CV529-EH529)/(CV529-DD529))&gt;1,1.00001,((CV529-EH529)/(CV529-DD529))),"Revisar acumulación"))))))))))),"Revisar fórmula")</f>
        <v>No se reportó avance</v>
      </c>
      <c r="EN529" s="872"/>
      <c r="EO529" s="605" t="str">
        <f t="shared" si="121"/>
        <v>Producto</v>
      </c>
      <c r="EP529" s="605" t="str">
        <f t="shared" si="122"/>
        <v>2</v>
      </c>
    </row>
    <row r="530" spans="1:146" s="605" customFormat="1" ht="67.5">
      <c r="A530" s="390" t="s">
        <v>4042</v>
      </c>
      <c r="B530" s="398" t="s">
        <v>4043</v>
      </c>
      <c r="C530" s="398" t="s">
        <v>2366</v>
      </c>
      <c r="D530" s="398" t="s">
        <v>4132</v>
      </c>
      <c r="E530" s="398" t="s">
        <v>4182</v>
      </c>
      <c r="F530" s="542" t="s">
        <v>999</v>
      </c>
      <c r="G530" s="390"/>
      <c r="H530" s="394" t="s">
        <v>4183</v>
      </c>
      <c r="I530" s="389" t="s">
        <v>4047</v>
      </c>
      <c r="J530" s="390" t="s">
        <v>729</v>
      </c>
      <c r="K530" s="561" t="s">
        <v>730</v>
      </c>
      <c r="L530" s="390">
        <v>6</v>
      </c>
      <c r="M530" s="390" t="s">
        <v>4184</v>
      </c>
      <c r="N530" s="390" t="s">
        <v>4185</v>
      </c>
      <c r="O530" s="390" t="s">
        <v>4186</v>
      </c>
      <c r="P530" s="390" t="s">
        <v>161</v>
      </c>
      <c r="Q530" s="390" t="s">
        <v>233</v>
      </c>
      <c r="R530" s="566" t="s">
        <v>4187</v>
      </c>
      <c r="S530" s="390" t="s">
        <v>234</v>
      </c>
      <c r="T530" s="437">
        <v>44927</v>
      </c>
      <c r="U530" s="437">
        <v>46387</v>
      </c>
      <c r="V530" s="567"/>
      <c r="W530" s="567"/>
      <c r="X530" s="567"/>
      <c r="Y530" s="567"/>
      <c r="Z530" s="543"/>
      <c r="AA530" s="543"/>
      <c r="AB530" s="543"/>
      <c r="AC530" s="543"/>
      <c r="AD530" s="543"/>
      <c r="AE530" s="567"/>
      <c r="AF530" s="567"/>
      <c r="AG530" s="567"/>
      <c r="AH530" s="567"/>
      <c r="AI530" s="567"/>
      <c r="AJ530" s="567"/>
      <c r="AK530" s="568"/>
      <c r="AL530" s="568"/>
      <c r="AM530" s="568"/>
      <c r="AN530" s="568"/>
      <c r="AO530" s="567"/>
      <c r="AP530" s="543"/>
      <c r="AQ530" s="546"/>
      <c r="AR530" s="546"/>
      <c r="AS530" s="546"/>
      <c r="AT530" s="546"/>
      <c r="AU530" s="546"/>
      <c r="AV530" s="546"/>
      <c r="AW530" s="546"/>
      <c r="AX530" s="546"/>
      <c r="AY530" s="546"/>
      <c r="AZ530" s="744"/>
      <c r="BA530" s="546"/>
      <c r="BB530" s="546"/>
      <c r="BC530" s="546"/>
      <c r="BD530" s="546"/>
      <c r="BE530" s="546"/>
      <c r="BF530" s="546"/>
      <c r="BG530" s="546"/>
      <c r="BH530" s="546"/>
      <c r="BI530" s="546"/>
      <c r="BJ530" s="546"/>
      <c r="BK530" s="546"/>
      <c r="BL530" s="546"/>
      <c r="BM530" s="546"/>
      <c r="BN530" s="546"/>
      <c r="BO530" s="546"/>
      <c r="BP530" s="546"/>
      <c r="BQ530" s="546"/>
      <c r="BR530" s="546"/>
      <c r="BS530" s="546"/>
      <c r="BT530" s="546"/>
      <c r="BU530" s="546"/>
      <c r="BV530" s="546"/>
      <c r="BW530" s="546"/>
      <c r="BX530" s="546"/>
      <c r="BY530" s="546"/>
      <c r="BZ530" s="546"/>
      <c r="CA530" s="546"/>
      <c r="CB530" s="546"/>
      <c r="CC530" s="546"/>
      <c r="CD530" s="546"/>
      <c r="CE530" s="546"/>
      <c r="CF530" s="546"/>
      <c r="CG530" s="547"/>
      <c r="CH530" s="548"/>
      <c r="CI530" s="548"/>
      <c r="CJ530" s="83" t="str">
        <f t="shared" si="120"/>
        <v>No aplica</v>
      </c>
      <c r="CK530" s="83" t="str">
        <f t="shared" ref="CK530:CK544" si="128">+IFERROR(CI530/CG530,"No aplica")</f>
        <v>No aplica</v>
      </c>
      <c r="CL530" s="83" t="str">
        <f t="shared" si="123"/>
        <v>No requiere reporte</v>
      </c>
      <c r="CM530" s="89" t="str">
        <f t="shared" si="124"/>
        <v>No requiere reporte</v>
      </c>
      <c r="CN530" s="89" t="str">
        <f t="shared" si="125"/>
        <v>No requiere reporte</v>
      </c>
      <c r="CO530" s="394" t="s">
        <v>1895</v>
      </c>
      <c r="CP530" s="748" t="s">
        <v>4212</v>
      </c>
      <c r="CQ530" s="394" t="s">
        <v>3147</v>
      </c>
      <c r="CR530" s="748" t="s">
        <v>4213</v>
      </c>
      <c r="CS530" s="748" t="s">
        <v>4214</v>
      </c>
      <c r="CT530" s="658" t="s">
        <v>931</v>
      </c>
      <c r="CU530" s="658" t="s">
        <v>233</v>
      </c>
      <c r="CV530" s="658">
        <v>3</v>
      </c>
      <c r="CW530" s="658" t="s">
        <v>402</v>
      </c>
      <c r="CX530" s="395">
        <v>46054</v>
      </c>
      <c r="CY530" s="395">
        <v>46387</v>
      </c>
      <c r="CZ530" s="541">
        <v>1</v>
      </c>
      <c r="DA530" s="541">
        <v>1</v>
      </c>
      <c r="DB530" s="541">
        <v>1</v>
      </c>
      <c r="DC530" s="541">
        <v>1</v>
      </c>
      <c r="DD530" s="541">
        <v>4</v>
      </c>
      <c r="DE530" s="658" t="s">
        <v>3071</v>
      </c>
      <c r="DF530" s="658" t="s">
        <v>4201</v>
      </c>
      <c r="DG530" s="748" t="s">
        <v>4202</v>
      </c>
      <c r="DH530" s="557">
        <v>398368175</v>
      </c>
      <c r="DI530" s="658" t="s">
        <v>956</v>
      </c>
      <c r="DJ530" s="658" t="s">
        <v>480</v>
      </c>
      <c r="DK530" s="658" t="s">
        <v>1024</v>
      </c>
      <c r="DL530" s="658" t="s">
        <v>2708</v>
      </c>
      <c r="DM530" s="394"/>
      <c r="DN530" s="394"/>
      <c r="DO530" s="747"/>
      <c r="DP530" s="394"/>
      <c r="DQ530" s="747"/>
      <c r="DR530" s="747"/>
      <c r="DS530" s="394"/>
      <c r="DT530" s="874"/>
      <c r="DU530" s="874"/>
      <c r="DV530" s="874"/>
      <c r="DW530" s="874"/>
      <c r="DX530" s="394"/>
      <c r="DY530" s="887"/>
      <c r="DZ530" s="886"/>
      <c r="EA530" s="874"/>
      <c r="EB530" s="874"/>
      <c r="EC530" s="874"/>
      <c r="ED530" s="874"/>
      <c r="EE530" s="874"/>
      <c r="EF530" s="874"/>
      <c r="EG530" s="874"/>
      <c r="EH530" s="394"/>
      <c r="EI530" s="389"/>
      <c r="EJ530" s="389"/>
      <c r="EK530" s="389"/>
      <c r="EL530" s="91" t="str">
        <f t="shared" si="126"/>
        <v>No se reportó avance</v>
      </c>
      <c r="EM530" s="83" t="str">
        <f t="shared" si="127"/>
        <v>No se reportó avance</v>
      </c>
      <c r="EN530" s="872"/>
      <c r="EO530" s="605" t="str">
        <f t="shared" si="121"/>
        <v>Producto</v>
      </c>
      <c r="EP530" s="605" t="str">
        <f t="shared" si="122"/>
        <v>2</v>
      </c>
    </row>
    <row r="531" spans="1:146" s="605" customFormat="1" ht="67.5">
      <c r="A531" s="390" t="s">
        <v>4042</v>
      </c>
      <c r="B531" s="398" t="s">
        <v>4043</v>
      </c>
      <c r="C531" s="398" t="s">
        <v>2366</v>
      </c>
      <c r="D531" s="398" t="s">
        <v>4132</v>
      </c>
      <c r="E531" s="398" t="s">
        <v>4182</v>
      </c>
      <c r="F531" s="542" t="s">
        <v>999</v>
      </c>
      <c r="G531" s="390"/>
      <c r="H531" s="394" t="s">
        <v>4183</v>
      </c>
      <c r="I531" s="389" t="s">
        <v>4047</v>
      </c>
      <c r="J531" s="390" t="s">
        <v>729</v>
      </c>
      <c r="K531" s="561" t="s">
        <v>730</v>
      </c>
      <c r="L531" s="390">
        <v>6</v>
      </c>
      <c r="M531" s="390" t="s">
        <v>4184</v>
      </c>
      <c r="N531" s="390" t="s">
        <v>4185</v>
      </c>
      <c r="O531" s="390" t="s">
        <v>4186</v>
      </c>
      <c r="P531" s="390" t="s">
        <v>161</v>
      </c>
      <c r="Q531" s="390" t="s">
        <v>233</v>
      </c>
      <c r="R531" s="566" t="s">
        <v>4187</v>
      </c>
      <c r="S531" s="390" t="s">
        <v>234</v>
      </c>
      <c r="T531" s="437">
        <v>44927</v>
      </c>
      <c r="U531" s="437">
        <v>46387</v>
      </c>
      <c r="V531" s="567"/>
      <c r="W531" s="567"/>
      <c r="X531" s="567"/>
      <c r="Y531" s="567"/>
      <c r="Z531" s="543"/>
      <c r="AA531" s="543"/>
      <c r="AB531" s="543"/>
      <c r="AC531" s="543"/>
      <c r="AD531" s="543"/>
      <c r="AE531" s="567"/>
      <c r="AF531" s="567"/>
      <c r="AG531" s="567"/>
      <c r="AH531" s="567"/>
      <c r="AI531" s="567"/>
      <c r="AJ531" s="567"/>
      <c r="AK531" s="568"/>
      <c r="AL531" s="568"/>
      <c r="AM531" s="568"/>
      <c r="AN531" s="568"/>
      <c r="AO531" s="567"/>
      <c r="AP531" s="543"/>
      <c r="AQ531" s="546"/>
      <c r="AR531" s="546"/>
      <c r="AS531" s="546"/>
      <c r="AT531" s="546"/>
      <c r="AU531" s="546"/>
      <c r="AV531" s="546"/>
      <c r="AW531" s="546"/>
      <c r="AX531" s="546"/>
      <c r="AY531" s="546"/>
      <c r="AZ531" s="744"/>
      <c r="BA531" s="546"/>
      <c r="BB531" s="546"/>
      <c r="BC531" s="546"/>
      <c r="BD531" s="546"/>
      <c r="BE531" s="546"/>
      <c r="BF531" s="546"/>
      <c r="BG531" s="546"/>
      <c r="BH531" s="546"/>
      <c r="BI531" s="546"/>
      <c r="BJ531" s="546"/>
      <c r="BK531" s="546"/>
      <c r="BL531" s="546"/>
      <c r="BM531" s="546"/>
      <c r="BN531" s="546"/>
      <c r="BO531" s="546"/>
      <c r="BP531" s="546"/>
      <c r="BQ531" s="546"/>
      <c r="BR531" s="546"/>
      <c r="BS531" s="546"/>
      <c r="BT531" s="546"/>
      <c r="BU531" s="546"/>
      <c r="BV531" s="546"/>
      <c r="BW531" s="546"/>
      <c r="BX531" s="546"/>
      <c r="BY531" s="546"/>
      <c r="BZ531" s="546"/>
      <c r="CA531" s="546"/>
      <c r="CB531" s="546"/>
      <c r="CC531" s="546"/>
      <c r="CD531" s="546"/>
      <c r="CE531" s="546"/>
      <c r="CF531" s="546"/>
      <c r="CG531" s="547"/>
      <c r="CH531" s="548"/>
      <c r="CI531" s="548"/>
      <c r="CJ531" s="83" t="str">
        <f t="shared" si="120"/>
        <v>No aplica</v>
      </c>
      <c r="CK531" s="83" t="str">
        <f t="shared" si="128"/>
        <v>No aplica</v>
      </c>
      <c r="CL531" s="83" t="str">
        <f t="shared" si="123"/>
        <v>No requiere reporte</v>
      </c>
      <c r="CM531" s="89" t="str">
        <f t="shared" si="124"/>
        <v>No requiere reporte</v>
      </c>
      <c r="CN531" s="89" t="str">
        <f t="shared" si="125"/>
        <v>No requiere reporte</v>
      </c>
      <c r="CO531" s="394" t="s">
        <v>1901</v>
      </c>
      <c r="CP531" s="748" t="s">
        <v>4215</v>
      </c>
      <c r="CQ531" s="394" t="s">
        <v>3147</v>
      </c>
      <c r="CR531" s="748" t="s">
        <v>4216</v>
      </c>
      <c r="CS531" s="748" t="s">
        <v>4217</v>
      </c>
      <c r="CT531" s="658" t="s">
        <v>931</v>
      </c>
      <c r="CU531" s="658" t="s">
        <v>233</v>
      </c>
      <c r="CV531" s="658">
        <v>3</v>
      </c>
      <c r="CW531" s="658" t="s">
        <v>402</v>
      </c>
      <c r="CX531" s="395">
        <v>46054</v>
      </c>
      <c r="CY531" s="395">
        <v>46387</v>
      </c>
      <c r="CZ531" s="541">
        <v>1</v>
      </c>
      <c r="DA531" s="541">
        <v>1</v>
      </c>
      <c r="DB531" s="541">
        <v>1</v>
      </c>
      <c r="DC531" s="541">
        <v>1</v>
      </c>
      <c r="DD531" s="541">
        <v>4</v>
      </c>
      <c r="DE531" s="658" t="s">
        <v>3071</v>
      </c>
      <c r="DF531" s="658" t="s">
        <v>4201</v>
      </c>
      <c r="DG531" s="748" t="s">
        <v>4202</v>
      </c>
      <c r="DH531" s="557">
        <v>550000000</v>
      </c>
      <c r="DI531" s="658" t="s">
        <v>956</v>
      </c>
      <c r="DJ531" s="658" t="s">
        <v>480</v>
      </c>
      <c r="DK531" s="658" t="s">
        <v>1024</v>
      </c>
      <c r="DL531" s="658" t="s">
        <v>2708</v>
      </c>
      <c r="DM531" s="394"/>
      <c r="DN531" s="394"/>
      <c r="DO531" s="747"/>
      <c r="DP531" s="394"/>
      <c r="DQ531" s="747"/>
      <c r="DR531" s="747"/>
      <c r="DS531" s="394"/>
      <c r="DT531" s="874"/>
      <c r="DU531" s="874"/>
      <c r="DV531" s="874"/>
      <c r="DW531" s="874"/>
      <c r="DX531" s="394"/>
      <c r="DY531" s="874"/>
      <c r="DZ531" s="886"/>
      <c r="EA531" s="874"/>
      <c r="EB531" s="874"/>
      <c r="EC531" s="874"/>
      <c r="ED531" s="874"/>
      <c r="EE531" s="874"/>
      <c r="EF531" s="874"/>
      <c r="EG531" s="874"/>
      <c r="EH531" s="394"/>
      <c r="EI531" s="389"/>
      <c r="EJ531" s="389"/>
      <c r="EK531" s="389"/>
      <c r="EL531" s="91" t="str">
        <f t="shared" si="126"/>
        <v>No se reportó avance</v>
      </c>
      <c r="EM531" s="83" t="str">
        <f t="shared" si="127"/>
        <v>No se reportó avance</v>
      </c>
      <c r="EN531" s="872"/>
      <c r="EO531" s="605" t="str">
        <f t="shared" si="121"/>
        <v>Producto</v>
      </c>
      <c r="EP531" s="605" t="str">
        <f t="shared" si="122"/>
        <v>2</v>
      </c>
    </row>
    <row r="532" spans="1:146" s="605" customFormat="1" ht="409.5">
      <c r="A532" s="377" t="s">
        <v>4042</v>
      </c>
      <c r="B532" s="378" t="s">
        <v>4043</v>
      </c>
      <c r="C532" s="378" t="s">
        <v>996</v>
      </c>
      <c r="D532" s="378" t="s">
        <v>4044</v>
      </c>
      <c r="E532" s="378" t="s">
        <v>4218</v>
      </c>
      <c r="F532" s="532" t="s">
        <v>999</v>
      </c>
      <c r="G532" s="377"/>
      <c r="H532" s="533" t="s">
        <v>4219</v>
      </c>
      <c r="I532" s="534" t="s">
        <v>4047</v>
      </c>
      <c r="J532" s="377" t="s">
        <v>729</v>
      </c>
      <c r="K532" s="558" t="s">
        <v>730</v>
      </c>
      <c r="L532" s="382">
        <v>7</v>
      </c>
      <c r="M532" s="382" t="s">
        <v>4220</v>
      </c>
      <c r="N532" s="382" t="s">
        <v>4221</v>
      </c>
      <c r="O532" s="382" t="s">
        <v>4222</v>
      </c>
      <c r="P532" s="382" t="s">
        <v>200</v>
      </c>
      <c r="Q532" s="382" t="s">
        <v>162</v>
      </c>
      <c r="R532" s="383">
        <v>1</v>
      </c>
      <c r="S532" s="382" t="s">
        <v>252</v>
      </c>
      <c r="T532" s="436">
        <v>44927</v>
      </c>
      <c r="U532" s="436">
        <v>46387</v>
      </c>
      <c r="V532" s="383">
        <v>1</v>
      </c>
      <c r="W532" s="383">
        <v>1</v>
      </c>
      <c r="X532" s="383">
        <v>1</v>
      </c>
      <c r="Y532" s="383">
        <v>1</v>
      </c>
      <c r="Z532" s="383">
        <v>1</v>
      </c>
      <c r="AA532" s="383">
        <v>1</v>
      </c>
      <c r="AB532" s="383">
        <v>1</v>
      </c>
      <c r="AC532" s="383">
        <v>1</v>
      </c>
      <c r="AD532" s="383">
        <v>1</v>
      </c>
      <c r="AE532" s="383">
        <v>1</v>
      </c>
      <c r="AF532" s="383">
        <v>1</v>
      </c>
      <c r="AG532" s="383">
        <v>1</v>
      </c>
      <c r="AH532" s="383">
        <v>1</v>
      </c>
      <c r="AI532" s="383">
        <v>1</v>
      </c>
      <c r="AJ532" s="383">
        <v>1</v>
      </c>
      <c r="AK532" s="559">
        <v>1</v>
      </c>
      <c r="AL532" s="559">
        <v>1</v>
      </c>
      <c r="AM532" s="559">
        <v>1</v>
      </c>
      <c r="AN532" s="559">
        <v>1</v>
      </c>
      <c r="AO532" s="383">
        <v>1</v>
      </c>
      <c r="AP532" s="383">
        <v>1</v>
      </c>
      <c r="AQ532" s="546"/>
      <c r="AR532" s="546"/>
      <c r="AS532" s="546"/>
      <c r="AT532" s="546"/>
      <c r="AU532" s="546"/>
      <c r="AV532" s="546"/>
      <c r="AW532" s="546"/>
      <c r="AX532" s="546"/>
      <c r="AY532" s="172">
        <v>0.98</v>
      </c>
      <c r="AZ532" s="554" t="s">
        <v>4223</v>
      </c>
      <c r="BA532" s="172">
        <f>3/5</f>
        <v>0.6</v>
      </c>
      <c r="BB532" s="646" t="s">
        <v>4224</v>
      </c>
      <c r="BC532" s="172">
        <v>0.62</v>
      </c>
      <c r="BD532" s="646" t="s">
        <v>4225</v>
      </c>
      <c r="BE532" s="172">
        <f>7/11</f>
        <v>0.63636363636363635</v>
      </c>
      <c r="BF532" s="646" t="s">
        <v>4226</v>
      </c>
      <c r="BG532" s="172">
        <v>0.95</v>
      </c>
      <c r="BH532" s="172" t="s">
        <v>4227</v>
      </c>
      <c r="BI532" s="563">
        <v>0.95</v>
      </c>
      <c r="BJ532" s="744" t="s">
        <v>4228</v>
      </c>
      <c r="BK532" s="563">
        <v>1</v>
      </c>
      <c r="BL532" s="744" t="s">
        <v>4229</v>
      </c>
      <c r="BM532" s="852">
        <f>7/7</f>
        <v>1</v>
      </c>
      <c r="BN532" s="770" t="s">
        <v>4230</v>
      </c>
      <c r="BO532" s="753">
        <v>0.98</v>
      </c>
      <c r="BP532" s="856" t="s">
        <v>4231</v>
      </c>
      <c r="BQ532" s="546"/>
      <c r="BR532" s="546"/>
      <c r="BS532" s="560">
        <v>1</v>
      </c>
      <c r="BT532" s="546"/>
      <c r="BU532" s="546"/>
      <c r="BV532" s="546"/>
      <c r="BW532" s="546"/>
      <c r="BX532" s="546"/>
      <c r="BY532" s="546"/>
      <c r="BZ532" s="546"/>
      <c r="CA532" s="546"/>
      <c r="CB532" s="546"/>
      <c r="CC532" s="546"/>
      <c r="CD532" s="546"/>
      <c r="CE532" s="413">
        <v>1</v>
      </c>
      <c r="CF532" s="546"/>
      <c r="CG532" s="539">
        <f>SUM(DH532:DH532)</f>
        <v>500000000</v>
      </c>
      <c r="CH532" s="555"/>
      <c r="CI532" s="555"/>
      <c r="CJ532" s="83">
        <f t="shared" si="120"/>
        <v>0</v>
      </c>
      <c r="CK532" s="83">
        <f t="shared" si="128"/>
        <v>0</v>
      </c>
      <c r="CL532" s="83" t="str">
        <f t="shared" si="123"/>
        <v>No se reportó avance</v>
      </c>
      <c r="CM532" s="89" t="str">
        <f t="shared" si="124"/>
        <v>No se reportó avance</v>
      </c>
      <c r="CN532" s="89">
        <f t="shared" si="125"/>
        <v>1</v>
      </c>
      <c r="CO532" s="394" t="s">
        <v>1384</v>
      </c>
      <c r="CP532" s="747" t="s">
        <v>4232</v>
      </c>
      <c r="CQ532" s="658" t="s">
        <v>3147</v>
      </c>
      <c r="CR532" s="747" t="s">
        <v>4233</v>
      </c>
      <c r="CS532" s="748" t="s">
        <v>4234</v>
      </c>
      <c r="CT532" s="658" t="s">
        <v>161</v>
      </c>
      <c r="CU532" s="658" t="s">
        <v>233</v>
      </c>
      <c r="CV532" s="658">
        <v>32</v>
      </c>
      <c r="CW532" s="658" t="s">
        <v>402</v>
      </c>
      <c r="CX532" s="395">
        <v>46054</v>
      </c>
      <c r="CY532" s="395">
        <v>46387</v>
      </c>
      <c r="CZ532" s="569" t="s">
        <v>4235</v>
      </c>
      <c r="DA532" s="569" t="s">
        <v>4236</v>
      </c>
      <c r="DB532" s="569" t="s">
        <v>4237</v>
      </c>
      <c r="DC532" s="569">
        <v>6</v>
      </c>
      <c r="DD532" s="541">
        <v>19</v>
      </c>
      <c r="DE532" s="658" t="s">
        <v>3071</v>
      </c>
      <c r="DF532" s="658" t="s">
        <v>4238</v>
      </c>
      <c r="DG532" s="748" t="s">
        <v>4239</v>
      </c>
      <c r="DH532" s="557">
        <v>500000000</v>
      </c>
      <c r="DI532" s="658" t="s">
        <v>956</v>
      </c>
      <c r="DJ532" s="658" t="s">
        <v>480</v>
      </c>
      <c r="DK532" s="658" t="s">
        <v>1024</v>
      </c>
      <c r="DL532" s="658" t="s">
        <v>2708</v>
      </c>
      <c r="DM532" s="394"/>
      <c r="DN532" s="394"/>
      <c r="DO532" s="747"/>
      <c r="DP532" s="394"/>
      <c r="DQ532" s="747"/>
      <c r="DR532" s="747"/>
      <c r="DS532" s="394"/>
      <c r="DT532" s="747"/>
      <c r="DU532" s="552"/>
      <c r="DV532" s="732"/>
      <c r="DW532" s="693"/>
      <c r="DX532" s="394"/>
      <c r="DY532" s="747"/>
      <c r="DZ532" s="552"/>
      <c r="EA532" s="732"/>
      <c r="EB532" s="693"/>
      <c r="EC532" s="874"/>
      <c r="ED532" s="874"/>
      <c r="EE532" s="874"/>
      <c r="EF532" s="874"/>
      <c r="EG532" s="874"/>
      <c r="EH532" s="394"/>
      <c r="EI532" s="389"/>
      <c r="EJ532" s="389"/>
      <c r="EK532" s="389"/>
      <c r="EL532" s="91" t="str">
        <f t="shared" si="126"/>
        <v>No se reportó avance</v>
      </c>
      <c r="EM532" s="83" t="str">
        <f t="shared" si="127"/>
        <v>No se reportó avance</v>
      </c>
      <c r="EN532" s="872"/>
      <c r="EO532" s="605" t="str">
        <f t="shared" si="121"/>
        <v>Gestión</v>
      </c>
      <c r="EP532" s="605" t="str">
        <f t="shared" si="122"/>
        <v>2</v>
      </c>
    </row>
    <row r="533" spans="1:146" s="605" customFormat="1" ht="409.5">
      <c r="A533" s="377" t="s">
        <v>4042</v>
      </c>
      <c r="B533" s="377" t="s">
        <v>4043</v>
      </c>
      <c r="C533" s="378" t="s">
        <v>996</v>
      </c>
      <c r="D533" s="378" t="s">
        <v>997</v>
      </c>
      <c r="E533" s="378" t="s">
        <v>998</v>
      </c>
      <c r="F533" s="532" t="s">
        <v>999</v>
      </c>
      <c r="G533" s="377"/>
      <c r="H533" s="533" t="s">
        <v>4240</v>
      </c>
      <c r="I533" s="534" t="s">
        <v>4047</v>
      </c>
      <c r="J533" s="377" t="s">
        <v>729</v>
      </c>
      <c r="K533" s="558" t="s">
        <v>1003</v>
      </c>
      <c r="L533" s="382">
        <v>8</v>
      </c>
      <c r="M533" s="382" t="s">
        <v>4241</v>
      </c>
      <c r="N533" s="382" t="s">
        <v>4242</v>
      </c>
      <c r="O533" s="382" t="s">
        <v>4243</v>
      </c>
      <c r="P533" s="382" t="s">
        <v>200</v>
      </c>
      <c r="Q533" s="382" t="s">
        <v>233</v>
      </c>
      <c r="R533" s="383" t="s">
        <v>182</v>
      </c>
      <c r="S533" s="382" t="s">
        <v>234</v>
      </c>
      <c r="T533" s="436">
        <v>44927</v>
      </c>
      <c r="U533" s="436">
        <v>46387</v>
      </c>
      <c r="V533" s="383"/>
      <c r="W533" s="383"/>
      <c r="X533" s="383"/>
      <c r="Y533" s="383"/>
      <c r="Z533" s="383"/>
      <c r="AA533" s="570"/>
      <c r="AB533" s="570">
        <v>11</v>
      </c>
      <c r="AC533" s="570">
        <v>11</v>
      </c>
      <c r="AD533" s="570">
        <v>10</v>
      </c>
      <c r="AE533" s="570">
        <v>32</v>
      </c>
      <c r="AF533" s="382">
        <v>0</v>
      </c>
      <c r="AG533" s="382">
        <v>10</v>
      </c>
      <c r="AH533" s="382">
        <v>11</v>
      </c>
      <c r="AI533" s="382">
        <v>11</v>
      </c>
      <c r="AJ533" s="570">
        <v>32</v>
      </c>
      <c r="AK533" s="571">
        <v>3</v>
      </c>
      <c r="AL533" s="571">
        <v>5</v>
      </c>
      <c r="AM533" s="571">
        <v>5</v>
      </c>
      <c r="AN533" s="571">
        <v>3</v>
      </c>
      <c r="AO533" s="570">
        <v>16</v>
      </c>
      <c r="AP533" s="570">
        <v>96</v>
      </c>
      <c r="AQ533" s="546"/>
      <c r="AR533" s="546"/>
      <c r="AS533" s="546"/>
      <c r="AT533" s="546"/>
      <c r="AU533" s="546"/>
      <c r="AV533" s="546"/>
      <c r="AW533" s="546"/>
      <c r="AX533" s="546"/>
      <c r="AY533" s="174">
        <v>47</v>
      </c>
      <c r="AZ533" s="554" t="s">
        <v>4244</v>
      </c>
      <c r="BA533" s="172" t="s">
        <v>182</v>
      </c>
      <c r="BB533" s="646" t="s">
        <v>4245</v>
      </c>
      <c r="BC533" s="404">
        <v>1</v>
      </c>
      <c r="BD533" s="646" t="s">
        <v>4246</v>
      </c>
      <c r="BE533" s="404">
        <f>4+2+8</f>
        <v>14</v>
      </c>
      <c r="BF533" s="646" t="s">
        <v>4247</v>
      </c>
      <c r="BG533" s="174">
        <v>16</v>
      </c>
      <c r="BH533" s="172" t="s">
        <v>4248</v>
      </c>
      <c r="BI533" s="845">
        <v>31</v>
      </c>
      <c r="BJ533" s="172" t="s">
        <v>4249</v>
      </c>
      <c r="BK533" s="845" t="s">
        <v>182</v>
      </c>
      <c r="BL533" s="744" t="s">
        <v>4250</v>
      </c>
      <c r="BM533" s="845">
        <v>2</v>
      </c>
      <c r="BN533" s="857" t="s">
        <v>4251</v>
      </c>
      <c r="BO533" s="751">
        <v>2</v>
      </c>
      <c r="BP533" s="858" t="s">
        <v>4252</v>
      </c>
      <c r="BQ533" s="546"/>
      <c r="BR533" s="546"/>
      <c r="BS533" s="751">
        <v>4</v>
      </c>
      <c r="BT533" s="546"/>
      <c r="BU533" s="546"/>
      <c r="BV533" s="546"/>
      <c r="BW533" s="546"/>
      <c r="BX533" s="546"/>
      <c r="BY533" s="546"/>
      <c r="BZ533" s="546"/>
      <c r="CA533" s="546"/>
      <c r="CB533" s="546"/>
      <c r="CC533" s="546"/>
      <c r="CD533" s="546"/>
      <c r="CE533" s="751">
        <v>96</v>
      </c>
      <c r="CF533" s="546"/>
      <c r="CG533" s="539">
        <f>SUM(DH533:DH534)</f>
        <v>495424000</v>
      </c>
      <c r="CH533" s="555"/>
      <c r="CI533" s="555"/>
      <c r="CJ533" s="83">
        <f t="shared" si="120"/>
        <v>0</v>
      </c>
      <c r="CK533" s="83">
        <f t="shared" si="128"/>
        <v>0</v>
      </c>
      <c r="CL533" s="83" t="str">
        <f t="shared" si="123"/>
        <v>No se reportó avance</v>
      </c>
      <c r="CM533" s="89" t="str">
        <f t="shared" si="124"/>
        <v>No se reportó avance</v>
      </c>
      <c r="CN533" s="89">
        <f t="shared" si="125"/>
        <v>1</v>
      </c>
      <c r="CO533" s="394" t="s">
        <v>2742</v>
      </c>
      <c r="CP533" s="747" t="s">
        <v>4253</v>
      </c>
      <c r="CQ533" s="658" t="s">
        <v>3147</v>
      </c>
      <c r="CR533" s="747" t="s">
        <v>4254</v>
      </c>
      <c r="CS533" s="747" t="s">
        <v>4255</v>
      </c>
      <c r="CT533" s="658" t="s">
        <v>931</v>
      </c>
      <c r="CU533" s="658" t="s">
        <v>233</v>
      </c>
      <c r="CV533" s="658">
        <v>32</v>
      </c>
      <c r="CW533" s="658" t="s">
        <v>402</v>
      </c>
      <c r="CX533" s="395">
        <v>46054</v>
      </c>
      <c r="CY533" s="395">
        <v>46387</v>
      </c>
      <c r="CZ533" s="394">
        <v>3</v>
      </c>
      <c r="DA533" s="394">
        <v>5</v>
      </c>
      <c r="DB533" s="394">
        <v>5</v>
      </c>
      <c r="DC533" s="394">
        <v>3</v>
      </c>
      <c r="DD533" s="541">
        <v>16</v>
      </c>
      <c r="DE533" s="658" t="s">
        <v>3071</v>
      </c>
      <c r="DF533" s="658" t="s">
        <v>4109</v>
      </c>
      <c r="DG533" s="748" t="s">
        <v>4256</v>
      </c>
      <c r="DH533" s="871">
        <v>243136000</v>
      </c>
      <c r="DI533" s="885" t="s">
        <v>956</v>
      </c>
      <c r="DJ533" s="885" t="s">
        <v>480</v>
      </c>
      <c r="DK533" s="658" t="s">
        <v>1024</v>
      </c>
      <c r="DL533" s="658" t="s">
        <v>2708</v>
      </c>
      <c r="DM533" s="394"/>
      <c r="DN533" s="394"/>
      <c r="DO533" s="747"/>
      <c r="DP533" s="874"/>
      <c r="DQ533" s="747"/>
      <c r="DR533" s="747"/>
      <c r="DS533" s="888"/>
      <c r="DT533" s="889"/>
      <c r="DU533" s="552"/>
      <c r="DV533" s="889"/>
      <c r="DW533" s="889"/>
      <c r="DX533" s="888"/>
      <c r="DY533" s="889"/>
      <c r="DZ533" s="552"/>
      <c r="EA533" s="889"/>
      <c r="EB533" s="889"/>
      <c r="EC533" s="874"/>
      <c r="ED533" s="874"/>
      <c r="EE533" s="874"/>
      <c r="EF533" s="874"/>
      <c r="EG533" s="874"/>
      <c r="EH533" s="394"/>
      <c r="EI533" s="389"/>
      <c r="EJ533" s="389"/>
      <c r="EK533" s="389"/>
      <c r="EL533" s="91" t="str">
        <f t="shared" si="126"/>
        <v>No se reportó avance</v>
      </c>
      <c r="EM533" s="83" t="str">
        <f t="shared" si="127"/>
        <v>No se reportó avance</v>
      </c>
      <c r="EN533" s="872"/>
      <c r="EO533" s="605" t="str">
        <f t="shared" si="121"/>
        <v>Gestión</v>
      </c>
      <c r="EP533" s="605" t="str">
        <f t="shared" si="122"/>
        <v>2</v>
      </c>
    </row>
    <row r="534" spans="1:146" s="605" customFormat="1" ht="45">
      <c r="A534" s="390" t="s">
        <v>4042</v>
      </c>
      <c r="B534" s="398" t="s">
        <v>4043</v>
      </c>
      <c r="C534" s="398" t="s">
        <v>996</v>
      </c>
      <c r="D534" s="398" t="s">
        <v>997</v>
      </c>
      <c r="E534" s="398" t="s">
        <v>998</v>
      </c>
      <c r="F534" s="542" t="s">
        <v>999</v>
      </c>
      <c r="G534" s="390"/>
      <c r="H534" s="394"/>
      <c r="I534" s="389" t="s">
        <v>4047</v>
      </c>
      <c r="J534" s="390" t="s">
        <v>729</v>
      </c>
      <c r="K534" s="561" t="s">
        <v>1003</v>
      </c>
      <c r="L534" s="390">
        <v>8</v>
      </c>
      <c r="M534" s="390" t="s">
        <v>4241</v>
      </c>
      <c r="N534" s="390" t="s">
        <v>4242</v>
      </c>
      <c r="O534" s="390" t="s">
        <v>4243</v>
      </c>
      <c r="P534" s="390" t="s">
        <v>200</v>
      </c>
      <c r="Q534" s="390" t="s">
        <v>233</v>
      </c>
      <c r="R534" s="398" t="s">
        <v>182</v>
      </c>
      <c r="S534" s="390" t="s">
        <v>234</v>
      </c>
      <c r="T534" s="437">
        <v>44927</v>
      </c>
      <c r="U534" s="437">
        <v>46387</v>
      </c>
      <c r="V534" s="398"/>
      <c r="W534" s="398"/>
      <c r="X534" s="398"/>
      <c r="Y534" s="398"/>
      <c r="Z534" s="398"/>
      <c r="AA534" s="391">
        <v>0</v>
      </c>
      <c r="AB534" s="391">
        <v>11</v>
      </c>
      <c r="AC534" s="391">
        <v>11</v>
      </c>
      <c r="AD534" s="391">
        <v>10</v>
      </c>
      <c r="AE534" s="391">
        <v>32</v>
      </c>
      <c r="AF534" s="390"/>
      <c r="AG534" s="390"/>
      <c r="AH534" s="390"/>
      <c r="AI534" s="390"/>
      <c r="AJ534" s="391"/>
      <c r="AK534" s="395"/>
      <c r="AL534" s="395"/>
      <c r="AM534" s="395"/>
      <c r="AN534" s="395"/>
      <c r="AO534" s="391"/>
      <c r="AP534" s="391"/>
      <c r="AQ534" s="546"/>
      <c r="AR534" s="546"/>
      <c r="AS534" s="546"/>
      <c r="AT534" s="546"/>
      <c r="AU534" s="546"/>
      <c r="AV534" s="546"/>
      <c r="AW534" s="546"/>
      <c r="AX534" s="546"/>
      <c r="AY534" s="546"/>
      <c r="AZ534" s="744"/>
      <c r="BA534" s="546"/>
      <c r="BB534" s="546"/>
      <c r="BC534" s="546"/>
      <c r="BD534" s="546"/>
      <c r="BE534" s="546"/>
      <c r="BF534" s="546"/>
      <c r="BG534" s="546"/>
      <c r="BH534" s="546"/>
      <c r="BI534" s="546"/>
      <c r="BJ534" s="546"/>
      <c r="BK534" s="546"/>
      <c r="BL534" s="546"/>
      <c r="BM534" s="546"/>
      <c r="BN534" s="546"/>
      <c r="BO534" s="546"/>
      <c r="BP534" s="546"/>
      <c r="BQ534" s="546"/>
      <c r="BR534" s="546"/>
      <c r="BS534" s="546"/>
      <c r="BT534" s="546"/>
      <c r="BU534" s="546"/>
      <c r="BV534" s="546"/>
      <c r="BW534" s="546"/>
      <c r="BX534" s="546"/>
      <c r="BY534" s="546"/>
      <c r="BZ534" s="546"/>
      <c r="CA534" s="546"/>
      <c r="CB534" s="546"/>
      <c r="CC534" s="546"/>
      <c r="CD534" s="546"/>
      <c r="CE534" s="546"/>
      <c r="CF534" s="546"/>
      <c r="CG534" s="547"/>
      <c r="CH534" s="548"/>
      <c r="CI534" s="548"/>
      <c r="CJ534" s="83" t="str">
        <f t="shared" si="120"/>
        <v>No aplica</v>
      </c>
      <c r="CK534" s="83" t="str">
        <f t="shared" si="128"/>
        <v>No aplica</v>
      </c>
      <c r="CL534" s="83" t="str">
        <f t="shared" si="123"/>
        <v>No requiere reporte</v>
      </c>
      <c r="CM534" s="89" t="str">
        <f t="shared" si="124"/>
        <v>No requiere reporte</v>
      </c>
      <c r="CN534" s="89" t="str">
        <f t="shared" si="125"/>
        <v>No requiere reporte</v>
      </c>
      <c r="CO534" s="394" t="s">
        <v>2748</v>
      </c>
      <c r="CP534" s="747" t="s">
        <v>4257</v>
      </c>
      <c r="CQ534" s="658" t="s">
        <v>3147</v>
      </c>
      <c r="CR534" s="747" t="s">
        <v>4258</v>
      </c>
      <c r="CS534" s="748" t="s">
        <v>4259</v>
      </c>
      <c r="CT534" s="658" t="s">
        <v>931</v>
      </c>
      <c r="CU534" s="658" t="s">
        <v>233</v>
      </c>
      <c r="CV534" s="658">
        <v>40</v>
      </c>
      <c r="CW534" s="658" t="s">
        <v>402</v>
      </c>
      <c r="CX534" s="395">
        <v>46054</v>
      </c>
      <c r="CY534" s="395">
        <v>46387</v>
      </c>
      <c r="CZ534" s="394">
        <v>4</v>
      </c>
      <c r="DA534" s="394">
        <v>12</v>
      </c>
      <c r="DB534" s="394">
        <v>12</v>
      </c>
      <c r="DC534" s="394">
        <v>4</v>
      </c>
      <c r="DD534" s="541">
        <v>32</v>
      </c>
      <c r="DE534" s="658" t="s">
        <v>3071</v>
      </c>
      <c r="DF534" s="658" t="s">
        <v>4109</v>
      </c>
      <c r="DG534" s="748" t="s">
        <v>4256</v>
      </c>
      <c r="DH534" s="871">
        <v>252288000</v>
      </c>
      <c r="DI534" s="885" t="s">
        <v>956</v>
      </c>
      <c r="DJ534" s="885" t="s">
        <v>480</v>
      </c>
      <c r="DK534" s="658" t="s">
        <v>1024</v>
      </c>
      <c r="DL534" s="658" t="s">
        <v>2708</v>
      </c>
      <c r="DM534" s="394"/>
      <c r="DN534" s="394"/>
      <c r="DO534" s="747"/>
      <c r="DP534" s="874"/>
      <c r="DQ534" s="747"/>
      <c r="DR534" s="747"/>
      <c r="DS534" s="888"/>
      <c r="DT534" s="889"/>
      <c r="DU534" s="889"/>
      <c r="DV534" s="889"/>
      <c r="DW534" s="889"/>
      <c r="DX534" s="888"/>
      <c r="DY534" s="889"/>
      <c r="DZ534" s="552"/>
      <c r="EA534" s="889"/>
      <c r="EB534" s="889"/>
      <c r="EC534" s="874"/>
      <c r="ED534" s="874"/>
      <c r="EE534" s="874"/>
      <c r="EF534" s="874"/>
      <c r="EG534" s="874"/>
      <c r="EH534" s="394"/>
      <c r="EI534" s="389"/>
      <c r="EJ534" s="389"/>
      <c r="EK534" s="389"/>
      <c r="EL534" s="91" t="str">
        <f t="shared" si="126"/>
        <v>No se reportó avance</v>
      </c>
      <c r="EM534" s="83" t="str">
        <f t="shared" si="127"/>
        <v>No se reportó avance</v>
      </c>
      <c r="EN534" s="872"/>
      <c r="EO534" s="605" t="str">
        <f t="shared" si="121"/>
        <v>Gestión</v>
      </c>
      <c r="EP534" s="605" t="str">
        <f t="shared" si="122"/>
        <v>2</v>
      </c>
    </row>
    <row r="535" spans="1:146" s="606" customFormat="1" ht="409.5">
      <c r="A535" s="377" t="s">
        <v>4042</v>
      </c>
      <c r="B535" s="378" t="s">
        <v>4043</v>
      </c>
      <c r="C535" s="378" t="s">
        <v>2366</v>
      </c>
      <c r="D535" s="378" t="s">
        <v>4132</v>
      </c>
      <c r="E535" s="377" t="s">
        <v>4260</v>
      </c>
      <c r="F535" s="532" t="s">
        <v>999</v>
      </c>
      <c r="G535" s="377" t="s">
        <v>4261</v>
      </c>
      <c r="H535" s="533" t="s">
        <v>4262</v>
      </c>
      <c r="I535" s="534" t="s">
        <v>4047</v>
      </c>
      <c r="J535" s="377" t="s">
        <v>729</v>
      </c>
      <c r="K535" s="534" t="s">
        <v>4263</v>
      </c>
      <c r="L535" s="382">
        <v>9</v>
      </c>
      <c r="M535" s="382" t="s">
        <v>4264</v>
      </c>
      <c r="N535" s="382" t="s">
        <v>4265</v>
      </c>
      <c r="O535" s="382" t="s">
        <v>4266</v>
      </c>
      <c r="P535" s="382" t="s">
        <v>200</v>
      </c>
      <c r="Q535" s="382" t="s">
        <v>233</v>
      </c>
      <c r="R535" s="383">
        <v>1</v>
      </c>
      <c r="S535" s="382" t="s">
        <v>252</v>
      </c>
      <c r="T535" s="436">
        <v>44927</v>
      </c>
      <c r="U535" s="436">
        <v>46387</v>
      </c>
      <c r="V535" s="383">
        <v>0.05</v>
      </c>
      <c r="W535" s="383">
        <v>0.05</v>
      </c>
      <c r="X535" s="383">
        <v>0.2</v>
      </c>
      <c r="Y535" s="383">
        <v>0.17</v>
      </c>
      <c r="Z535" s="383">
        <v>0.47</v>
      </c>
      <c r="AA535" s="383">
        <v>0.04</v>
      </c>
      <c r="AB535" s="383">
        <v>0.05</v>
      </c>
      <c r="AC535" s="383">
        <v>0.05</v>
      </c>
      <c r="AD535" s="383">
        <v>0.04</v>
      </c>
      <c r="AE535" s="383">
        <v>0.17499999999999999</v>
      </c>
      <c r="AF535" s="383">
        <v>0.04</v>
      </c>
      <c r="AG535" s="383">
        <v>0.05</v>
      </c>
      <c r="AH535" s="383">
        <v>0.05</v>
      </c>
      <c r="AI535" s="383">
        <v>0.04</v>
      </c>
      <c r="AJ535" s="383">
        <v>0.17499999999999999</v>
      </c>
      <c r="AK535" s="559">
        <v>0.04</v>
      </c>
      <c r="AL535" s="559">
        <v>0.05</v>
      </c>
      <c r="AM535" s="559">
        <v>0.05</v>
      </c>
      <c r="AN535" s="559">
        <v>0.04</v>
      </c>
      <c r="AO535" s="383">
        <v>0.17499999999999999</v>
      </c>
      <c r="AP535" s="383">
        <v>1</v>
      </c>
      <c r="AQ535" s="546"/>
      <c r="AR535" s="546"/>
      <c r="AS535" s="546"/>
      <c r="AT535" s="546"/>
      <c r="AU535" s="546"/>
      <c r="AV535" s="546"/>
      <c r="AW535" s="546"/>
      <c r="AX535" s="546"/>
      <c r="AY535" s="172">
        <v>0.41</v>
      </c>
      <c r="AZ535" s="554" t="s">
        <v>4267</v>
      </c>
      <c r="BA535" s="172">
        <v>0.04</v>
      </c>
      <c r="BB535" s="646" t="s">
        <v>4268</v>
      </c>
      <c r="BC535" s="172">
        <v>0.05</v>
      </c>
      <c r="BD535" s="646" t="s">
        <v>4269</v>
      </c>
      <c r="BE535" s="172">
        <v>0.05</v>
      </c>
      <c r="BF535" s="646" t="s">
        <v>4270</v>
      </c>
      <c r="BG535" s="172">
        <v>0.04</v>
      </c>
      <c r="BH535" s="172" t="s">
        <v>4271</v>
      </c>
      <c r="BI535" s="563">
        <v>0.18000000000000002</v>
      </c>
      <c r="BJ535" s="172" t="s">
        <v>4272</v>
      </c>
      <c r="BK535" s="563">
        <v>0</v>
      </c>
      <c r="BL535" s="744" t="s">
        <v>4273</v>
      </c>
      <c r="BM535" s="852">
        <v>0</v>
      </c>
      <c r="BN535" s="850" t="s">
        <v>4274</v>
      </c>
      <c r="BO535" s="753" t="s">
        <v>4275</v>
      </c>
      <c r="BP535" s="851" t="s">
        <v>4276</v>
      </c>
      <c r="BQ535" s="546"/>
      <c r="BR535" s="546"/>
      <c r="BS535" s="753" t="s">
        <v>4275</v>
      </c>
      <c r="BT535" s="546"/>
      <c r="BU535" s="546"/>
      <c r="BV535" s="546"/>
      <c r="BW535" s="546"/>
      <c r="BX535" s="546"/>
      <c r="BY535" s="546"/>
      <c r="BZ535" s="546"/>
      <c r="CA535" s="546"/>
      <c r="CB535" s="546"/>
      <c r="CC535" s="546"/>
      <c r="CD535" s="546"/>
      <c r="CE535" s="753">
        <v>0.18</v>
      </c>
      <c r="CF535" s="546"/>
      <c r="CG535" s="539">
        <f>SUM(DH535:DH536)</f>
        <v>1806488460</v>
      </c>
      <c r="CH535" s="555"/>
      <c r="CI535" s="555"/>
      <c r="CJ535" s="83">
        <f t="shared" si="120"/>
        <v>0</v>
      </c>
      <c r="CK535" s="83">
        <f t="shared" si="128"/>
        <v>0</v>
      </c>
      <c r="CL535" s="83" t="str">
        <f t="shared" si="123"/>
        <v>No se reportó avance</v>
      </c>
      <c r="CM535" s="89" t="str">
        <f t="shared" si="124"/>
        <v>No se reportó avance</v>
      </c>
      <c r="CN535" s="89">
        <f t="shared" si="125"/>
        <v>0.18</v>
      </c>
      <c r="CO535" s="394" t="s">
        <v>1998</v>
      </c>
      <c r="CP535" s="747" t="s">
        <v>4277</v>
      </c>
      <c r="CQ535" s="658" t="s">
        <v>3147</v>
      </c>
      <c r="CR535" s="747" t="s">
        <v>4278</v>
      </c>
      <c r="CS535" s="748" t="s">
        <v>4279</v>
      </c>
      <c r="CT535" s="658" t="s">
        <v>931</v>
      </c>
      <c r="CU535" s="658" t="s">
        <v>233</v>
      </c>
      <c r="CV535" s="394">
        <v>1</v>
      </c>
      <c r="CW535" s="658" t="s">
        <v>402</v>
      </c>
      <c r="CX535" s="395">
        <v>46054</v>
      </c>
      <c r="CY535" s="395">
        <v>46387</v>
      </c>
      <c r="CZ535" s="394">
        <v>1</v>
      </c>
      <c r="DA535" s="394">
        <v>1</v>
      </c>
      <c r="DB535" s="394">
        <v>1</v>
      </c>
      <c r="DC535" s="394">
        <v>1</v>
      </c>
      <c r="DD535" s="541">
        <v>4</v>
      </c>
      <c r="DE535" s="658" t="s">
        <v>3071</v>
      </c>
      <c r="DF535" s="658" t="s">
        <v>4065</v>
      </c>
      <c r="DG535" s="748" t="s">
        <v>4066</v>
      </c>
      <c r="DH535" s="871">
        <v>622000000</v>
      </c>
      <c r="DI535" s="658" t="s">
        <v>956</v>
      </c>
      <c r="DJ535" s="658" t="s">
        <v>480</v>
      </c>
      <c r="DK535" s="658" t="s">
        <v>1024</v>
      </c>
      <c r="DL535" s="658" t="s">
        <v>2708</v>
      </c>
      <c r="DM535" s="394"/>
      <c r="DN535" s="394"/>
      <c r="DO535" s="747"/>
      <c r="DP535" s="394"/>
      <c r="DQ535" s="747"/>
      <c r="DR535" s="747"/>
      <c r="DS535" s="394"/>
      <c r="DT535" s="747"/>
      <c r="DU535" s="552"/>
      <c r="DV535" s="747"/>
      <c r="DW535" s="747"/>
      <c r="DX535" s="394"/>
      <c r="DY535" s="747"/>
      <c r="DZ535" s="552"/>
      <c r="EA535" s="747"/>
      <c r="EB535" s="747"/>
      <c r="EC535" s="874"/>
      <c r="ED535" s="874"/>
      <c r="EE535" s="874"/>
      <c r="EF535" s="874"/>
      <c r="EG535" s="874"/>
      <c r="EH535" s="394"/>
      <c r="EI535" s="389"/>
      <c r="EJ535" s="389"/>
      <c r="EK535" s="389"/>
      <c r="EL535" s="91" t="str">
        <f t="shared" si="126"/>
        <v>No se reportó avance</v>
      </c>
      <c r="EM535" s="83" t="str">
        <f t="shared" si="127"/>
        <v>No se reportó avance</v>
      </c>
      <c r="EN535" s="872"/>
      <c r="EO535" s="605" t="str">
        <f t="shared" si="121"/>
        <v>Gestión</v>
      </c>
      <c r="EP535" s="605" t="str">
        <f t="shared" si="122"/>
        <v>2</v>
      </c>
    </row>
    <row r="536" spans="1:146" s="606" customFormat="1" ht="78.75">
      <c r="A536" s="390" t="s">
        <v>4042</v>
      </c>
      <c r="B536" s="398" t="s">
        <v>4043</v>
      </c>
      <c r="C536" s="398" t="s">
        <v>2366</v>
      </c>
      <c r="D536" s="398" t="s">
        <v>4132</v>
      </c>
      <c r="E536" s="390" t="s">
        <v>4260</v>
      </c>
      <c r="F536" s="542" t="s">
        <v>999</v>
      </c>
      <c r="G536" s="390" t="s">
        <v>4261</v>
      </c>
      <c r="H536" s="394" t="s">
        <v>4262</v>
      </c>
      <c r="I536" s="389" t="s">
        <v>4047</v>
      </c>
      <c r="J536" s="390" t="s">
        <v>729</v>
      </c>
      <c r="K536" s="389" t="s">
        <v>4263</v>
      </c>
      <c r="L536" s="402">
        <v>9</v>
      </c>
      <c r="M536" s="390" t="s">
        <v>4264</v>
      </c>
      <c r="N536" s="390" t="s">
        <v>4265</v>
      </c>
      <c r="O536" s="390" t="s">
        <v>4266</v>
      </c>
      <c r="P536" s="390" t="s">
        <v>200</v>
      </c>
      <c r="Q536" s="390" t="s">
        <v>233</v>
      </c>
      <c r="R536" s="398">
        <v>1</v>
      </c>
      <c r="S536" s="390" t="s">
        <v>252</v>
      </c>
      <c r="T536" s="437">
        <v>44927</v>
      </c>
      <c r="U536" s="437">
        <v>46387</v>
      </c>
      <c r="V536" s="398"/>
      <c r="W536" s="398"/>
      <c r="X536" s="398"/>
      <c r="Y536" s="398"/>
      <c r="Z536" s="398"/>
      <c r="AA536" s="398"/>
      <c r="AB536" s="398"/>
      <c r="AC536" s="398"/>
      <c r="AD536" s="398"/>
      <c r="AE536" s="398"/>
      <c r="AF536" s="398"/>
      <c r="AG536" s="398"/>
      <c r="AH536" s="398"/>
      <c r="AI536" s="398"/>
      <c r="AJ536" s="398"/>
      <c r="AK536" s="395"/>
      <c r="AL536" s="395"/>
      <c r="AM536" s="395"/>
      <c r="AN536" s="395"/>
      <c r="AO536" s="398"/>
      <c r="AP536" s="398"/>
      <c r="AQ536" s="546"/>
      <c r="AR536" s="546"/>
      <c r="AS536" s="546"/>
      <c r="AT536" s="546"/>
      <c r="AU536" s="546"/>
      <c r="AV536" s="546"/>
      <c r="AW536" s="546"/>
      <c r="AX536" s="546"/>
      <c r="AY536" s="546"/>
      <c r="AZ536" s="744"/>
      <c r="BA536" s="546"/>
      <c r="BB536" s="546"/>
      <c r="BC536" s="546"/>
      <c r="BD536" s="546"/>
      <c r="BE536" s="546"/>
      <c r="BF536" s="546"/>
      <c r="BG536" s="546"/>
      <c r="BH536" s="546"/>
      <c r="BI536" s="546"/>
      <c r="BJ536" s="546"/>
      <c r="BK536" s="546"/>
      <c r="BL536" s="546"/>
      <c r="BM536" s="546"/>
      <c r="BN536" s="546"/>
      <c r="BO536" s="546"/>
      <c r="BP536" s="546"/>
      <c r="BQ536" s="546"/>
      <c r="BR536" s="546"/>
      <c r="BS536" s="546"/>
      <c r="BT536" s="546"/>
      <c r="BU536" s="546"/>
      <c r="BV536" s="546"/>
      <c r="BW536" s="546"/>
      <c r="BX536" s="546"/>
      <c r="BY536" s="546"/>
      <c r="BZ536" s="546"/>
      <c r="CA536" s="546"/>
      <c r="CB536" s="546"/>
      <c r="CC536" s="546"/>
      <c r="CD536" s="546"/>
      <c r="CE536" s="546"/>
      <c r="CF536" s="546"/>
      <c r="CG536" s="547"/>
      <c r="CH536" s="548"/>
      <c r="CI536" s="548"/>
      <c r="CJ536" s="83" t="str">
        <f t="shared" si="120"/>
        <v>No aplica</v>
      </c>
      <c r="CK536" s="83" t="str">
        <f t="shared" si="128"/>
        <v>No aplica</v>
      </c>
      <c r="CL536" s="83" t="str">
        <f t="shared" si="123"/>
        <v>No requiere reporte</v>
      </c>
      <c r="CM536" s="89" t="str">
        <f t="shared" si="124"/>
        <v>No requiere reporte</v>
      </c>
      <c r="CN536" s="89" t="str">
        <f t="shared" si="125"/>
        <v>No requiere reporte</v>
      </c>
      <c r="CO536" s="394" t="s">
        <v>2004</v>
      </c>
      <c r="CP536" s="747" t="s">
        <v>4280</v>
      </c>
      <c r="CQ536" s="658" t="s">
        <v>3147</v>
      </c>
      <c r="CR536" s="747" t="s">
        <v>4281</v>
      </c>
      <c r="CS536" s="748" t="s">
        <v>4282</v>
      </c>
      <c r="CT536" s="658" t="s">
        <v>931</v>
      </c>
      <c r="CU536" s="658" t="s">
        <v>233</v>
      </c>
      <c r="CV536" s="394">
        <v>32</v>
      </c>
      <c r="CW536" s="658" t="s">
        <v>402</v>
      </c>
      <c r="CX536" s="395">
        <v>46054</v>
      </c>
      <c r="CY536" s="395">
        <v>46387</v>
      </c>
      <c r="CZ536" s="394">
        <v>0</v>
      </c>
      <c r="DA536" s="394">
        <v>10</v>
      </c>
      <c r="DB536" s="394">
        <v>12</v>
      </c>
      <c r="DC536" s="394">
        <v>10</v>
      </c>
      <c r="DD536" s="541">
        <v>32</v>
      </c>
      <c r="DE536" s="658" t="s">
        <v>3071</v>
      </c>
      <c r="DF536" s="658" t="s">
        <v>4065</v>
      </c>
      <c r="DG536" s="748" t="s">
        <v>4066</v>
      </c>
      <c r="DH536" s="871">
        <v>1184488460</v>
      </c>
      <c r="DI536" s="658" t="s">
        <v>956</v>
      </c>
      <c r="DJ536" s="658" t="s">
        <v>480</v>
      </c>
      <c r="DK536" s="658" t="s">
        <v>1024</v>
      </c>
      <c r="DL536" s="658" t="s">
        <v>2708</v>
      </c>
      <c r="DM536" s="394"/>
      <c r="DN536" s="394"/>
      <c r="DO536" s="747"/>
      <c r="DP536" s="394"/>
      <c r="DQ536" s="747"/>
      <c r="DR536" s="747"/>
      <c r="DS536" s="394"/>
      <c r="DT536" s="747"/>
      <c r="DU536" s="747"/>
      <c r="DV536" s="747"/>
      <c r="DW536" s="747"/>
      <c r="DX536" s="394"/>
      <c r="DY536" s="747"/>
      <c r="DZ536" s="890"/>
      <c r="EA536" s="747"/>
      <c r="EB536" s="747"/>
      <c r="EC536" s="874"/>
      <c r="ED536" s="874"/>
      <c r="EE536" s="874"/>
      <c r="EF536" s="874"/>
      <c r="EG536" s="874"/>
      <c r="EH536" s="394"/>
      <c r="EI536" s="389"/>
      <c r="EJ536" s="389"/>
      <c r="EK536" s="389"/>
      <c r="EL536" s="91" t="str">
        <f t="shared" si="126"/>
        <v>No aplica, no hay meta</v>
      </c>
      <c r="EM536" s="83" t="str">
        <f t="shared" si="127"/>
        <v>No se reportó avance</v>
      </c>
      <c r="EN536" s="872"/>
      <c r="EO536" s="605" t="str">
        <f t="shared" si="121"/>
        <v>Gestión</v>
      </c>
      <c r="EP536" s="605" t="str">
        <f t="shared" si="122"/>
        <v>2</v>
      </c>
    </row>
    <row r="537" spans="1:146" s="606" customFormat="1" ht="409.5">
      <c r="A537" s="377" t="s">
        <v>4042</v>
      </c>
      <c r="B537" s="378" t="s">
        <v>4043</v>
      </c>
      <c r="C537" s="378" t="s">
        <v>2366</v>
      </c>
      <c r="D537" s="378" t="s">
        <v>4132</v>
      </c>
      <c r="E537" s="378" t="s">
        <v>4283</v>
      </c>
      <c r="F537" s="532" t="s">
        <v>999</v>
      </c>
      <c r="G537" s="377" t="s">
        <v>4284</v>
      </c>
      <c r="H537" s="533" t="s">
        <v>4285</v>
      </c>
      <c r="I537" s="534" t="s">
        <v>4047</v>
      </c>
      <c r="J537" s="377" t="s">
        <v>729</v>
      </c>
      <c r="K537" s="558" t="s">
        <v>730</v>
      </c>
      <c r="L537" s="382">
        <v>10</v>
      </c>
      <c r="M537" s="382" t="s">
        <v>4286</v>
      </c>
      <c r="N537" s="382" t="s">
        <v>4287</v>
      </c>
      <c r="O537" s="382" t="s">
        <v>4288</v>
      </c>
      <c r="P537" s="382" t="s">
        <v>200</v>
      </c>
      <c r="Q537" s="382" t="s">
        <v>162</v>
      </c>
      <c r="R537" s="383">
        <v>1</v>
      </c>
      <c r="S537" s="382" t="s">
        <v>252</v>
      </c>
      <c r="T537" s="436">
        <v>44927</v>
      </c>
      <c r="U537" s="436">
        <v>46387</v>
      </c>
      <c r="V537" s="383">
        <v>1</v>
      </c>
      <c r="W537" s="383">
        <v>1</v>
      </c>
      <c r="X537" s="383">
        <v>1</v>
      </c>
      <c r="Y537" s="383">
        <v>1</v>
      </c>
      <c r="Z537" s="383">
        <v>1</v>
      </c>
      <c r="AA537" s="383">
        <v>1</v>
      </c>
      <c r="AB537" s="383">
        <v>1</v>
      </c>
      <c r="AC537" s="383">
        <v>1</v>
      </c>
      <c r="AD537" s="383">
        <v>1</v>
      </c>
      <c r="AE537" s="383">
        <v>1</v>
      </c>
      <c r="AF537" s="383">
        <v>1</v>
      </c>
      <c r="AG537" s="383">
        <v>1</v>
      </c>
      <c r="AH537" s="383">
        <v>1</v>
      </c>
      <c r="AI537" s="383">
        <v>1</v>
      </c>
      <c r="AJ537" s="383">
        <v>1</v>
      </c>
      <c r="AK537" s="559">
        <v>1</v>
      </c>
      <c r="AL537" s="559">
        <v>1</v>
      </c>
      <c r="AM537" s="559">
        <v>1</v>
      </c>
      <c r="AN537" s="559">
        <v>1</v>
      </c>
      <c r="AO537" s="383">
        <v>1</v>
      </c>
      <c r="AP537" s="383">
        <v>1</v>
      </c>
      <c r="AQ537" s="546"/>
      <c r="AR537" s="546"/>
      <c r="AS537" s="546"/>
      <c r="AT537" s="546"/>
      <c r="AU537" s="546"/>
      <c r="AV537" s="546"/>
      <c r="AW537" s="546"/>
      <c r="AX537" s="546"/>
      <c r="AY537" s="172">
        <v>1</v>
      </c>
      <c r="AZ537" s="554" t="s">
        <v>4289</v>
      </c>
      <c r="BA537" s="172">
        <f>1/1</f>
        <v>1</v>
      </c>
      <c r="BB537" s="646" t="s">
        <v>4290</v>
      </c>
      <c r="BC537" s="172">
        <f>5/5</f>
        <v>1</v>
      </c>
      <c r="BD537" s="646" t="s">
        <v>4291</v>
      </c>
      <c r="BE537" s="172">
        <f>37/37</f>
        <v>1</v>
      </c>
      <c r="BF537" s="646" t="s">
        <v>4292</v>
      </c>
      <c r="BG537" s="172">
        <v>1</v>
      </c>
      <c r="BH537" s="172" t="s">
        <v>4293</v>
      </c>
      <c r="BI537" s="172">
        <f>4/4</f>
        <v>1</v>
      </c>
      <c r="BJ537" s="172" t="s">
        <v>4294</v>
      </c>
      <c r="BK537" s="563">
        <v>1</v>
      </c>
      <c r="BL537" s="744" t="s">
        <v>4295</v>
      </c>
      <c r="BM537" s="852">
        <f>1/1</f>
        <v>1</v>
      </c>
      <c r="BN537" s="770" t="s">
        <v>4296</v>
      </c>
      <c r="BO537" s="859">
        <v>1</v>
      </c>
      <c r="BP537" s="860" t="s">
        <v>4297</v>
      </c>
      <c r="BQ537" s="546"/>
      <c r="BR537" s="546"/>
      <c r="BS537" s="560">
        <v>1</v>
      </c>
      <c r="BT537" s="546"/>
      <c r="BU537" s="546"/>
      <c r="BV537" s="546"/>
      <c r="BW537" s="546"/>
      <c r="BX537" s="546"/>
      <c r="BY537" s="546"/>
      <c r="BZ537" s="546"/>
      <c r="CA537" s="546"/>
      <c r="CB537" s="546"/>
      <c r="CC537" s="546"/>
      <c r="CD537" s="546"/>
      <c r="CE537" s="413">
        <v>1</v>
      </c>
      <c r="CF537" s="546"/>
      <c r="CG537" s="539">
        <f>SUM(DH537)</f>
        <v>1656601805</v>
      </c>
      <c r="CH537" s="555"/>
      <c r="CI537" s="555"/>
      <c r="CJ537" s="83">
        <f t="shared" si="120"/>
        <v>0</v>
      </c>
      <c r="CK537" s="83">
        <f t="shared" si="128"/>
        <v>0</v>
      </c>
      <c r="CL537" s="83" t="str">
        <f t="shared" si="123"/>
        <v>No se reportó avance</v>
      </c>
      <c r="CM537" s="89" t="str">
        <f t="shared" si="124"/>
        <v>No se reportó avance</v>
      </c>
      <c r="CN537" s="89">
        <f t="shared" si="125"/>
        <v>1</v>
      </c>
      <c r="CO537" s="394" t="s">
        <v>2073</v>
      </c>
      <c r="CP537" s="748" t="s">
        <v>4298</v>
      </c>
      <c r="CQ537" s="658" t="s">
        <v>3147</v>
      </c>
      <c r="CR537" s="747" t="s">
        <v>4299</v>
      </c>
      <c r="CS537" s="748" t="s">
        <v>4300</v>
      </c>
      <c r="CT537" s="658" t="s">
        <v>161</v>
      </c>
      <c r="CU537" s="658" t="s">
        <v>233</v>
      </c>
      <c r="CV537" s="658">
        <v>4</v>
      </c>
      <c r="CW537" s="658" t="s">
        <v>402</v>
      </c>
      <c r="CX537" s="395">
        <v>46054</v>
      </c>
      <c r="CY537" s="395">
        <v>46387</v>
      </c>
      <c r="CZ537" s="541">
        <v>1</v>
      </c>
      <c r="DA537" s="541">
        <v>1</v>
      </c>
      <c r="DB537" s="541">
        <v>1</v>
      </c>
      <c r="DC537" s="541">
        <v>1</v>
      </c>
      <c r="DD537" s="541">
        <v>4</v>
      </c>
      <c r="DE537" s="658" t="s">
        <v>761</v>
      </c>
      <c r="DF537" s="658" t="s">
        <v>762</v>
      </c>
      <c r="DG537" s="748" t="s">
        <v>763</v>
      </c>
      <c r="DH537" s="557">
        <v>1656601805</v>
      </c>
      <c r="DI537" s="658" t="s">
        <v>956</v>
      </c>
      <c r="DJ537" s="658" t="s">
        <v>480</v>
      </c>
      <c r="DK537" s="658" t="s">
        <v>1024</v>
      </c>
      <c r="DL537" s="658" t="s">
        <v>2708</v>
      </c>
      <c r="DM537" s="394"/>
      <c r="DN537" s="394"/>
      <c r="DO537" s="747"/>
      <c r="DP537" s="874"/>
      <c r="DQ537" s="747"/>
      <c r="DR537" s="747"/>
      <c r="DS537" s="394"/>
      <c r="DT537" s="747"/>
      <c r="DU537" s="552"/>
      <c r="DV537" s="747"/>
      <c r="DW537" s="747"/>
      <c r="DX537" s="394"/>
      <c r="DY537" s="747"/>
      <c r="DZ537" s="552"/>
      <c r="EA537" s="747"/>
      <c r="EB537" s="747"/>
      <c r="EC537" s="874"/>
      <c r="ED537" s="874"/>
      <c r="EE537" s="874"/>
      <c r="EF537" s="874"/>
      <c r="EG537" s="874"/>
      <c r="EH537" s="394"/>
      <c r="EI537" s="389"/>
      <c r="EJ537" s="389"/>
      <c r="EK537" s="389"/>
      <c r="EL537" s="91" t="str">
        <f t="shared" si="126"/>
        <v>No se reportó avance</v>
      </c>
      <c r="EM537" s="83" t="str">
        <f t="shared" si="127"/>
        <v>No se reportó avance</v>
      </c>
      <c r="EN537" s="872"/>
      <c r="EO537" s="605" t="str">
        <f t="shared" si="121"/>
        <v>Gestión</v>
      </c>
      <c r="EP537" s="605" t="str">
        <f t="shared" si="122"/>
        <v>2</v>
      </c>
    </row>
    <row r="538" spans="1:146" s="606" customFormat="1" ht="409.5">
      <c r="A538" s="377" t="s">
        <v>4042</v>
      </c>
      <c r="B538" s="378" t="s">
        <v>4043</v>
      </c>
      <c r="C538" s="378" t="s">
        <v>2366</v>
      </c>
      <c r="D538" s="378" t="s">
        <v>4301</v>
      </c>
      <c r="E538" s="378" t="s">
        <v>4302</v>
      </c>
      <c r="F538" s="532" t="s">
        <v>999</v>
      </c>
      <c r="G538" s="377"/>
      <c r="H538" s="533" t="s">
        <v>4303</v>
      </c>
      <c r="I538" s="534" t="s">
        <v>4047</v>
      </c>
      <c r="J538" s="377" t="s">
        <v>729</v>
      </c>
      <c r="K538" s="558" t="s">
        <v>4304</v>
      </c>
      <c r="L538" s="382">
        <v>11</v>
      </c>
      <c r="M538" s="382" t="s">
        <v>4305</v>
      </c>
      <c r="N538" s="382" t="s">
        <v>4306</v>
      </c>
      <c r="O538" s="382" t="s">
        <v>4307</v>
      </c>
      <c r="P538" s="382" t="s">
        <v>200</v>
      </c>
      <c r="Q538" s="382" t="s">
        <v>162</v>
      </c>
      <c r="R538" s="383">
        <v>1</v>
      </c>
      <c r="S538" s="382" t="s">
        <v>252</v>
      </c>
      <c r="T538" s="436">
        <v>44927</v>
      </c>
      <c r="U538" s="436">
        <v>46387</v>
      </c>
      <c r="V538" s="383">
        <v>1</v>
      </c>
      <c r="W538" s="383">
        <v>1</v>
      </c>
      <c r="X538" s="383">
        <v>1</v>
      </c>
      <c r="Y538" s="383">
        <v>1</v>
      </c>
      <c r="Z538" s="383">
        <v>1</v>
      </c>
      <c r="AA538" s="383">
        <v>1</v>
      </c>
      <c r="AB538" s="383">
        <v>1</v>
      </c>
      <c r="AC538" s="383">
        <v>1</v>
      </c>
      <c r="AD538" s="383">
        <v>1</v>
      </c>
      <c r="AE538" s="383">
        <v>1</v>
      </c>
      <c r="AF538" s="383">
        <v>1</v>
      </c>
      <c r="AG538" s="383">
        <v>1</v>
      </c>
      <c r="AH538" s="383">
        <v>1</v>
      </c>
      <c r="AI538" s="383">
        <v>1</v>
      </c>
      <c r="AJ538" s="383">
        <v>1</v>
      </c>
      <c r="AK538" s="559">
        <v>1</v>
      </c>
      <c r="AL538" s="559">
        <v>1</v>
      </c>
      <c r="AM538" s="559">
        <v>1</v>
      </c>
      <c r="AN538" s="559">
        <v>1</v>
      </c>
      <c r="AO538" s="383">
        <v>1</v>
      </c>
      <c r="AP538" s="383">
        <v>1</v>
      </c>
      <c r="AQ538" s="546"/>
      <c r="AR538" s="546"/>
      <c r="AS538" s="546"/>
      <c r="AT538" s="546"/>
      <c r="AU538" s="546"/>
      <c r="AV538" s="546"/>
      <c r="AW538" s="546"/>
      <c r="AX538" s="546"/>
      <c r="AY538" s="172">
        <v>0.84</v>
      </c>
      <c r="AZ538" s="554" t="s">
        <v>4308</v>
      </c>
      <c r="BA538" s="172">
        <f>8/15</f>
        <v>0.53333333333333333</v>
      </c>
      <c r="BB538" s="646" t="s">
        <v>4309</v>
      </c>
      <c r="BC538" s="172">
        <v>0.4</v>
      </c>
      <c r="BD538" s="646" t="s">
        <v>4310</v>
      </c>
      <c r="BE538" s="172">
        <f>2/3</f>
        <v>0.66666666666666663</v>
      </c>
      <c r="BF538" s="646" t="s">
        <v>4311</v>
      </c>
      <c r="BG538" s="172">
        <v>0.95</v>
      </c>
      <c r="BH538" s="172" t="s">
        <v>4312</v>
      </c>
      <c r="BI538" s="563">
        <v>0.95</v>
      </c>
      <c r="BJ538" s="744" t="s">
        <v>4313</v>
      </c>
      <c r="BK538" s="563">
        <v>0.93</v>
      </c>
      <c r="BL538" s="744" t="s">
        <v>4314</v>
      </c>
      <c r="BM538" s="852">
        <f>14/14</f>
        <v>1</v>
      </c>
      <c r="BN538" s="770" t="s">
        <v>4315</v>
      </c>
      <c r="BO538" s="753">
        <v>1</v>
      </c>
      <c r="BP538" s="856" t="s">
        <v>4316</v>
      </c>
      <c r="BQ538" s="546"/>
      <c r="BR538" s="546"/>
      <c r="BS538" s="560">
        <v>1</v>
      </c>
      <c r="BT538" s="546"/>
      <c r="BU538" s="546"/>
      <c r="BV538" s="546"/>
      <c r="BW538" s="546"/>
      <c r="BX538" s="546"/>
      <c r="BY538" s="546"/>
      <c r="BZ538" s="546"/>
      <c r="CA538" s="546"/>
      <c r="CB538" s="546"/>
      <c r="CC538" s="546"/>
      <c r="CD538" s="546"/>
      <c r="CE538" s="413">
        <v>1</v>
      </c>
      <c r="CF538" s="546"/>
      <c r="CG538" s="539">
        <f>SUM(DH538:DH541)</f>
        <v>8054000000</v>
      </c>
      <c r="CH538" s="555"/>
      <c r="CI538" s="555"/>
      <c r="CJ538" s="83">
        <f t="shared" si="120"/>
        <v>0</v>
      </c>
      <c r="CK538" s="83">
        <f t="shared" si="128"/>
        <v>0</v>
      </c>
      <c r="CL538" s="83" t="str">
        <f t="shared" si="123"/>
        <v>No se reportó avance</v>
      </c>
      <c r="CM538" s="89" t="str">
        <f t="shared" si="124"/>
        <v>No se reportó avance</v>
      </c>
      <c r="CN538" s="89">
        <f t="shared" si="125"/>
        <v>1</v>
      </c>
      <c r="CO538" s="394" t="s">
        <v>2107</v>
      </c>
      <c r="CP538" s="748" t="s">
        <v>4317</v>
      </c>
      <c r="CQ538" s="658" t="s">
        <v>3147</v>
      </c>
      <c r="CR538" s="748" t="s">
        <v>4318</v>
      </c>
      <c r="CS538" s="748" t="s">
        <v>4319</v>
      </c>
      <c r="CT538" s="658" t="s">
        <v>931</v>
      </c>
      <c r="CU538" s="658" t="s">
        <v>233</v>
      </c>
      <c r="CV538" s="658">
        <v>28</v>
      </c>
      <c r="CW538" s="658" t="s">
        <v>402</v>
      </c>
      <c r="CX538" s="395">
        <v>46054</v>
      </c>
      <c r="CY538" s="395">
        <v>46387</v>
      </c>
      <c r="CZ538" s="541">
        <v>7</v>
      </c>
      <c r="DA538" s="541">
        <v>7</v>
      </c>
      <c r="DB538" s="541">
        <v>7</v>
      </c>
      <c r="DC538" s="541">
        <v>7</v>
      </c>
      <c r="DD538" s="541">
        <v>28</v>
      </c>
      <c r="DE538" s="658" t="s">
        <v>761</v>
      </c>
      <c r="DF538" s="658" t="s">
        <v>4320</v>
      </c>
      <c r="DG538" s="748" t="s">
        <v>4321</v>
      </c>
      <c r="DH538" s="557">
        <v>1729604899</v>
      </c>
      <c r="DI538" s="658" t="s">
        <v>956</v>
      </c>
      <c r="DJ538" s="658" t="s">
        <v>480</v>
      </c>
      <c r="DK538" s="658" t="s">
        <v>1024</v>
      </c>
      <c r="DL538" s="658" t="s">
        <v>2708</v>
      </c>
      <c r="DM538" s="394"/>
      <c r="DN538" s="394"/>
      <c r="DO538" s="747"/>
      <c r="DP538" s="874"/>
      <c r="DQ538" s="747"/>
      <c r="DR538" s="747"/>
      <c r="DS538" s="394"/>
      <c r="DT538" s="747"/>
      <c r="DU538" s="553"/>
      <c r="DV538" s="874"/>
      <c r="DW538" s="874"/>
      <c r="DX538" s="394"/>
      <c r="DY538" s="747"/>
      <c r="DZ538" s="553"/>
      <c r="EA538" s="874"/>
      <c r="EB538" s="874"/>
      <c r="EC538" s="874"/>
      <c r="ED538" s="874"/>
      <c r="EE538" s="874"/>
      <c r="EF538" s="874"/>
      <c r="EG538" s="874"/>
      <c r="EH538" s="394"/>
      <c r="EI538" s="389"/>
      <c r="EJ538" s="389"/>
      <c r="EK538" s="389"/>
      <c r="EL538" s="91" t="str">
        <f t="shared" si="126"/>
        <v>No se reportó avance</v>
      </c>
      <c r="EM538" s="83" t="str">
        <f t="shared" si="127"/>
        <v>No se reportó avance</v>
      </c>
      <c r="EN538" s="872"/>
      <c r="EO538" s="605" t="str">
        <f t="shared" si="121"/>
        <v>Gestión</v>
      </c>
      <c r="EP538" s="605" t="str">
        <f t="shared" si="122"/>
        <v>2</v>
      </c>
    </row>
    <row r="539" spans="1:146" s="606" customFormat="1" ht="123.75">
      <c r="A539" s="390" t="s">
        <v>4042</v>
      </c>
      <c r="B539" s="398" t="s">
        <v>4043</v>
      </c>
      <c r="C539" s="398" t="s">
        <v>2366</v>
      </c>
      <c r="D539" s="398" t="s">
        <v>4301</v>
      </c>
      <c r="E539" s="398" t="s">
        <v>4302</v>
      </c>
      <c r="F539" s="542" t="s">
        <v>999</v>
      </c>
      <c r="G539" s="390"/>
      <c r="H539" s="394" t="s">
        <v>4303</v>
      </c>
      <c r="I539" s="389" t="s">
        <v>4047</v>
      </c>
      <c r="J539" s="390" t="s">
        <v>729</v>
      </c>
      <c r="K539" s="561" t="s">
        <v>4304</v>
      </c>
      <c r="L539" s="390">
        <v>11</v>
      </c>
      <c r="M539" s="390" t="s">
        <v>4305</v>
      </c>
      <c r="N539" s="390" t="s">
        <v>4306</v>
      </c>
      <c r="O539" s="390" t="s">
        <v>4307</v>
      </c>
      <c r="P539" s="390" t="s">
        <v>200</v>
      </c>
      <c r="Q539" s="390" t="s">
        <v>162</v>
      </c>
      <c r="R539" s="398">
        <v>1</v>
      </c>
      <c r="S539" s="390" t="s">
        <v>252</v>
      </c>
      <c r="T539" s="437">
        <v>44927</v>
      </c>
      <c r="U539" s="437">
        <v>46387</v>
      </c>
      <c r="V539" s="398"/>
      <c r="W539" s="398"/>
      <c r="X539" s="398"/>
      <c r="Y539" s="398"/>
      <c r="Z539" s="398"/>
      <c r="AA539" s="398"/>
      <c r="AB539" s="398"/>
      <c r="AC539" s="398"/>
      <c r="AD539" s="398"/>
      <c r="AE539" s="398"/>
      <c r="AF539" s="398"/>
      <c r="AG539" s="398"/>
      <c r="AH539" s="398"/>
      <c r="AI539" s="398"/>
      <c r="AJ539" s="398"/>
      <c r="AK539" s="395"/>
      <c r="AL539" s="395"/>
      <c r="AM539" s="395"/>
      <c r="AN539" s="395"/>
      <c r="AO539" s="398"/>
      <c r="AP539" s="398"/>
      <c r="AQ539" s="546"/>
      <c r="AR539" s="546"/>
      <c r="AS539" s="546"/>
      <c r="AT539" s="546"/>
      <c r="AU539" s="546"/>
      <c r="AV539" s="546"/>
      <c r="AW539" s="546"/>
      <c r="AX539" s="546"/>
      <c r="AY539" s="546"/>
      <c r="AZ539" s="744"/>
      <c r="BA539" s="546"/>
      <c r="BB539" s="546"/>
      <c r="BC539" s="546"/>
      <c r="BD539" s="546"/>
      <c r="BE539" s="546"/>
      <c r="BF539" s="546"/>
      <c r="BG539" s="546"/>
      <c r="BH539" s="546"/>
      <c r="BI539" s="546"/>
      <c r="BJ539" s="546"/>
      <c r="BK539" s="546"/>
      <c r="BL539" s="546"/>
      <c r="BM539" s="546"/>
      <c r="BN539" s="546"/>
      <c r="BO539" s="546"/>
      <c r="BP539" s="546"/>
      <c r="BQ539" s="546"/>
      <c r="BR539" s="546"/>
      <c r="BS539" s="546"/>
      <c r="BT539" s="546"/>
      <c r="BU539" s="546"/>
      <c r="BV539" s="546"/>
      <c r="BW539" s="546"/>
      <c r="BX539" s="546"/>
      <c r="BY539" s="546"/>
      <c r="BZ539" s="546"/>
      <c r="CA539" s="546"/>
      <c r="CB539" s="546"/>
      <c r="CC539" s="546"/>
      <c r="CD539" s="546"/>
      <c r="CE539" s="546"/>
      <c r="CF539" s="546"/>
      <c r="CG539" s="547"/>
      <c r="CH539" s="548"/>
      <c r="CI539" s="548"/>
      <c r="CJ539" s="83" t="str">
        <f t="shared" si="120"/>
        <v>No aplica</v>
      </c>
      <c r="CK539" s="83" t="str">
        <f t="shared" si="128"/>
        <v>No aplica</v>
      </c>
      <c r="CL539" s="83" t="str">
        <f t="shared" si="123"/>
        <v>No requiere reporte</v>
      </c>
      <c r="CM539" s="89" t="str">
        <f t="shared" si="124"/>
        <v>No requiere reporte</v>
      </c>
      <c r="CN539" s="89" t="str">
        <f t="shared" si="125"/>
        <v>No requiere reporte</v>
      </c>
      <c r="CO539" s="394" t="s">
        <v>2113</v>
      </c>
      <c r="CP539" s="748" t="s">
        <v>4322</v>
      </c>
      <c r="CQ539" s="658" t="s">
        <v>3147</v>
      </c>
      <c r="CR539" s="748" t="s">
        <v>4323</v>
      </c>
      <c r="CS539" s="748" t="s">
        <v>4324</v>
      </c>
      <c r="CT539" s="658" t="s">
        <v>931</v>
      </c>
      <c r="CU539" s="658" t="s">
        <v>233</v>
      </c>
      <c r="CV539" s="658">
        <v>28</v>
      </c>
      <c r="CW539" s="658" t="s">
        <v>402</v>
      </c>
      <c r="CX539" s="395">
        <v>46054</v>
      </c>
      <c r="CY539" s="395">
        <v>46387</v>
      </c>
      <c r="CZ539" s="541">
        <v>7</v>
      </c>
      <c r="DA539" s="541">
        <v>7</v>
      </c>
      <c r="DB539" s="541">
        <v>7</v>
      </c>
      <c r="DC539" s="541">
        <v>7</v>
      </c>
      <c r="DD539" s="541">
        <v>28</v>
      </c>
      <c r="DE539" s="658" t="s">
        <v>761</v>
      </c>
      <c r="DF539" s="658" t="s">
        <v>4320</v>
      </c>
      <c r="DG539" s="748" t="s">
        <v>4321</v>
      </c>
      <c r="DH539" s="557">
        <v>2944395101</v>
      </c>
      <c r="DI539" s="658" t="s">
        <v>956</v>
      </c>
      <c r="DJ539" s="658" t="s">
        <v>480</v>
      </c>
      <c r="DK539" s="658" t="s">
        <v>1024</v>
      </c>
      <c r="DL539" s="658" t="s">
        <v>2708</v>
      </c>
      <c r="DM539" s="394"/>
      <c r="DN539" s="394"/>
      <c r="DO539" s="747"/>
      <c r="DP539" s="874"/>
      <c r="DQ539" s="747"/>
      <c r="DR539" s="747"/>
      <c r="DS539" s="394"/>
      <c r="DT539" s="747"/>
      <c r="DU539" s="553"/>
      <c r="DV539" s="874"/>
      <c r="DW539" s="874"/>
      <c r="DX539" s="394"/>
      <c r="DY539" s="747"/>
      <c r="DZ539" s="891"/>
      <c r="EA539" s="874"/>
      <c r="EB539" s="874"/>
      <c r="EC539" s="874"/>
      <c r="ED539" s="874"/>
      <c r="EE539" s="874"/>
      <c r="EF539" s="874"/>
      <c r="EG539" s="874"/>
      <c r="EH539" s="394"/>
      <c r="EI539" s="389"/>
      <c r="EJ539" s="389"/>
      <c r="EK539" s="389"/>
      <c r="EL539" s="91" t="str">
        <f t="shared" si="126"/>
        <v>No se reportó avance</v>
      </c>
      <c r="EM539" s="83" t="str">
        <f t="shared" si="127"/>
        <v>No se reportó avance</v>
      </c>
      <c r="EN539" s="872"/>
      <c r="EO539" s="605" t="str">
        <f t="shared" si="121"/>
        <v>Gestión</v>
      </c>
      <c r="EP539" s="605" t="str">
        <f t="shared" si="122"/>
        <v>2</v>
      </c>
    </row>
    <row r="540" spans="1:146" s="605" customFormat="1" ht="123.75">
      <c r="A540" s="390" t="s">
        <v>4042</v>
      </c>
      <c r="B540" s="398" t="s">
        <v>4043</v>
      </c>
      <c r="C540" s="398" t="s">
        <v>2366</v>
      </c>
      <c r="D540" s="398" t="s">
        <v>4301</v>
      </c>
      <c r="E540" s="398" t="s">
        <v>4302</v>
      </c>
      <c r="F540" s="542" t="s">
        <v>999</v>
      </c>
      <c r="G540" s="390"/>
      <c r="H540" s="394" t="s">
        <v>4303</v>
      </c>
      <c r="I540" s="389" t="s">
        <v>4047</v>
      </c>
      <c r="J540" s="390" t="s">
        <v>729</v>
      </c>
      <c r="K540" s="561" t="s">
        <v>4304</v>
      </c>
      <c r="L540" s="390">
        <v>11</v>
      </c>
      <c r="M540" s="390" t="s">
        <v>4305</v>
      </c>
      <c r="N540" s="390" t="s">
        <v>4306</v>
      </c>
      <c r="O540" s="390" t="s">
        <v>4307</v>
      </c>
      <c r="P540" s="390" t="s">
        <v>200</v>
      </c>
      <c r="Q540" s="390" t="s">
        <v>162</v>
      </c>
      <c r="R540" s="398">
        <v>1</v>
      </c>
      <c r="S540" s="390" t="s">
        <v>252</v>
      </c>
      <c r="T540" s="437">
        <v>44927</v>
      </c>
      <c r="U540" s="437">
        <v>46387</v>
      </c>
      <c r="V540" s="398"/>
      <c r="W540" s="398"/>
      <c r="X540" s="398"/>
      <c r="Y540" s="398"/>
      <c r="Z540" s="398"/>
      <c r="AA540" s="398"/>
      <c r="AB540" s="398"/>
      <c r="AC540" s="398"/>
      <c r="AD540" s="398"/>
      <c r="AE540" s="398"/>
      <c r="AF540" s="398"/>
      <c r="AG540" s="398"/>
      <c r="AH540" s="398"/>
      <c r="AI540" s="398"/>
      <c r="AJ540" s="398"/>
      <c r="AK540" s="395"/>
      <c r="AL540" s="395"/>
      <c r="AM540" s="395"/>
      <c r="AN540" s="395"/>
      <c r="AO540" s="398"/>
      <c r="AP540" s="398"/>
      <c r="AQ540" s="546"/>
      <c r="AR540" s="546"/>
      <c r="AS540" s="546"/>
      <c r="AT540" s="546"/>
      <c r="AU540" s="546"/>
      <c r="AV540" s="546"/>
      <c r="AW540" s="546"/>
      <c r="AX540" s="546"/>
      <c r="AY540" s="546"/>
      <c r="AZ540" s="744"/>
      <c r="BA540" s="546"/>
      <c r="BB540" s="546"/>
      <c r="BC540" s="546"/>
      <c r="BD540" s="546"/>
      <c r="BE540" s="546"/>
      <c r="BF540" s="546"/>
      <c r="BG540" s="546"/>
      <c r="BH540" s="546"/>
      <c r="BI540" s="546"/>
      <c r="BJ540" s="546"/>
      <c r="BK540" s="546"/>
      <c r="BL540" s="546"/>
      <c r="BM540" s="546"/>
      <c r="BN540" s="546"/>
      <c r="BO540" s="546"/>
      <c r="BP540" s="546"/>
      <c r="BQ540" s="546"/>
      <c r="BR540" s="546"/>
      <c r="BS540" s="546"/>
      <c r="BT540" s="546"/>
      <c r="BU540" s="546"/>
      <c r="BV540" s="546"/>
      <c r="BW540" s="546"/>
      <c r="BX540" s="546"/>
      <c r="BY540" s="546"/>
      <c r="BZ540" s="546"/>
      <c r="CA540" s="546"/>
      <c r="CB540" s="546"/>
      <c r="CC540" s="546"/>
      <c r="CD540" s="546"/>
      <c r="CE540" s="546"/>
      <c r="CF540" s="546"/>
      <c r="CG540" s="547"/>
      <c r="CH540" s="548"/>
      <c r="CI540" s="548"/>
      <c r="CJ540" s="83" t="str">
        <f t="shared" si="120"/>
        <v>No aplica</v>
      </c>
      <c r="CK540" s="83" t="str">
        <f t="shared" si="128"/>
        <v>No aplica</v>
      </c>
      <c r="CL540" s="83" t="str">
        <f t="shared" si="123"/>
        <v>No requiere reporte</v>
      </c>
      <c r="CM540" s="89" t="str">
        <f t="shared" si="124"/>
        <v>No requiere reporte</v>
      </c>
      <c r="CN540" s="89" t="str">
        <f t="shared" si="125"/>
        <v>No requiere reporte</v>
      </c>
      <c r="CO540" s="394" t="s">
        <v>2116</v>
      </c>
      <c r="CP540" s="748" t="s">
        <v>4325</v>
      </c>
      <c r="CQ540" s="658" t="s">
        <v>3147</v>
      </c>
      <c r="CR540" s="748" t="s">
        <v>4326</v>
      </c>
      <c r="CS540" s="748" t="s">
        <v>4327</v>
      </c>
      <c r="CT540" s="658" t="s">
        <v>931</v>
      </c>
      <c r="CU540" s="658" t="s">
        <v>233</v>
      </c>
      <c r="CV540" s="658">
        <v>4</v>
      </c>
      <c r="CW540" s="658" t="s">
        <v>402</v>
      </c>
      <c r="CX540" s="395">
        <v>46054</v>
      </c>
      <c r="CY540" s="395">
        <v>46387</v>
      </c>
      <c r="CZ540" s="541">
        <v>1</v>
      </c>
      <c r="DA540" s="541">
        <v>1</v>
      </c>
      <c r="DB540" s="541">
        <v>1</v>
      </c>
      <c r="DC540" s="541">
        <v>1</v>
      </c>
      <c r="DD540" s="541">
        <v>4</v>
      </c>
      <c r="DE540" s="658" t="s">
        <v>761</v>
      </c>
      <c r="DF540" s="658" t="s">
        <v>4320</v>
      </c>
      <c r="DG540" s="748" t="s">
        <v>4321</v>
      </c>
      <c r="DH540" s="557">
        <v>2360000000</v>
      </c>
      <c r="DI540" s="658" t="s">
        <v>956</v>
      </c>
      <c r="DJ540" s="658" t="s">
        <v>480</v>
      </c>
      <c r="DK540" s="658" t="s">
        <v>1024</v>
      </c>
      <c r="DL540" s="658" t="s">
        <v>2708</v>
      </c>
      <c r="DM540" s="394"/>
      <c r="DN540" s="394"/>
      <c r="DO540" s="747"/>
      <c r="DP540" s="394"/>
      <c r="DQ540" s="747"/>
      <c r="DR540" s="747"/>
      <c r="DS540" s="394"/>
      <c r="DT540" s="747"/>
      <c r="DU540" s="553"/>
      <c r="DV540" s="874"/>
      <c r="DW540" s="874"/>
      <c r="DX540" s="394"/>
      <c r="DY540" s="747"/>
      <c r="DZ540" s="891"/>
      <c r="EA540" s="874"/>
      <c r="EB540" s="874"/>
      <c r="EC540" s="874"/>
      <c r="ED540" s="874"/>
      <c r="EE540" s="874"/>
      <c r="EF540" s="874"/>
      <c r="EG540" s="874"/>
      <c r="EH540" s="394"/>
      <c r="EI540" s="389"/>
      <c r="EJ540" s="389"/>
      <c r="EK540" s="389"/>
      <c r="EL540" s="91" t="str">
        <f t="shared" si="126"/>
        <v>No se reportó avance</v>
      </c>
      <c r="EM540" s="83" t="str">
        <f t="shared" si="127"/>
        <v>No se reportó avance</v>
      </c>
      <c r="EN540" s="872"/>
      <c r="EO540" s="605" t="str">
        <f t="shared" si="121"/>
        <v>Gestión</v>
      </c>
      <c r="EP540" s="605" t="str">
        <f t="shared" si="122"/>
        <v>2</v>
      </c>
    </row>
    <row r="541" spans="1:146" s="605" customFormat="1" ht="123.75">
      <c r="A541" s="390" t="s">
        <v>4042</v>
      </c>
      <c r="B541" s="398" t="s">
        <v>4043</v>
      </c>
      <c r="C541" s="398" t="s">
        <v>2366</v>
      </c>
      <c r="D541" s="398" t="s">
        <v>4301</v>
      </c>
      <c r="E541" s="398" t="s">
        <v>4302</v>
      </c>
      <c r="F541" s="542" t="s">
        <v>999</v>
      </c>
      <c r="G541" s="390"/>
      <c r="H541" s="394" t="s">
        <v>4303</v>
      </c>
      <c r="I541" s="389" t="s">
        <v>4047</v>
      </c>
      <c r="J541" s="390" t="s">
        <v>729</v>
      </c>
      <c r="K541" s="561" t="s">
        <v>4304</v>
      </c>
      <c r="L541" s="390">
        <v>11</v>
      </c>
      <c r="M541" s="390" t="s">
        <v>4305</v>
      </c>
      <c r="N541" s="390" t="s">
        <v>4306</v>
      </c>
      <c r="O541" s="390" t="s">
        <v>4307</v>
      </c>
      <c r="P541" s="390" t="s">
        <v>200</v>
      </c>
      <c r="Q541" s="390" t="s">
        <v>162</v>
      </c>
      <c r="R541" s="398">
        <v>1</v>
      </c>
      <c r="S541" s="390" t="s">
        <v>252</v>
      </c>
      <c r="T541" s="437">
        <v>44927</v>
      </c>
      <c r="U541" s="437">
        <v>46387</v>
      </c>
      <c r="V541" s="398"/>
      <c r="W541" s="398"/>
      <c r="X541" s="398"/>
      <c r="Y541" s="398"/>
      <c r="Z541" s="398"/>
      <c r="AA541" s="398"/>
      <c r="AB541" s="398"/>
      <c r="AC541" s="398"/>
      <c r="AD541" s="398"/>
      <c r="AE541" s="398"/>
      <c r="AF541" s="398"/>
      <c r="AG541" s="398"/>
      <c r="AH541" s="398"/>
      <c r="AI541" s="398"/>
      <c r="AJ541" s="398"/>
      <c r="AK541" s="395"/>
      <c r="AL541" s="395"/>
      <c r="AM541" s="395"/>
      <c r="AN541" s="395"/>
      <c r="AO541" s="398"/>
      <c r="AP541" s="398"/>
      <c r="AQ541" s="546"/>
      <c r="AR541" s="546"/>
      <c r="AS541" s="546"/>
      <c r="AT541" s="546"/>
      <c r="AU541" s="546"/>
      <c r="AV541" s="546"/>
      <c r="AW541" s="546"/>
      <c r="AX541" s="546"/>
      <c r="AY541" s="546"/>
      <c r="AZ541" s="744"/>
      <c r="BA541" s="546"/>
      <c r="BB541" s="546"/>
      <c r="BC541" s="546"/>
      <c r="BD541" s="546"/>
      <c r="BE541" s="546"/>
      <c r="BF541" s="546"/>
      <c r="BG541" s="546"/>
      <c r="BH541" s="546"/>
      <c r="BI541" s="546"/>
      <c r="BJ541" s="546"/>
      <c r="BK541" s="546"/>
      <c r="BL541" s="546"/>
      <c r="BM541" s="546"/>
      <c r="BN541" s="546"/>
      <c r="BO541" s="546"/>
      <c r="BP541" s="546"/>
      <c r="BQ541" s="546"/>
      <c r="BR541" s="546"/>
      <c r="BS541" s="546"/>
      <c r="BT541" s="546"/>
      <c r="BU541" s="546"/>
      <c r="BV541" s="546"/>
      <c r="BW541" s="546"/>
      <c r="BX541" s="546"/>
      <c r="BY541" s="546"/>
      <c r="BZ541" s="546"/>
      <c r="CA541" s="546"/>
      <c r="CB541" s="546"/>
      <c r="CC541" s="546"/>
      <c r="CD541" s="546"/>
      <c r="CE541" s="546"/>
      <c r="CF541" s="546"/>
      <c r="CG541" s="547"/>
      <c r="CH541" s="548"/>
      <c r="CI541" s="548"/>
      <c r="CJ541" s="83" t="str">
        <f t="shared" si="120"/>
        <v>No aplica</v>
      </c>
      <c r="CK541" s="83" t="str">
        <f t="shared" si="128"/>
        <v>No aplica</v>
      </c>
      <c r="CL541" s="83" t="str">
        <f t="shared" si="123"/>
        <v>No requiere reporte</v>
      </c>
      <c r="CM541" s="89" t="str">
        <f t="shared" si="124"/>
        <v>No requiere reporte</v>
      </c>
      <c r="CN541" s="89" t="str">
        <f t="shared" si="125"/>
        <v>No requiere reporte</v>
      </c>
      <c r="CO541" s="394" t="s">
        <v>2121</v>
      </c>
      <c r="CP541" s="748" t="s">
        <v>4328</v>
      </c>
      <c r="CQ541" s="658" t="s">
        <v>3147</v>
      </c>
      <c r="CR541" s="748" t="s">
        <v>4329</v>
      </c>
      <c r="CS541" s="748" t="s">
        <v>4330</v>
      </c>
      <c r="CT541" s="658" t="s">
        <v>931</v>
      </c>
      <c r="CU541" s="658" t="s">
        <v>233</v>
      </c>
      <c r="CV541" s="658">
        <v>4</v>
      </c>
      <c r="CW541" s="658" t="s">
        <v>402</v>
      </c>
      <c r="CX541" s="395">
        <v>46054</v>
      </c>
      <c r="CY541" s="395">
        <v>46387</v>
      </c>
      <c r="CZ541" s="541">
        <v>1</v>
      </c>
      <c r="DA541" s="541">
        <v>1</v>
      </c>
      <c r="DB541" s="541">
        <v>1</v>
      </c>
      <c r="DC541" s="541">
        <v>1</v>
      </c>
      <c r="DD541" s="541">
        <v>4</v>
      </c>
      <c r="DE541" s="658" t="s">
        <v>761</v>
      </c>
      <c r="DF541" s="658" t="s">
        <v>4320</v>
      </c>
      <c r="DG541" s="748" t="s">
        <v>4321</v>
      </c>
      <c r="DH541" s="871">
        <f>1520000000-500000000</f>
        <v>1020000000</v>
      </c>
      <c r="DI541" s="658" t="s">
        <v>956</v>
      </c>
      <c r="DJ541" s="658" t="s">
        <v>480</v>
      </c>
      <c r="DK541" s="658" t="s">
        <v>1024</v>
      </c>
      <c r="DL541" s="658" t="s">
        <v>2708</v>
      </c>
      <c r="DM541" s="394"/>
      <c r="DN541" s="394"/>
      <c r="DO541" s="747"/>
      <c r="DP541" s="394"/>
      <c r="DQ541" s="747"/>
      <c r="DR541" s="747"/>
      <c r="DS541" s="394"/>
      <c r="DT541" s="747"/>
      <c r="DU541" s="553"/>
      <c r="DV541" s="874"/>
      <c r="DW541" s="874"/>
      <c r="DX541" s="394"/>
      <c r="DY541" s="747"/>
      <c r="DZ541" s="891"/>
      <c r="EA541" s="874"/>
      <c r="EB541" s="874"/>
      <c r="EC541" s="874"/>
      <c r="ED541" s="874"/>
      <c r="EE541" s="874"/>
      <c r="EF541" s="874"/>
      <c r="EG541" s="874"/>
      <c r="EH541" s="394"/>
      <c r="EI541" s="389"/>
      <c r="EJ541" s="389"/>
      <c r="EK541" s="389"/>
      <c r="EL541" s="91" t="str">
        <f t="shared" si="126"/>
        <v>No se reportó avance</v>
      </c>
      <c r="EM541" s="83" t="str">
        <f t="shared" si="127"/>
        <v>No se reportó avance</v>
      </c>
      <c r="EN541" s="389" t="s">
        <v>4670</v>
      </c>
      <c r="EO541" s="605" t="str">
        <f t="shared" si="121"/>
        <v>Gestión</v>
      </c>
      <c r="EP541" s="605" t="str">
        <f t="shared" si="122"/>
        <v>2</v>
      </c>
    </row>
    <row r="542" spans="1:146" s="605" customFormat="1" ht="409.5">
      <c r="A542" s="377" t="s">
        <v>4042</v>
      </c>
      <c r="B542" s="378" t="s">
        <v>4043</v>
      </c>
      <c r="C542" s="378" t="s">
        <v>2366</v>
      </c>
      <c r="D542" s="378" t="s">
        <v>4090</v>
      </c>
      <c r="E542" s="378" t="s">
        <v>4331</v>
      </c>
      <c r="F542" s="532" t="s">
        <v>999</v>
      </c>
      <c r="G542" s="377"/>
      <c r="H542" s="533" t="s">
        <v>4332</v>
      </c>
      <c r="I542" s="534" t="s">
        <v>4047</v>
      </c>
      <c r="J542" s="377" t="s">
        <v>729</v>
      </c>
      <c r="K542" s="558" t="s">
        <v>4304</v>
      </c>
      <c r="L542" s="382">
        <v>12</v>
      </c>
      <c r="M542" s="382" t="s">
        <v>4333</v>
      </c>
      <c r="N542" s="382" t="s">
        <v>4334</v>
      </c>
      <c r="O542" s="382" t="s">
        <v>4335</v>
      </c>
      <c r="P542" s="382" t="s">
        <v>200</v>
      </c>
      <c r="Q542" s="382" t="s">
        <v>233</v>
      </c>
      <c r="R542" s="383">
        <v>1</v>
      </c>
      <c r="S542" s="382" t="s">
        <v>252</v>
      </c>
      <c r="T542" s="436">
        <v>44927</v>
      </c>
      <c r="U542" s="436">
        <v>46387</v>
      </c>
      <c r="V542" s="383">
        <v>0.01</v>
      </c>
      <c r="W542" s="383">
        <v>0.05</v>
      </c>
      <c r="X542" s="383">
        <v>0.05</v>
      </c>
      <c r="Y542" s="383">
        <v>0.19</v>
      </c>
      <c r="Z542" s="383">
        <v>0.3</v>
      </c>
      <c r="AA542" s="383">
        <v>0.05</v>
      </c>
      <c r="AB542" s="383">
        <v>0.05</v>
      </c>
      <c r="AC542" s="383">
        <v>0.05</v>
      </c>
      <c r="AD542" s="383">
        <v>0.1</v>
      </c>
      <c r="AE542" s="383">
        <v>0.25</v>
      </c>
      <c r="AF542" s="383">
        <v>0.05</v>
      </c>
      <c r="AG542" s="383">
        <v>0.05</v>
      </c>
      <c r="AH542" s="383">
        <v>0.05</v>
      </c>
      <c r="AI542" s="383">
        <v>0.1</v>
      </c>
      <c r="AJ542" s="383">
        <v>0.25</v>
      </c>
      <c r="AK542" s="559">
        <v>0.05</v>
      </c>
      <c r="AL542" s="559">
        <v>0.05</v>
      </c>
      <c r="AM542" s="559">
        <v>0.05</v>
      </c>
      <c r="AN542" s="559">
        <v>0.05</v>
      </c>
      <c r="AO542" s="383">
        <v>0.2</v>
      </c>
      <c r="AP542" s="383">
        <v>1</v>
      </c>
      <c r="AQ542" s="546"/>
      <c r="AR542" s="546"/>
      <c r="AS542" s="546"/>
      <c r="AT542" s="546"/>
      <c r="AU542" s="546"/>
      <c r="AV542" s="546"/>
      <c r="AW542" s="546"/>
      <c r="AX542" s="546"/>
      <c r="AY542" s="172">
        <v>0.3</v>
      </c>
      <c r="AZ542" s="554" t="s">
        <v>4336</v>
      </c>
      <c r="BA542" s="172">
        <v>0.05</v>
      </c>
      <c r="BB542" s="646" t="s">
        <v>4337</v>
      </c>
      <c r="BC542" s="172">
        <v>0.05</v>
      </c>
      <c r="BD542" s="646" t="s">
        <v>4338</v>
      </c>
      <c r="BE542" s="172">
        <v>0.05</v>
      </c>
      <c r="BF542" s="646" t="s">
        <v>4339</v>
      </c>
      <c r="BG542" s="172">
        <v>0.1</v>
      </c>
      <c r="BH542" s="172" t="s">
        <v>4340</v>
      </c>
      <c r="BI542" s="563">
        <v>0.25</v>
      </c>
      <c r="BJ542" s="845" t="s">
        <v>4341</v>
      </c>
      <c r="BK542" s="563">
        <v>0.05</v>
      </c>
      <c r="BL542" s="744" t="s">
        <v>4342</v>
      </c>
      <c r="BM542" s="852">
        <v>0.05</v>
      </c>
      <c r="BN542" s="770" t="s">
        <v>4343</v>
      </c>
      <c r="BO542" s="753"/>
      <c r="BP542" s="747" t="s">
        <v>4344</v>
      </c>
      <c r="BQ542" s="546"/>
      <c r="BR542" s="546"/>
      <c r="BS542" s="753"/>
      <c r="BT542" s="546"/>
      <c r="BU542" s="546"/>
      <c r="BV542" s="546"/>
      <c r="BW542" s="546"/>
      <c r="BX542" s="546"/>
      <c r="BY542" s="546"/>
      <c r="BZ542" s="546"/>
      <c r="CA542" s="546"/>
      <c r="CB542" s="546"/>
      <c r="CC542" s="546"/>
      <c r="CD542" s="546"/>
      <c r="CE542" s="560"/>
      <c r="CF542" s="546"/>
      <c r="CG542" s="572">
        <f>SUM(DH542:DH543)</f>
        <v>0</v>
      </c>
      <c r="CH542" s="555">
        <v>0</v>
      </c>
      <c r="CI542" s="555">
        <v>0</v>
      </c>
      <c r="CJ542" s="83" t="str">
        <f t="shared" si="120"/>
        <v>No aplica</v>
      </c>
      <c r="CK542" s="83" t="str">
        <f t="shared" si="128"/>
        <v>No aplica</v>
      </c>
      <c r="CL542" s="83" t="str">
        <f t="shared" si="123"/>
        <v>No se reportó avance</v>
      </c>
      <c r="CM542" s="89" t="str">
        <f t="shared" si="124"/>
        <v>No se reportó avance</v>
      </c>
      <c r="CN542" s="89" t="str">
        <f t="shared" si="125"/>
        <v>No se reportó avance</v>
      </c>
      <c r="CO542" s="394" t="s">
        <v>2159</v>
      </c>
      <c r="CP542" s="748" t="s">
        <v>4345</v>
      </c>
      <c r="CQ542" s="658" t="s">
        <v>3147</v>
      </c>
      <c r="CR542" s="748" t="s">
        <v>4346</v>
      </c>
      <c r="CS542" s="748" t="s">
        <v>4347</v>
      </c>
      <c r="CT542" s="658" t="s">
        <v>931</v>
      </c>
      <c r="CU542" s="658" t="s">
        <v>233</v>
      </c>
      <c r="CV542" s="83" t="s">
        <v>182</v>
      </c>
      <c r="CW542" s="892" t="s">
        <v>402</v>
      </c>
      <c r="CX542" s="892">
        <v>46054</v>
      </c>
      <c r="CY542" s="395">
        <v>46387</v>
      </c>
      <c r="CZ542" s="541">
        <v>1</v>
      </c>
      <c r="DA542" s="541">
        <v>1</v>
      </c>
      <c r="DB542" s="541">
        <v>1</v>
      </c>
      <c r="DC542" s="541">
        <v>1</v>
      </c>
      <c r="DD542" s="541">
        <v>4</v>
      </c>
      <c r="DE542" s="658"/>
      <c r="DF542" s="658"/>
      <c r="DG542" s="748"/>
      <c r="DH542" s="871"/>
      <c r="DI542" s="658" t="s">
        <v>956</v>
      </c>
      <c r="DJ542" s="658" t="s">
        <v>480</v>
      </c>
      <c r="DK542" s="658" t="s">
        <v>1024</v>
      </c>
      <c r="DL542" s="658" t="s">
        <v>2708</v>
      </c>
      <c r="DM542" s="885"/>
      <c r="DN542" s="394"/>
      <c r="DO542" s="747"/>
      <c r="DP542" s="874"/>
      <c r="DQ542" s="747"/>
      <c r="DR542" s="747"/>
      <c r="DS542" s="394"/>
      <c r="DT542" s="747"/>
      <c r="DU542" s="552"/>
      <c r="DV542" s="732"/>
      <c r="DW542" s="874"/>
      <c r="DX542" s="394"/>
      <c r="DY542" s="747"/>
      <c r="DZ542" s="893"/>
      <c r="EA542" s="732"/>
      <c r="EB542" s="874"/>
      <c r="EC542" s="874"/>
      <c r="ED542" s="874"/>
      <c r="EE542" s="874"/>
      <c r="EF542" s="874"/>
      <c r="EG542" s="874"/>
      <c r="EH542" s="394"/>
      <c r="EI542" s="389"/>
      <c r="EJ542" s="389"/>
      <c r="EK542" s="389"/>
      <c r="EL542" s="91" t="str">
        <f t="shared" si="126"/>
        <v>No se reportó avance</v>
      </c>
      <c r="EM542" s="83" t="str">
        <f t="shared" si="127"/>
        <v>No se reportó avance</v>
      </c>
      <c r="EN542" s="872"/>
      <c r="EO542" s="605" t="str">
        <f t="shared" si="121"/>
        <v>Gestión</v>
      </c>
      <c r="EP542" s="605" t="str">
        <f t="shared" si="122"/>
        <v>2</v>
      </c>
    </row>
    <row r="543" spans="1:146" s="605" customFormat="1" ht="123.75">
      <c r="A543" s="390" t="s">
        <v>4042</v>
      </c>
      <c r="B543" s="398" t="s">
        <v>4043</v>
      </c>
      <c r="C543" s="398" t="s">
        <v>2366</v>
      </c>
      <c r="D543" s="398" t="s">
        <v>4090</v>
      </c>
      <c r="E543" s="398" t="s">
        <v>4331</v>
      </c>
      <c r="F543" s="542" t="s">
        <v>999</v>
      </c>
      <c r="G543" s="390"/>
      <c r="H543" s="394" t="s">
        <v>4332</v>
      </c>
      <c r="I543" s="389" t="s">
        <v>4047</v>
      </c>
      <c r="J543" s="390" t="s">
        <v>729</v>
      </c>
      <c r="K543" s="561" t="s">
        <v>4304</v>
      </c>
      <c r="L543" s="390">
        <v>12</v>
      </c>
      <c r="M543" s="390" t="s">
        <v>4333</v>
      </c>
      <c r="N543" s="390" t="s">
        <v>4334</v>
      </c>
      <c r="O543" s="390" t="s">
        <v>4335</v>
      </c>
      <c r="P543" s="390" t="s">
        <v>200</v>
      </c>
      <c r="Q543" s="390" t="s">
        <v>233</v>
      </c>
      <c r="R543" s="398">
        <v>1</v>
      </c>
      <c r="S543" s="390" t="s">
        <v>252</v>
      </c>
      <c r="T543" s="437">
        <v>44927</v>
      </c>
      <c r="U543" s="437">
        <v>46387</v>
      </c>
      <c r="V543" s="398"/>
      <c r="W543" s="398"/>
      <c r="X543" s="398"/>
      <c r="Y543" s="398"/>
      <c r="Z543" s="398"/>
      <c r="AA543" s="398"/>
      <c r="AB543" s="398"/>
      <c r="AC543" s="398"/>
      <c r="AD543" s="398"/>
      <c r="AE543" s="398"/>
      <c r="AF543" s="398"/>
      <c r="AG543" s="398"/>
      <c r="AH543" s="398"/>
      <c r="AI543" s="398"/>
      <c r="AJ543" s="398"/>
      <c r="AK543" s="395"/>
      <c r="AL543" s="395"/>
      <c r="AM543" s="395"/>
      <c r="AN543" s="395"/>
      <c r="AO543" s="398"/>
      <c r="AP543" s="398"/>
      <c r="AQ543" s="546"/>
      <c r="AR543" s="546"/>
      <c r="AS543" s="546"/>
      <c r="AT543" s="546"/>
      <c r="AU543" s="546"/>
      <c r="AV543" s="546"/>
      <c r="AW543" s="546"/>
      <c r="AX543" s="546"/>
      <c r="AY543" s="546"/>
      <c r="AZ543" s="744"/>
      <c r="BA543" s="546"/>
      <c r="BB543" s="546"/>
      <c r="BC543" s="546"/>
      <c r="BD543" s="546"/>
      <c r="BE543" s="546"/>
      <c r="BF543" s="546"/>
      <c r="BG543" s="546"/>
      <c r="BH543" s="546"/>
      <c r="BI543" s="546"/>
      <c r="BJ543" s="546"/>
      <c r="BK543" s="546"/>
      <c r="BL543" s="546"/>
      <c r="BM543" s="546"/>
      <c r="BN543" s="546"/>
      <c r="BO543" s="546"/>
      <c r="BP543" s="546"/>
      <c r="BQ543" s="546"/>
      <c r="BR543" s="546"/>
      <c r="BS543" s="546"/>
      <c r="BT543" s="546"/>
      <c r="BU543" s="546"/>
      <c r="BV543" s="546"/>
      <c r="BW543" s="546"/>
      <c r="BX543" s="546"/>
      <c r="BY543" s="546"/>
      <c r="BZ543" s="546"/>
      <c r="CA543" s="546"/>
      <c r="CB543" s="546"/>
      <c r="CC543" s="546"/>
      <c r="CD543" s="546"/>
      <c r="CE543" s="546"/>
      <c r="CF543" s="546"/>
      <c r="CG543" s="547"/>
      <c r="CH543" s="548"/>
      <c r="CI543" s="548"/>
      <c r="CJ543" s="83" t="str">
        <f t="shared" ref="CJ543:CJ544" si="129">+IFERROR(CH543/CG543,"No aplica")</f>
        <v>No aplica</v>
      </c>
      <c r="CK543" s="83" t="str">
        <f t="shared" si="128"/>
        <v>No aplica</v>
      </c>
      <c r="CL543" s="83" t="str">
        <f t="shared" si="123"/>
        <v>No requiere reporte</v>
      </c>
      <c r="CM543" s="89" t="str">
        <f t="shared" si="124"/>
        <v>No requiere reporte</v>
      </c>
      <c r="CN543" s="89" t="str">
        <f t="shared" si="125"/>
        <v>No requiere reporte</v>
      </c>
      <c r="CO543" s="394" t="s">
        <v>2165</v>
      </c>
      <c r="CP543" s="748" t="s">
        <v>4348</v>
      </c>
      <c r="CQ543" s="658" t="s">
        <v>3147</v>
      </c>
      <c r="CR543" s="748" t="s">
        <v>4349</v>
      </c>
      <c r="CS543" s="748" t="s">
        <v>4350</v>
      </c>
      <c r="CT543" s="658" t="s">
        <v>931</v>
      </c>
      <c r="CU543" s="658" t="s">
        <v>233</v>
      </c>
      <c r="CV543" s="83" t="s">
        <v>182</v>
      </c>
      <c r="CW543" s="658" t="s">
        <v>402</v>
      </c>
      <c r="CX543" s="395">
        <v>46054</v>
      </c>
      <c r="CY543" s="395">
        <v>46387</v>
      </c>
      <c r="CZ543" s="541">
        <v>1</v>
      </c>
      <c r="DA543" s="541">
        <v>1</v>
      </c>
      <c r="DB543" s="541">
        <v>1</v>
      </c>
      <c r="DC543" s="541">
        <v>1</v>
      </c>
      <c r="DD543" s="541">
        <v>4</v>
      </c>
      <c r="DE543" s="658"/>
      <c r="DF543" s="658"/>
      <c r="DG543" s="748"/>
      <c r="DH543" s="871"/>
      <c r="DI543" s="658" t="s">
        <v>956</v>
      </c>
      <c r="DJ543" s="658" t="s">
        <v>480</v>
      </c>
      <c r="DK543" s="658" t="s">
        <v>1024</v>
      </c>
      <c r="DL543" s="658" t="s">
        <v>2708</v>
      </c>
      <c r="DM543" s="394"/>
      <c r="DN543" s="394"/>
      <c r="DO543" s="747"/>
      <c r="DP543" s="394"/>
      <c r="DQ543" s="747"/>
      <c r="DR543" s="747"/>
      <c r="DS543" s="394"/>
      <c r="DT543" s="747"/>
      <c r="DU543" s="552"/>
      <c r="DV543" s="874"/>
      <c r="DW543" s="874"/>
      <c r="DX543" s="394"/>
      <c r="DY543" s="747"/>
      <c r="DZ543" s="893"/>
      <c r="EA543" s="874"/>
      <c r="EB543" s="874"/>
      <c r="EC543" s="874"/>
      <c r="ED543" s="874"/>
      <c r="EE543" s="874"/>
      <c r="EF543" s="874"/>
      <c r="EG543" s="874"/>
      <c r="EH543" s="394"/>
      <c r="EI543" s="389"/>
      <c r="EJ543" s="389"/>
      <c r="EK543" s="389"/>
      <c r="EL543" s="91" t="str">
        <f t="shared" si="126"/>
        <v>No se reportó avance</v>
      </c>
      <c r="EM543" s="83" t="str">
        <f t="shared" si="127"/>
        <v>No se reportó avance</v>
      </c>
      <c r="EN543" s="872"/>
      <c r="EO543" s="605" t="str">
        <f t="shared" si="121"/>
        <v>Gestión</v>
      </c>
      <c r="EP543" s="605" t="str">
        <f t="shared" si="122"/>
        <v>2</v>
      </c>
    </row>
    <row r="544" spans="1:146" s="605" customFormat="1" ht="409.6" thickBot="1">
      <c r="A544" s="377" t="s">
        <v>4042</v>
      </c>
      <c r="B544" s="378" t="s">
        <v>4043</v>
      </c>
      <c r="C544" s="378" t="s">
        <v>2366</v>
      </c>
      <c r="D544" s="378" t="s">
        <v>4090</v>
      </c>
      <c r="E544" s="378" t="s">
        <v>4351</v>
      </c>
      <c r="F544" s="532" t="s">
        <v>999</v>
      </c>
      <c r="G544" s="377"/>
      <c r="H544" s="533" t="s">
        <v>4352</v>
      </c>
      <c r="I544" s="534" t="s">
        <v>4047</v>
      </c>
      <c r="J544" s="377" t="s">
        <v>729</v>
      </c>
      <c r="K544" s="558" t="s">
        <v>4304</v>
      </c>
      <c r="L544" s="382">
        <v>13</v>
      </c>
      <c r="M544" s="382" t="s">
        <v>4353</v>
      </c>
      <c r="N544" s="382" t="s">
        <v>4354</v>
      </c>
      <c r="O544" s="382" t="s">
        <v>4355</v>
      </c>
      <c r="P544" s="382" t="s">
        <v>200</v>
      </c>
      <c r="Q544" s="382" t="s">
        <v>162</v>
      </c>
      <c r="R544" s="383" t="s">
        <v>182</v>
      </c>
      <c r="S544" s="382" t="s">
        <v>252</v>
      </c>
      <c r="T544" s="436">
        <v>45292</v>
      </c>
      <c r="U544" s="436">
        <v>46387</v>
      </c>
      <c r="V544" s="383"/>
      <c r="W544" s="383"/>
      <c r="X544" s="383"/>
      <c r="Y544" s="383"/>
      <c r="Z544" s="383"/>
      <c r="AA544" s="383">
        <v>1</v>
      </c>
      <c r="AB544" s="383">
        <v>1</v>
      </c>
      <c r="AC544" s="383">
        <v>1</v>
      </c>
      <c r="AD544" s="383">
        <v>1</v>
      </c>
      <c r="AE544" s="383">
        <v>1</v>
      </c>
      <c r="AF544" s="383">
        <v>1</v>
      </c>
      <c r="AG544" s="383">
        <v>1</v>
      </c>
      <c r="AH544" s="383">
        <v>1</v>
      </c>
      <c r="AI544" s="383">
        <v>1</v>
      </c>
      <c r="AJ544" s="383">
        <v>1</v>
      </c>
      <c r="AK544" s="559">
        <v>1</v>
      </c>
      <c r="AL544" s="559">
        <v>1</v>
      </c>
      <c r="AM544" s="559">
        <v>1</v>
      </c>
      <c r="AN544" s="559">
        <v>1</v>
      </c>
      <c r="AO544" s="383">
        <v>1</v>
      </c>
      <c r="AP544" s="383">
        <v>1</v>
      </c>
      <c r="AQ544" s="546"/>
      <c r="AR544" s="546"/>
      <c r="AS544" s="546"/>
      <c r="AT544" s="546"/>
      <c r="AU544" s="546"/>
      <c r="AV544" s="546"/>
      <c r="AW544" s="546"/>
      <c r="AX544" s="546"/>
      <c r="AY544" s="172" t="s">
        <v>182</v>
      </c>
      <c r="AZ544" s="554" t="s">
        <v>154</v>
      </c>
      <c r="BA544" s="172">
        <v>0</v>
      </c>
      <c r="BB544" s="646" t="s">
        <v>4356</v>
      </c>
      <c r="BC544" s="172">
        <v>0.37</v>
      </c>
      <c r="BD544" s="646" t="s">
        <v>4357</v>
      </c>
      <c r="BE544" s="172">
        <f>(0.8181+0.8181+0.1515+0+0+1)/5</f>
        <v>0.55754000000000004</v>
      </c>
      <c r="BF544" s="646" t="s">
        <v>4358</v>
      </c>
      <c r="BG544" s="172">
        <v>0.75</v>
      </c>
      <c r="BH544" s="172" t="s">
        <v>4359</v>
      </c>
      <c r="BI544" s="563">
        <v>0.78</v>
      </c>
      <c r="BJ544" s="845" t="s">
        <v>4360</v>
      </c>
      <c r="BK544" s="563">
        <v>1</v>
      </c>
      <c r="BL544" s="744" t="s">
        <v>4361</v>
      </c>
      <c r="BM544" s="852">
        <f>3/3</f>
        <v>1</v>
      </c>
      <c r="BN544" s="770" t="s">
        <v>4362</v>
      </c>
      <c r="BO544" s="753">
        <v>0</v>
      </c>
      <c r="BP544" s="747" t="s">
        <v>4344</v>
      </c>
      <c r="BQ544" s="546"/>
      <c r="BR544" s="546"/>
      <c r="BS544" s="560">
        <v>1</v>
      </c>
      <c r="BT544" s="546"/>
      <c r="BU544" s="546"/>
      <c r="BV544" s="546"/>
      <c r="BW544" s="546"/>
      <c r="BX544" s="546"/>
      <c r="BY544" s="546"/>
      <c r="BZ544" s="546"/>
      <c r="CA544" s="546"/>
      <c r="CB544" s="546"/>
      <c r="CC544" s="546"/>
      <c r="CD544" s="546"/>
      <c r="CE544" s="413">
        <v>1</v>
      </c>
      <c r="CF544" s="546"/>
      <c r="CG544" s="539">
        <f>SUM(DH544:DH544)</f>
        <v>252288000</v>
      </c>
      <c r="CH544" s="555">
        <v>0</v>
      </c>
      <c r="CI544" s="555">
        <v>0</v>
      </c>
      <c r="CJ544" s="83">
        <f t="shared" si="129"/>
        <v>0</v>
      </c>
      <c r="CK544" s="83">
        <f t="shared" si="128"/>
        <v>0</v>
      </c>
      <c r="CL544" s="83" t="str">
        <f t="shared" si="123"/>
        <v>No se reportó avance</v>
      </c>
      <c r="CM544" s="89" t="str">
        <f t="shared" si="124"/>
        <v>No se reportó avance</v>
      </c>
      <c r="CN544" s="89">
        <f t="shared" si="125"/>
        <v>1</v>
      </c>
      <c r="CO544" s="394" t="s">
        <v>2199</v>
      </c>
      <c r="CP544" s="748" t="s">
        <v>4363</v>
      </c>
      <c r="CQ544" s="658" t="s">
        <v>3147</v>
      </c>
      <c r="CR544" s="748" t="s">
        <v>4364</v>
      </c>
      <c r="CS544" s="748" t="s">
        <v>4365</v>
      </c>
      <c r="CT544" s="658" t="s">
        <v>161</v>
      </c>
      <c r="CU544" s="658" t="s">
        <v>233</v>
      </c>
      <c r="CV544" s="658">
        <v>96</v>
      </c>
      <c r="CW544" s="658" t="s">
        <v>402</v>
      </c>
      <c r="CX544" s="395">
        <v>46054</v>
      </c>
      <c r="CY544" s="395">
        <v>46387</v>
      </c>
      <c r="CZ544" s="541">
        <v>1</v>
      </c>
      <c r="DA544" s="541">
        <v>1</v>
      </c>
      <c r="DB544" s="541">
        <v>1</v>
      </c>
      <c r="DC544" s="541">
        <v>1</v>
      </c>
      <c r="DD544" s="541">
        <v>4</v>
      </c>
      <c r="DE544" s="658" t="s">
        <v>3071</v>
      </c>
      <c r="DF544" s="658" t="s">
        <v>4109</v>
      </c>
      <c r="DG544" s="748" t="s">
        <v>4256</v>
      </c>
      <c r="DH544" s="871">
        <v>252288000</v>
      </c>
      <c r="DI544" s="658" t="s">
        <v>956</v>
      </c>
      <c r="DJ544" s="658" t="s">
        <v>480</v>
      </c>
      <c r="DK544" s="658" t="s">
        <v>1024</v>
      </c>
      <c r="DL544" s="658" t="s">
        <v>2708</v>
      </c>
      <c r="DM544" s="394"/>
      <c r="DN544" s="394"/>
      <c r="DO544" s="747"/>
      <c r="DP544" s="874"/>
      <c r="DQ544" s="747"/>
      <c r="DR544" s="747"/>
      <c r="DS544" s="394"/>
      <c r="DT544" s="747"/>
      <c r="DU544" s="553"/>
      <c r="DV544" s="874"/>
      <c r="DW544" s="874"/>
      <c r="DX544" s="394"/>
      <c r="DY544" s="747"/>
      <c r="DZ544" s="553"/>
      <c r="EA544" s="874"/>
      <c r="EB544" s="874"/>
      <c r="EC544" s="874"/>
      <c r="ED544" s="874"/>
      <c r="EE544" s="874"/>
      <c r="EF544" s="874"/>
      <c r="EG544" s="874"/>
      <c r="EH544" s="394"/>
      <c r="EI544" s="389"/>
      <c r="EJ544" s="389"/>
      <c r="EK544" s="389"/>
      <c r="EL544" s="91" t="str">
        <f t="shared" si="126"/>
        <v>No se reportó avance</v>
      </c>
      <c r="EM544" s="83" t="str">
        <f t="shared" si="127"/>
        <v>No se reportó avance</v>
      </c>
      <c r="EN544" s="872"/>
      <c r="EO544" s="605" t="str">
        <f t="shared" si="121"/>
        <v>Gestión</v>
      </c>
      <c r="EP544" s="605" t="str">
        <f t="shared" si="122"/>
        <v>2</v>
      </c>
    </row>
    <row r="545" spans="1:146" ht="80.099999999999994" customHeight="1" thickBot="1">
      <c r="A545" s="377" t="s">
        <v>4366</v>
      </c>
      <c r="B545" s="378" t="s">
        <v>4367</v>
      </c>
      <c r="C545" s="378" t="s">
        <v>4368</v>
      </c>
      <c r="D545" s="378" t="s">
        <v>4369</v>
      </c>
      <c r="E545" s="378" t="s">
        <v>4370</v>
      </c>
      <c r="F545" s="377" t="s">
        <v>4371</v>
      </c>
      <c r="G545" s="533"/>
      <c r="H545" s="533"/>
      <c r="I545" s="377" t="s">
        <v>3054</v>
      </c>
      <c r="J545" s="377" t="s">
        <v>4372</v>
      </c>
      <c r="K545" s="377" t="s">
        <v>4373</v>
      </c>
      <c r="L545" s="382">
        <v>1</v>
      </c>
      <c r="M545" s="382" t="s">
        <v>4374</v>
      </c>
      <c r="N545" s="382" t="s">
        <v>4375</v>
      </c>
      <c r="O545" s="382" t="s">
        <v>4376</v>
      </c>
      <c r="P545" s="382" t="s">
        <v>161</v>
      </c>
      <c r="Q545" s="382" t="s">
        <v>275</v>
      </c>
      <c r="R545" s="382" t="s">
        <v>182</v>
      </c>
      <c r="S545" s="382" t="s">
        <v>163</v>
      </c>
      <c r="T545" s="436">
        <v>44927</v>
      </c>
      <c r="U545" s="436">
        <v>46387</v>
      </c>
      <c r="V545" s="451">
        <v>0</v>
      </c>
      <c r="W545" s="451">
        <v>0.125</v>
      </c>
      <c r="X545" s="451">
        <v>0.1875</v>
      </c>
      <c r="Y545" s="451">
        <v>0.25</v>
      </c>
      <c r="Z545" s="451">
        <v>0.25</v>
      </c>
      <c r="AA545" s="451">
        <v>0.3125</v>
      </c>
      <c r="AB545" s="451">
        <v>0.375</v>
      </c>
      <c r="AC545" s="451">
        <v>0.4375</v>
      </c>
      <c r="AD545" s="451">
        <v>0.5</v>
      </c>
      <c r="AE545" s="451">
        <v>0.5</v>
      </c>
      <c r="AF545" s="451">
        <v>0.5625</v>
      </c>
      <c r="AG545" s="451">
        <v>0.625</v>
      </c>
      <c r="AH545" s="451">
        <v>0.6875</v>
      </c>
      <c r="AI545" s="451">
        <v>0.75</v>
      </c>
      <c r="AJ545" s="451">
        <v>0.75</v>
      </c>
      <c r="AK545" s="562">
        <v>0.8125</v>
      </c>
      <c r="AL545" s="562">
        <v>0.875</v>
      </c>
      <c r="AM545" s="562">
        <v>0.9375</v>
      </c>
      <c r="AN545" s="562">
        <v>1</v>
      </c>
      <c r="AO545" s="562">
        <v>1</v>
      </c>
      <c r="AP545" s="562">
        <v>1</v>
      </c>
      <c r="AQ545" s="845"/>
      <c r="AR545" s="845"/>
      <c r="AS545" s="845"/>
      <c r="AT545" s="845"/>
      <c r="AU545" s="845"/>
      <c r="AV545" s="845"/>
      <c r="AW545" s="845"/>
      <c r="AX545" s="845"/>
      <c r="AY545" s="563">
        <v>0.25</v>
      </c>
      <c r="AZ545" s="744" t="s">
        <v>4377</v>
      </c>
      <c r="BA545" s="449">
        <v>0.25</v>
      </c>
      <c r="BB545" s="744" t="s">
        <v>4378</v>
      </c>
      <c r="BC545" s="449">
        <v>0.5</v>
      </c>
      <c r="BD545" s="744" t="s">
        <v>4379</v>
      </c>
      <c r="BE545" s="449">
        <v>0.65625</v>
      </c>
      <c r="BF545" s="744" t="s">
        <v>4380</v>
      </c>
      <c r="BG545" s="563">
        <v>1</v>
      </c>
      <c r="BH545" s="744" t="s">
        <v>4381</v>
      </c>
      <c r="BI545" s="563">
        <v>0.5</v>
      </c>
      <c r="BJ545" s="744" t="s">
        <v>4382</v>
      </c>
      <c r="BK545" s="573">
        <v>6.25E-2</v>
      </c>
      <c r="BL545" s="744" t="s">
        <v>4383</v>
      </c>
      <c r="BM545" s="573">
        <v>6.25E-2</v>
      </c>
      <c r="BN545" s="744" t="s">
        <v>4384</v>
      </c>
      <c r="BO545" s="632">
        <v>6.25E-2</v>
      </c>
      <c r="BP545" s="745" t="s">
        <v>4385</v>
      </c>
      <c r="BQ545" s="563"/>
      <c r="BR545" s="845"/>
      <c r="BS545" s="560">
        <f>+BK545+BM545+BO545</f>
        <v>0.1875</v>
      </c>
      <c r="BT545" s="845"/>
      <c r="BU545" s="845"/>
      <c r="BV545" s="845"/>
      <c r="BW545" s="845"/>
      <c r="BX545" s="845"/>
      <c r="BY545" s="845"/>
      <c r="BZ545" s="845"/>
      <c r="CA545" s="845"/>
      <c r="CB545" s="845"/>
      <c r="CC545" s="845"/>
      <c r="CD545" s="845"/>
      <c r="CE545" s="753">
        <f>+BI545+BS545</f>
        <v>0.6875</v>
      </c>
      <c r="CF545" s="852"/>
      <c r="CG545" s="392">
        <f>+DH545+DH546+DH547</f>
        <v>6150901143</v>
      </c>
      <c r="CH545" s="574"/>
      <c r="CI545" s="574"/>
      <c r="CJ545" s="83">
        <f t="shared" ref="CJ545:CJ569" si="130">+IFERROR(CH545/CG545,"No aplica")</f>
        <v>0</v>
      </c>
      <c r="CK545" s="83">
        <f t="shared" ref="CK545:CK569" si="131">+IFERROR(CI545/CG545,"No aplica")</f>
        <v>0</v>
      </c>
      <c r="CL545" s="83" t="str">
        <f t="shared" si="123"/>
        <v>No se reportó avance</v>
      </c>
      <c r="CM545" s="89" t="str">
        <f t="shared" si="124"/>
        <v>No se reportó avance</v>
      </c>
      <c r="CN545" s="89">
        <f t="shared" si="125"/>
        <v>0.6875</v>
      </c>
      <c r="CO545" s="394" t="s">
        <v>177</v>
      </c>
      <c r="CP545" s="757" t="s">
        <v>4386</v>
      </c>
      <c r="CQ545" s="894" t="s">
        <v>4387</v>
      </c>
      <c r="CR545" s="757" t="s">
        <v>4388</v>
      </c>
      <c r="CS545" s="757" t="s">
        <v>4389</v>
      </c>
      <c r="CT545" s="394" t="s">
        <v>200</v>
      </c>
      <c r="CU545" s="394" t="s">
        <v>233</v>
      </c>
      <c r="CV545" s="291">
        <v>0</v>
      </c>
      <c r="CW545" s="394" t="s">
        <v>163</v>
      </c>
      <c r="CX545" s="395">
        <v>46023</v>
      </c>
      <c r="CY545" s="395">
        <v>46203</v>
      </c>
      <c r="CZ545" s="413">
        <v>0.5</v>
      </c>
      <c r="DA545" s="413">
        <v>0.5</v>
      </c>
      <c r="DB545" s="413">
        <v>0</v>
      </c>
      <c r="DC545" s="413">
        <v>0</v>
      </c>
      <c r="DD545" s="146">
        <v>1</v>
      </c>
      <c r="DE545" s="394" t="s">
        <v>514</v>
      </c>
      <c r="DF545" s="394" t="s">
        <v>4390</v>
      </c>
      <c r="DG545" s="394" t="s">
        <v>4391</v>
      </c>
      <c r="DH545" s="895">
        <v>1566040220</v>
      </c>
      <c r="DI545" s="394" t="s">
        <v>1022</v>
      </c>
      <c r="DJ545" s="394" t="s">
        <v>480</v>
      </c>
      <c r="DK545" s="658" t="s">
        <v>1024</v>
      </c>
      <c r="DL545" s="394" t="s">
        <v>279</v>
      </c>
      <c r="DM545" s="394"/>
      <c r="DN545" s="753"/>
      <c r="DO545" s="745"/>
      <c r="DP545" s="751"/>
      <c r="DQ545" s="751"/>
      <c r="DR545" s="751"/>
      <c r="DS545" s="896"/>
      <c r="DT545" s="745"/>
      <c r="DU545" s="751"/>
      <c r="DV545" s="751"/>
      <c r="DW545" s="751"/>
      <c r="DX545" s="896"/>
      <c r="DY545" s="745"/>
      <c r="DZ545" s="751"/>
      <c r="EA545" s="751"/>
      <c r="EB545" s="751"/>
      <c r="EC545" s="845"/>
      <c r="ED545" s="845"/>
      <c r="EE545" s="845"/>
      <c r="EF545" s="845"/>
      <c r="EG545" s="845"/>
      <c r="EH545" s="753"/>
      <c r="EI545" s="751"/>
      <c r="EJ545" s="751"/>
      <c r="EK545" s="755"/>
      <c r="EL545" s="91" t="str">
        <f t="shared" si="126"/>
        <v>No se reportó avance</v>
      </c>
      <c r="EM545" s="83" t="str">
        <f t="shared" si="127"/>
        <v>No se reportó avance</v>
      </c>
      <c r="EN545" s="756"/>
      <c r="EO545" t="str">
        <f t="shared" ref="EO545:EO569" si="132">+IF(OR(P545="Producto",P545="Resultado",P545="Impacto"),"Producto",P545)</f>
        <v>Producto</v>
      </c>
      <c r="EP545" t="str">
        <f t="shared" ref="EP545:EP569" si="133">+MID(J545,1,1)</f>
        <v>5</v>
      </c>
    </row>
    <row r="546" spans="1:146" ht="80.099999999999994" customHeight="1" thickBot="1">
      <c r="A546" s="390" t="s">
        <v>4366</v>
      </c>
      <c r="B546" s="398" t="s">
        <v>4367</v>
      </c>
      <c r="C546" s="398" t="s">
        <v>4368</v>
      </c>
      <c r="D546" s="398" t="s">
        <v>4369</v>
      </c>
      <c r="E546" s="398" t="s">
        <v>4370</v>
      </c>
      <c r="F546" s="390" t="s">
        <v>4371</v>
      </c>
      <c r="G546" s="575"/>
      <c r="H546" s="575"/>
      <c r="I546" s="390" t="s">
        <v>3054</v>
      </c>
      <c r="J546" s="390" t="s">
        <v>4372</v>
      </c>
      <c r="K546" s="390"/>
      <c r="L546" s="402">
        <v>1</v>
      </c>
      <c r="M546" s="390" t="s">
        <v>4374</v>
      </c>
      <c r="N546" s="390" t="s">
        <v>4375</v>
      </c>
      <c r="O546" s="390" t="s">
        <v>4376</v>
      </c>
      <c r="P546" s="390" t="s">
        <v>161</v>
      </c>
      <c r="Q546" s="390" t="s">
        <v>275</v>
      </c>
      <c r="R546" s="390" t="s">
        <v>182</v>
      </c>
      <c r="S546" s="390" t="s">
        <v>163</v>
      </c>
      <c r="T546" s="437">
        <v>44927</v>
      </c>
      <c r="U546" s="437">
        <v>46387</v>
      </c>
      <c r="V546" s="576"/>
      <c r="W546" s="576"/>
      <c r="X546" s="576"/>
      <c r="Y546" s="576"/>
      <c r="Z546" s="172"/>
      <c r="AA546" s="446"/>
      <c r="AB546" s="446"/>
      <c r="AC546" s="446"/>
      <c r="AD546" s="446"/>
      <c r="AE546" s="172"/>
      <c r="AF546" s="577"/>
      <c r="AG546" s="577"/>
      <c r="AH546" s="577"/>
      <c r="AI546" s="578"/>
      <c r="AJ546" s="172"/>
      <c r="AK546" s="579"/>
      <c r="AL546" s="579"/>
      <c r="AM546" s="579"/>
      <c r="AN546" s="579"/>
      <c r="AO546" s="413"/>
      <c r="AP546" s="413"/>
      <c r="AQ546" s="546"/>
      <c r="AR546" s="546"/>
      <c r="AS546" s="546"/>
      <c r="AT546" s="546"/>
      <c r="AU546" s="546"/>
      <c r="AV546" s="546"/>
      <c r="AW546" s="546"/>
      <c r="AX546" s="546"/>
      <c r="AY546" s="546"/>
      <c r="AZ546" s="546"/>
      <c r="BA546" s="546"/>
      <c r="BB546" s="546"/>
      <c r="BC546" s="546"/>
      <c r="BD546" s="546"/>
      <c r="BE546" s="546"/>
      <c r="BF546" s="546"/>
      <c r="BG546" s="546"/>
      <c r="BH546" s="546"/>
      <c r="BI546" s="546"/>
      <c r="BJ546" s="546"/>
      <c r="BK546" s="546"/>
      <c r="BL546" s="546"/>
      <c r="BM546" s="546"/>
      <c r="BN546" s="546"/>
      <c r="BO546" s="546"/>
      <c r="BP546" s="546"/>
      <c r="BQ546" s="546"/>
      <c r="BR546" s="546"/>
      <c r="BS546" s="546"/>
      <c r="BT546" s="546"/>
      <c r="BU546" s="546"/>
      <c r="BV546" s="546"/>
      <c r="BW546" s="546"/>
      <c r="BX546" s="546"/>
      <c r="BY546" s="546"/>
      <c r="BZ546" s="546"/>
      <c r="CA546" s="546"/>
      <c r="CB546" s="546"/>
      <c r="CC546" s="546"/>
      <c r="CD546" s="546"/>
      <c r="CE546" s="546"/>
      <c r="CF546" s="546"/>
      <c r="CG546" s="547"/>
      <c r="CH546" s="633"/>
      <c r="CI546" s="546"/>
      <c r="CJ546" s="83" t="str">
        <f t="shared" si="130"/>
        <v>No aplica</v>
      </c>
      <c r="CK546" s="83" t="str">
        <f t="shared" si="131"/>
        <v>No aplica</v>
      </c>
      <c r="CL546" s="83" t="str">
        <f t="shared" si="123"/>
        <v>No requiere reporte</v>
      </c>
      <c r="CM546" s="89" t="str">
        <f t="shared" si="124"/>
        <v>No requiere reporte</v>
      </c>
      <c r="CN546" s="89" t="str">
        <f t="shared" si="125"/>
        <v>No requiere reporte</v>
      </c>
      <c r="CO546" s="394" t="s">
        <v>185</v>
      </c>
      <c r="CP546" s="757" t="s">
        <v>4392</v>
      </c>
      <c r="CQ546" s="757" t="s">
        <v>4393</v>
      </c>
      <c r="CR546" s="757" t="s">
        <v>4394</v>
      </c>
      <c r="CS546" s="757" t="s">
        <v>4395</v>
      </c>
      <c r="CT546" s="394" t="s">
        <v>200</v>
      </c>
      <c r="CU546" s="394" t="s">
        <v>233</v>
      </c>
      <c r="CV546" s="291">
        <v>0</v>
      </c>
      <c r="CW546" s="394" t="s">
        <v>163</v>
      </c>
      <c r="CX546" s="395">
        <v>46023</v>
      </c>
      <c r="CY546" s="395">
        <v>46203</v>
      </c>
      <c r="CZ546" s="413">
        <v>0.5</v>
      </c>
      <c r="DA546" s="413">
        <v>0.5</v>
      </c>
      <c r="DB546" s="413">
        <v>0</v>
      </c>
      <c r="DC546" s="413">
        <v>0</v>
      </c>
      <c r="DD546" s="146">
        <v>1</v>
      </c>
      <c r="DE546" s="394" t="s">
        <v>514</v>
      </c>
      <c r="DF546" s="394" t="s">
        <v>4390</v>
      </c>
      <c r="DG546" s="394" t="s">
        <v>4391</v>
      </c>
      <c r="DH546" s="895">
        <v>871505279</v>
      </c>
      <c r="DI546" s="394" t="s">
        <v>1022</v>
      </c>
      <c r="DJ546" s="394" t="s">
        <v>480</v>
      </c>
      <c r="DK546" s="658" t="s">
        <v>1024</v>
      </c>
      <c r="DL546" s="394" t="s">
        <v>279</v>
      </c>
      <c r="DM546" s="394"/>
      <c r="DN546" s="753"/>
      <c r="DO546" s="745"/>
      <c r="DP546" s="751"/>
      <c r="DQ546" s="751"/>
      <c r="DR546" s="751"/>
      <c r="DS546" s="753"/>
      <c r="DT546" s="745"/>
      <c r="DU546" s="751"/>
      <c r="DV546" s="751"/>
      <c r="DW546" s="751"/>
      <c r="DX546" s="896"/>
      <c r="DY546" s="745"/>
      <c r="DZ546" s="751"/>
      <c r="EA546" s="751"/>
      <c r="EB546" s="751"/>
      <c r="EC546" s="546"/>
      <c r="ED546" s="546"/>
      <c r="EE546" s="546"/>
      <c r="EF546" s="546"/>
      <c r="EG546" s="546"/>
      <c r="EH546" s="753"/>
      <c r="EI546" s="754"/>
      <c r="EJ546" s="754"/>
      <c r="EK546" s="755"/>
      <c r="EL546" s="91" t="str">
        <f t="shared" si="126"/>
        <v>No se reportó avance</v>
      </c>
      <c r="EM546" s="83" t="str">
        <f t="shared" si="127"/>
        <v>No se reportó avance</v>
      </c>
      <c r="EN546" s="756"/>
      <c r="EO546" t="str">
        <f t="shared" si="132"/>
        <v>Producto</v>
      </c>
      <c r="EP546" t="str">
        <f t="shared" si="133"/>
        <v>5</v>
      </c>
    </row>
    <row r="547" spans="1:146" ht="80.099999999999994" customHeight="1" thickBot="1">
      <c r="A547" s="390" t="s">
        <v>4366</v>
      </c>
      <c r="B547" s="398" t="s">
        <v>4367</v>
      </c>
      <c r="C547" s="398" t="s">
        <v>4368</v>
      </c>
      <c r="D547" s="398" t="s">
        <v>4369</v>
      </c>
      <c r="E547" s="398" t="s">
        <v>4370</v>
      </c>
      <c r="F547" s="390" t="s">
        <v>4371</v>
      </c>
      <c r="G547" s="575"/>
      <c r="H547" s="575"/>
      <c r="I547" s="390" t="s">
        <v>3054</v>
      </c>
      <c r="J547" s="390" t="s">
        <v>4372</v>
      </c>
      <c r="K547" s="390"/>
      <c r="L547" s="402">
        <v>1</v>
      </c>
      <c r="M547" s="390" t="s">
        <v>4374</v>
      </c>
      <c r="N547" s="390" t="s">
        <v>4375</v>
      </c>
      <c r="O547" s="390" t="s">
        <v>4376</v>
      </c>
      <c r="P547" s="390" t="s">
        <v>161</v>
      </c>
      <c r="Q547" s="390" t="s">
        <v>275</v>
      </c>
      <c r="R547" s="390" t="s">
        <v>182</v>
      </c>
      <c r="S547" s="390" t="s">
        <v>163</v>
      </c>
      <c r="T547" s="437">
        <v>44927</v>
      </c>
      <c r="U547" s="437">
        <v>46387</v>
      </c>
      <c r="V547" s="576"/>
      <c r="W547" s="576"/>
      <c r="X547" s="576"/>
      <c r="Y547" s="576"/>
      <c r="Z547" s="172"/>
      <c r="AA547" s="446"/>
      <c r="AB547" s="446"/>
      <c r="AC547" s="446"/>
      <c r="AD547" s="446"/>
      <c r="AE547" s="172"/>
      <c r="AF547" s="578"/>
      <c r="AG547" s="578"/>
      <c r="AH547" s="578"/>
      <c r="AI547" s="578"/>
      <c r="AJ547" s="172"/>
      <c r="AK547" s="579"/>
      <c r="AL547" s="579"/>
      <c r="AM547" s="579"/>
      <c r="AN547" s="579"/>
      <c r="AO547" s="413"/>
      <c r="AP547" s="413"/>
      <c r="AQ547" s="546"/>
      <c r="AR547" s="546"/>
      <c r="AS547" s="546"/>
      <c r="AT547" s="546"/>
      <c r="AU547" s="546"/>
      <c r="AV547" s="546"/>
      <c r="AW547" s="546"/>
      <c r="AX547" s="546"/>
      <c r="AY547" s="546"/>
      <c r="AZ547" s="546"/>
      <c r="BA547" s="546"/>
      <c r="BB547" s="546"/>
      <c r="BC547" s="546"/>
      <c r="BD547" s="546"/>
      <c r="BE547" s="546"/>
      <c r="BF547" s="546"/>
      <c r="BG547" s="546"/>
      <c r="BH547" s="546"/>
      <c r="BI547" s="546"/>
      <c r="BJ547" s="546"/>
      <c r="BK547" s="546"/>
      <c r="BL547" s="546"/>
      <c r="BM547" s="546"/>
      <c r="BN547" s="546"/>
      <c r="BO547" s="546"/>
      <c r="BP547" s="546"/>
      <c r="BQ547" s="546"/>
      <c r="BR547" s="546"/>
      <c r="BS547" s="546"/>
      <c r="BT547" s="546"/>
      <c r="BU547" s="546"/>
      <c r="BV547" s="546"/>
      <c r="BW547" s="546"/>
      <c r="BX547" s="546"/>
      <c r="BY547" s="546"/>
      <c r="BZ547" s="546"/>
      <c r="CA547" s="546"/>
      <c r="CB547" s="546"/>
      <c r="CC547" s="546"/>
      <c r="CD547" s="546"/>
      <c r="CE547" s="546"/>
      <c r="CF547" s="546"/>
      <c r="CG547" s="547"/>
      <c r="CH547" s="633"/>
      <c r="CI547" s="546"/>
      <c r="CJ547" s="83" t="str">
        <f t="shared" si="130"/>
        <v>No aplica</v>
      </c>
      <c r="CK547" s="83" t="str">
        <f t="shared" si="131"/>
        <v>No aplica</v>
      </c>
      <c r="CL547" s="83" t="str">
        <f t="shared" si="123"/>
        <v>No requiere reporte</v>
      </c>
      <c r="CM547" s="89" t="str">
        <f t="shared" si="124"/>
        <v>No requiere reporte</v>
      </c>
      <c r="CN547" s="89" t="str">
        <f t="shared" si="125"/>
        <v>No requiere reporte</v>
      </c>
      <c r="CO547" s="394" t="s">
        <v>190</v>
      </c>
      <c r="CP547" s="757" t="s">
        <v>4396</v>
      </c>
      <c r="CQ547" s="757" t="s">
        <v>4397</v>
      </c>
      <c r="CR547" s="757" t="s">
        <v>4398</v>
      </c>
      <c r="CS547" s="757" t="s">
        <v>4399</v>
      </c>
      <c r="CT547" s="394" t="s">
        <v>200</v>
      </c>
      <c r="CU547" s="394" t="s">
        <v>233</v>
      </c>
      <c r="CV547" s="291">
        <v>0</v>
      </c>
      <c r="CW547" s="394" t="s">
        <v>163</v>
      </c>
      <c r="CX547" s="395">
        <v>46023</v>
      </c>
      <c r="CY547" s="395">
        <v>46387</v>
      </c>
      <c r="CZ547" s="413">
        <v>0.33300000000000002</v>
      </c>
      <c r="DA547" s="413">
        <v>0.33300000000000002</v>
      </c>
      <c r="DB547" s="413">
        <v>0.33300000000000002</v>
      </c>
      <c r="DC547" s="413">
        <v>0</v>
      </c>
      <c r="DD547" s="146">
        <v>1</v>
      </c>
      <c r="DE547" s="394" t="s">
        <v>514</v>
      </c>
      <c r="DF547" s="394" t="s">
        <v>4390</v>
      </c>
      <c r="DG547" s="394" t="s">
        <v>4391</v>
      </c>
      <c r="DH547" s="895">
        <v>3713355644</v>
      </c>
      <c r="DI547" s="394" t="s">
        <v>1022</v>
      </c>
      <c r="DJ547" s="394" t="s">
        <v>480</v>
      </c>
      <c r="DK547" s="658" t="s">
        <v>1024</v>
      </c>
      <c r="DL547" s="394" t="s">
        <v>279</v>
      </c>
      <c r="DM547" s="394"/>
      <c r="DN547" s="753"/>
      <c r="DO547" s="745"/>
      <c r="DP547" s="751"/>
      <c r="DQ547" s="751"/>
      <c r="DR547" s="751"/>
      <c r="DS547" s="753"/>
      <c r="DT547" s="745"/>
      <c r="DU547" s="751"/>
      <c r="DV547" s="751"/>
      <c r="DW547" s="751"/>
      <c r="DX547" s="896"/>
      <c r="DY547" s="745"/>
      <c r="DZ547" s="751"/>
      <c r="EA547" s="751"/>
      <c r="EB547" s="751"/>
      <c r="EC547" s="546"/>
      <c r="ED547" s="546"/>
      <c r="EE547" s="546"/>
      <c r="EF547" s="546"/>
      <c r="EG547" s="546"/>
      <c r="EH547" s="753"/>
      <c r="EI547" s="754"/>
      <c r="EJ547" s="754"/>
      <c r="EK547" s="755"/>
      <c r="EL547" s="91" t="str">
        <f t="shared" si="126"/>
        <v>No se reportó avance</v>
      </c>
      <c r="EM547" s="83" t="str">
        <f t="shared" si="127"/>
        <v>No se reportó avance</v>
      </c>
      <c r="EN547" s="756"/>
      <c r="EO547" t="str">
        <f t="shared" si="132"/>
        <v>Producto</v>
      </c>
      <c r="EP547" t="str">
        <f t="shared" si="133"/>
        <v>5</v>
      </c>
    </row>
    <row r="548" spans="1:146" ht="80.099999999999994" customHeight="1">
      <c r="A548" s="377" t="s">
        <v>4366</v>
      </c>
      <c r="B548" s="378" t="s">
        <v>4367</v>
      </c>
      <c r="C548" s="378" t="s">
        <v>4368</v>
      </c>
      <c r="D548" s="378" t="s">
        <v>4369</v>
      </c>
      <c r="E548" s="378" t="s">
        <v>4370</v>
      </c>
      <c r="F548" s="377" t="s">
        <v>4371</v>
      </c>
      <c r="G548" s="533"/>
      <c r="H548" s="533"/>
      <c r="I548" s="377" t="s">
        <v>3054</v>
      </c>
      <c r="J548" s="377" t="s">
        <v>4372</v>
      </c>
      <c r="K548" s="377" t="s">
        <v>4373</v>
      </c>
      <c r="L548" s="382">
        <v>2</v>
      </c>
      <c r="M548" s="382" t="s">
        <v>4400</v>
      </c>
      <c r="N548" s="382" t="s">
        <v>4401</v>
      </c>
      <c r="O548" s="382" t="s">
        <v>4402</v>
      </c>
      <c r="P548" s="382" t="s">
        <v>161</v>
      </c>
      <c r="Q548" s="382" t="s">
        <v>275</v>
      </c>
      <c r="R548" s="382" t="s">
        <v>182</v>
      </c>
      <c r="S548" s="382" t="s">
        <v>163</v>
      </c>
      <c r="T548" s="436">
        <v>44927</v>
      </c>
      <c r="U548" s="436">
        <v>46387</v>
      </c>
      <c r="V548" s="451">
        <v>0</v>
      </c>
      <c r="W548" s="451">
        <v>0.125</v>
      </c>
      <c r="X548" s="451">
        <v>0.1875</v>
      </c>
      <c r="Y548" s="451">
        <v>0.25</v>
      </c>
      <c r="Z548" s="451">
        <v>0.25</v>
      </c>
      <c r="AA548" s="451">
        <v>0.3125</v>
      </c>
      <c r="AB548" s="451">
        <v>0.375</v>
      </c>
      <c r="AC548" s="451">
        <v>0.4375</v>
      </c>
      <c r="AD548" s="451">
        <v>0.5</v>
      </c>
      <c r="AE548" s="451">
        <v>0.5</v>
      </c>
      <c r="AF548" s="451">
        <v>0.5625</v>
      </c>
      <c r="AG548" s="451">
        <v>0.625</v>
      </c>
      <c r="AH548" s="451">
        <v>0.6875</v>
      </c>
      <c r="AI548" s="451">
        <v>0.75</v>
      </c>
      <c r="AJ548" s="451">
        <v>0.75</v>
      </c>
      <c r="AK548" s="562">
        <v>0.8125</v>
      </c>
      <c r="AL548" s="562">
        <v>0.875</v>
      </c>
      <c r="AM548" s="562">
        <v>0.9375</v>
      </c>
      <c r="AN548" s="562">
        <v>1</v>
      </c>
      <c r="AO548" s="562">
        <v>1</v>
      </c>
      <c r="AP548" s="562">
        <v>1</v>
      </c>
      <c r="AQ548" s="546"/>
      <c r="AR548" s="546"/>
      <c r="AS548" s="546"/>
      <c r="AT548" s="546"/>
      <c r="AU548" s="546"/>
      <c r="AV548" s="546"/>
      <c r="AW548" s="546"/>
      <c r="AX548" s="546"/>
      <c r="AY548" s="563">
        <v>0.25</v>
      </c>
      <c r="AZ548" s="744" t="s">
        <v>4403</v>
      </c>
      <c r="BA548" s="563">
        <v>0.25</v>
      </c>
      <c r="BB548" s="744" t="s">
        <v>4404</v>
      </c>
      <c r="BC548" s="563">
        <v>0.5</v>
      </c>
      <c r="BD548" s="744" t="s">
        <v>4405</v>
      </c>
      <c r="BE548" s="563">
        <v>0.75</v>
      </c>
      <c r="BF548" s="744" t="s">
        <v>4406</v>
      </c>
      <c r="BG548" s="563">
        <v>1</v>
      </c>
      <c r="BH548" s="744" t="s">
        <v>4407</v>
      </c>
      <c r="BI548" s="563">
        <f>+(100%)*AE548</f>
        <v>0.5</v>
      </c>
      <c r="BJ548" s="744" t="s">
        <v>4408</v>
      </c>
      <c r="BK548" s="573">
        <v>6.25E-2</v>
      </c>
      <c r="BL548" s="744" t="s">
        <v>4409</v>
      </c>
      <c r="BM548" s="573">
        <v>6.25E-2</v>
      </c>
      <c r="BN548" s="744" t="s">
        <v>4410</v>
      </c>
      <c r="BO548" s="632">
        <v>6.25E-2</v>
      </c>
      <c r="BP548" s="745" t="s">
        <v>4411</v>
      </c>
      <c r="BQ548" s="546"/>
      <c r="BR548" s="546"/>
      <c r="BS548" s="560">
        <f>+BK548+BM548+BO548</f>
        <v>0.1875</v>
      </c>
      <c r="BT548" s="546"/>
      <c r="BU548" s="546"/>
      <c r="BV548" s="546"/>
      <c r="BW548" s="546"/>
      <c r="BX548" s="546"/>
      <c r="BY548" s="546"/>
      <c r="BZ548" s="546"/>
      <c r="CA548" s="546"/>
      <c r="CB548" s="546"/>
      <c r="CC548" s="546"/>
      <c r="CD548" s="546"/>
      <c r="CE548" s="746">
        <f>+BI548+BS548</f>
        <v>0.6875</v>
      </c>
      <c r="CF548" s="546"/>
      <c r="CG548" s="392">
        <f>SUM(DH548:DH552)</f>
        <v>56291517900</v>
      </c>
      <c r="CH548" s="574"/>
      <c r="CI548" s="574"/>
      <c r="CJ548" s="83">
        <f t="shared" si="130"/>
        <v>0</v>
      </c>
      <c r="CK548" s="83">
        <f t="shared" si="131"/>
        <v>0</v>
      </c>
      <c r="CL548" s="83" t="str">
        <f t="shared" si="123"/>
        <v>No se reportó avance</v>
      </c>
      <c r="CM548" s="89" t="str">
        <f t="shared" si="124"/>
        <v>No se reportó avance</v>
      </c>
      <c r="CN548" s="89">
        <f t="shared" si="125"/>
        <v>0.6875</v>
      </c>
      <c r="CO548" s="394" t="s">
        <v>225</v>
      </c>
      <c r="CP548" s="747" t="s">
        <v>4412</v>
      </c>
      <c r="CQ548" s="747" t="s">
        <v>4413</v>
      </c>
      <c r="CR548" s="747" t="s">
        <v>4414</v>
      </c>
      <c r="CS548" s="747" t="s">
        <v>4415</v>
      </c>
      <c r="CT548" s="394" t="s">
        <v>161</v>
      </c>
      <c r="CU548" s="394" t="s">
        <v>233</v>
      </c>
      <c r="CV548" s="413">
        <v>0.03</v>
      </c>
      <c r="CW548" s="394" t="s">
        <v>163</v>
      </c>
      <c r="CX548" s="395">
        <v>46023</v>
      </c>
      <c r="CY548" s="395">
        <v>46387</v>
      </c>
      <c r="CZ548" s="413">
        <v>0.3</v>
      </c>
      <c r="DA548" s="413">
        <v>0.3</v>
      </c>
      <c r="DB548" s="413">
        <v>0.3</v>
      </c>
      <c r="DC548" s="413">
        <v>0.1</v>
      </c>
      <c r="DD548" s="146">
        <v>1</v>
      </c>
      <c r="DE548" s="394" t="s">
        <v>514</v>
      </c>
      <c r="DF548" s="394" t="s">
        <v>4390</v>
      </c>
      <c r="DG548" s="394" t="s">
        <v>4391</v>
      </c>
      <c r="DH548" s="750">
        <v>6738439389</v>
      </c>
      <c r="DI548" s="394" t="s">
        <v>1022</v>
      </c>
      <c r="DJ548" s="394" t="s">
        <v>480</v>
      </c>
      <c r="DK548" s="658" t="s">
        <v>1024</v>
      </c>
      <c r="DL548" s="394" t="s">
        <v>279</v>
      </c>
      <c r="DM548" s="394"/>
      <c r="DN548" s="753"/>
      <c r="DO548" s="745"/>
      <c r="DP548" s="751"/>
      <c r="DQ548" s="751"/>
      <c r="DR548" s="751"/>
      <c r="DS548" s="753"/>
      <c r="DT548" s="745"/>
      <c r="DU548" s="751"/>
      <c r="DV548" s="751"/>
      <c r="DW548" s="751"/>
      <c r="DX548" s="896"/>
      <c r="DY548" s="745"/>
      <c r="DZ548" s="751"/>
      <c r="EA548" s="751"/>
      <c r="EB548" s="751"/>
      <c r="EC548" s="546"/>
      <c r="ED548" s="546"/>
      <c r="EE548" s="546"/>
      <c r="EF548" s="546"/>
      <c r="EG548" s="546"/>
      <c r="EH548" s="753"/>
      <c r="EI548" s="754"/>
      <c r="EJ548" s="754"/>
      <c r="EK548" s="755"/>
      <c r="EL548" s="91" t="str">
        <f t="shared" si="126"/>
        <v>No se reportó avance</v>
      </c>
      <c r="EM548" s="83" t="str">
        <f t="shared" si="127"/>
        <v>No se reportó avance</v>
      </c>
      <c r="EN548" s="756"/>
      <c r="EO548" t="str">
        <f t="shared" si="132"/>
        <v>Producto</v>
      </c>
      <c r="EP548" t="str">
        <f t="shared" si="133"/>
        <v>5</v>
      </c>
    </row>
    <row r="549" spans="1:146" ht="80.099999999999994" customHeight="1">
      <c r="A549" s="390" t="s">
        <v>4366</v>
      </c>
      <c r="B549" s="398" t="s">
        <v>4367</v>
      </c>
      <c r="C549" s="398" t="s">
        <v>4368</v>
      </c>
      <c r="D549" s="398" t="s">
        <v>4369</v>
      </c>
      <c r="E549" s="398" t="s">
        <v>4370</v>
      </c>
      <c r="F549" s="390" t="s">
        <v>4371</v>
      </c>
      <c r="G549" s="575"/>
      <c r="H549" s="575"/>
      <c r="I549" s="390" t="s">
        <v>3054</v>
      </c>
      <c r="J549" s="390" t="s">
        <v>4372</v>
      </c>
      <c r="K549" s="390"/>
      <c r="L549" s="402">
        <v>2</v>
      </c>
      <c r="M549" s="390" t="s">
        <v>4400</v>
      </c>
      <c r="N549" s="390" t="s">
        <v>4401</v>
      </c>
      <c r="O549" s="390" t="s">
        <v>4402</v>
      </c>
      <c r="P549" s="390" t="s">
        <v>161</v>
      </c>
      <c r="Q549" s="390" t="s">
        <v>275</v>
      </c>
      <c r="R549" s="390" t="s">
        <v>182</v>
      </c>
      <c r="S549" s="390" t="s">
        <v>163</v>
      </c>
      <c r="T549" s="437">
        <v>44927</v>
      </c>
      <c r="U549" s="437">
        <v>46387</v>
      </c>
      <c r="V549" s="576"/>
      <c r="W549" s="576"/>
      <c r="X549" s="576"/>
      <c r="Y549" s="576"/>
      <c r="Z549" s="172"/>
      <c r="AA549" s="172"/>
      <c r="AB549" s="172"/>
      <c r="AC549" s="172"/>
      <c r="AD549" s="172"/>
      <c r="AE549" s="172"/>
      <c r="AF549" s="578"/>
      <c r="AG549" s="578"/>
      <c r="AH549" s="578"/>
      <c r="AI549" s="578"/>
      <c r="AJ549" s="172"/>
      <c r="AK549" s="579"/>
      <c r="AL549" s="579"/>
      <c r="AM549" s="579"/>
      <c r="AN549" s="579"/>
      <c r="AO549" s="413"/>
      <c r="AP549" s="413"/>
      <c r="AQ549" s="546"/>
      <c r="AR549" s="546"/>
      <c r="AS549" s="546"/>
      <c r="AT549" s="546"/>
      <c r="AU549" s="546"/>
      <c r="AV549" s="546"/>
      <c r="AW549" s="546"/>
      <c r="AX549" s="546"/>
      <c r="AY549" s="546"/>
      <c r="AZ549" s="546"/>
      <c r="BA549" s="546"/>
      <c r="BB549" s="546"/>
      <c r="BC549" s="546"/>
      <c r="BD549" s="546"/>
      <c r="BE549" s="546"/>
      <c r="BF549" s="546"/>
      <c r="BG549" s="546"/>
      <c r="BH549" s="546"/>
      <c r="BI549" s="546"/>
      <c r="BJ549" s="546"/>
      <c r="BK549" s="546"/>
      <c r="BL549" s="546"/>
      <c r="BM549" s="546"/>
      <c r="BN549" s="546"/>
      <c r="BO549" s="546"/>
      <c r="BP549" s="546"/>
      <c r="BQ549" s="546"/>
      <c r="BR549" s="546"/>
      <c r="BS549" s="546"/>
      <c r="BT549" s="546"/>
      <c r="BU549" s="546"/>
      <c r="BV549" s="546"/>
      <c r="BW549" s="546"/>
      <c r="BX549" s="546"/>
      <c r="BY549" s="546"/>
      <c r="BZ549" s="546"/>
      <c r="CA549" s="546"/>
      <c r="CB549" s="546"/>
      <c r="CC549" s="546"/>
      <c r="CD549" s="546"/>
      <c r="CE549" s="546"/>
      <c r="CF549" s="546"/>
      <c r="CG549" s="547"/>
      <c r="CH549" s="633"/>
      <c r="CI549" s="546"/>
      <c r="CJ549" s="83" t="str">
        <f t="shared" si="130"/>
        <v>No aplica</v>
      </c>
      <c r="CK549" s="83" t="str">
        <f t="shared" si="131"/>
        <v>No aplica</v>
      </c>
      <c r="CL549" s="83" t="str">
        <f t="shared" si="123"/>
        <v>No requiere reporte</v>
      </c>
      <c r="CM549" s="89" t="str">
        <f t="shared" si="124"/>
        <v>No requiere reporte</v>
      </c>
      <c r="CN549" s="89" t="str">
        <f t="shared" si="125"/>
        <v>No requiere reporte</v>
      </c>
      <c r="CO549" s="394" t="s">
        <v>313</v>
      </c>
      <c r="CP549" s="747" t="s">
        <v>4416</v>
      </c>
      <c r="CQ549" s="747" t="s">
        <v>4417</v>
      </c>
      <c r="CR549" s="747" t="s">
        <v>4418</v>
      </c>
      <c r="CS549" s="747" t="s">
        <v>4419</v>
      </c>
      <c r="CT549" s="394" t="s">
        <v>161</v>
      </c>
      <c r="CU549" s="394" t="s">
        <v>275</v>
      </c>
      <c r="CV549" s="414">
        <v>0</v>
      </c>
      <c r="CW549" s="394" t="s">
        <v>163</v>
      </c>
      <c r="CX549" s="395">
        <v>46023</v>
      </c>
      <c r="CY549" s="395">
        <v>46387</v>
      </c>
      <c r="CZ549" s="413">
        <v>0.9</v>
      </c>
      <c r="DA549" s="413">
        <v>0.9</v>
      </c>
      <c r="DB549" s="413">
        <v>0.9</v>
      </c>
      <c r="DC549" s="413">
        <v>0.9</v>
      </c>
      <c r="DD549" s="413">
        <v>0.9</v>
      </c>
      <c r="DE549" s="394" t="s">
        <v>514</v>
      </c>
      <c r="DF549" s="394" t="s">
        <v>4390</v>
      </c>
      <c r="DG549" s="394" t="s">
        <v>4391</v>
      </c>
      <c r="DH549" s="750">
        <v>1327729171</v>
      </c>
      <c r="DI549" s="394" t="s">
        <v>1022</v>
      </c>
      <c r="DJ549" s="394" t="s">
        <v>480</v>
      </c>
      <c r="DK549" s="658" t="s">
        <v>1024</v>
      </c>
      <c r="DL549" s="394" t="s">
        <v>279</v>
      </c>
      <c r="DM549" s="394"/>
      <c r="DN549" s="560"/>
      <c r="DO549" s="745"/>
      <c r="DP549" s="751"/>
      <c r="DQ549" s="751"/>
      <c r="DR549" s="751"/>
      <c r="DS549" s="560"/>
      <c r="DT549" s="745"/>
      <c r="DU549" s="751"/>
      <c r="DV549" s="751"/>
      <c r="DW549" s="751"/>
      <c r="DX549" s="560"/>
      <c r="DY549" s="745"/>
      <c r="DZ549" s="751"/>
      <c r="EA549" s="751"/>
      <c r="EB549" s="751"/>
      <c r="EC549" s="546"/>
      <c r="ED549" s="546"/>
      <c r="EE549" s="546"/>
      <c r="EF549" s="546"/>
      <c r="EG549" s="546"/>
      <c r="EH549" s="753"/>
      <c r="EI549" s="754"/>
      <c r="EJ549" s="754"/>
      <c r="EK549" s="755"/>
      <c r="EL549" s="91" t="str">
        <f t="shared" si="126"/>
        <v>No se reportó avance</v>
      </c>
      <c r="EM549" s="83" t="str">
        <f t="shared" si="127"/>
        <v>No se reportó avance</v>
      </c>
      <c r="EN549" s="756"/>
      <c r="EO549" t="str">
        <f t="shared" si="132"/>
        <v>Producto</v>
      </c>
      <c r="EP549" t="str">
        <f t="shared" si="133"/>
        <v>5</v>
      </c>
    </row>
    <row r="550" spans="1:146" ht="80.099999999999994" customHeight="1">
      <c r="A550" s="390" t="s">
        <v>4366</v>
      </c>
      <c r="B550" s="398" t="s">
        <v>4367</v>
      </c>
      <c r="C550" s="398" t="s">
        <v>4368</v>
      </c>
      <c r="D550" s="398" t="s">
        <v>4369</v>
      </c>
      <c r="E550" s="398" t="s">
        <v>4370</v>
      </c>
      <c r="F550" s="390" t="s">
        <v>4371</v>
      </c>
      <c r="G550" s="575"/>
      <c r="H550" s="575"/>
      <c r="I550" s="390" t="s">
        <v>3054</v>
      </c>
      <c r="J550" s="390" t="s">
        <v>4372</v>
      </c>
      <c r="K550" s="390"/>
      <c r="L550" s="402">
        <v>2</v>
      </c>
      <c r="M550" s="390" t="s">
        <v>4400</v>
      </c>
      <c r="N550" s="390" t="s">
        <v>4401</v>
      </c>
      <c r="O550" s="390" t="s">
        <v>4402</v>
      </c>
      <c r="P550" s="390" t="s">
        <v>161</v>
      </c>
      <c r="Q550" s="390" t="s">
        <v>275</v>
      </c>
      <c r="R550" s="390" t="s">
        <v>182</v>
      </c>
      <c r="S550" s="390" t="s">
        <v>163</v>
      </c>
      <c r="T550" s="437">
        <v>44927</v>
      </c>
      <c r="U550" s="437">
        <v>46387</v>
      </c>
      <c r="V550" s="576"/>
      <c r="W550" s="576"/>
      <c r="X550" s="576"/>
      <c r="Y550" s="576"/>
      <c r="Z550" s="172"/>
      <c r="AA550" s="172"/>
      <c r="AB550" s="172"/>
      <c r="AC550" s="172"/>
      <c r="AD550" s="172"/>
      <c r="AE550" s="172"/>
      <c r="AF550" s="578"/>
      <c r="AG550" s="578"/>
      <c r="AH550" s="578"/>
      <c r="AI550" s="578"/>
      <c r="AJ550" s="172"/>
      <c r="AK550" s="579"/>
      <c r="AL550" s="579"/>
      <c r="AM550" s="579"/>
      <c r="AN550" s="579"/>
      <c r="AO550" s="413"/>
      <c r="AP550" s="413"/>
      <c r="AQ550" s="546"/>
      <c r="AR550" s="546"/>
      <c r="AS550" s="546"/>
      <c r="AT550" s="546"/>
      <c r="AU550" s="546"/>
      <c r="AV550" s="546"/>
      <c r="AW550" s="546"/>
      <c r="AX550" s="546"/>
      <c r="AY550" s="546"/>
      <c r="AZ550" s="546"/>
      <c r="BA550" s="546"/>
      <c r="BB550" s="546"/>
      <c r="BC550" s="546"/>
      <c r="BD550" s="546"/>
      <c r="BE550" s="546"/>
      <c r="BF550" s="546"/>
      <c r="BG550" s="546"/>
      <c r="BH550" s="546"/>
      <c r="BI550" s="546"/>
      <c r="BJ550" s="546"/>
      <c r="BK550" s="546"/>
      <c r="BL550" s="546"/>
      <c r="BM550" s="546"/>
      <c r="BN550" s="546"/>
      <c r="BO550" s="546"/>
      <c r="BP550" s="546"/>
      <c r="BQ550" s="546"/>
      <c r="BR550" s="546"/>
      <c r="BS550" s="546"/>
      <c r="BT550" s="546"/>
      <c r="BU550" s="546"/>
      <c r="BV550" s="546"/>
      <c r="BW550" s="546"/>
      <c r="BX550" s="546"/>
      <c r="BY550" s="546"/>
      <c r="BZ550" s="546"/>
      <c r="CA550" s="546"/>
      <c r="CB550" s="546"/>
      <c r="CC550" s="546"/>
      <c r="CD550" s="546"/>
      <c r="CE550" s="546"/>
      <c r="CF550" s="546"/>
      <c r="CG550" s="547"/>
      <c r="CH550" s="633"/>
      <c r="CI550" s="546"/>
      <c r="CJ550" s="83" t="str">
        <f t="shared" si="130"/>
        <v>No aplica</v>
      </c>
      <c r="CK550" s="83" t="str">
        <f t="shared" si="131"/>
        <v>No aplica</v>
      </c>
      <c r="CL550" s="83" t="str">
        <f t="shared" si="123"/>
        <v>No requiere reporte</v>
      </c>
      <c r="CM550" s="89" t="str">
        <f t="shared" si="124"/>
        <v>No requiere reporte</v>
      </c>
      <c r="CN550" s="89" t="str">
        <f t="shared" si="125"/>
        <v>No requiere reporte</v>
      </c>
      <c r="CO550" s="394" t="s">
        <v>318</v>
      </c>
      <c r="CP550" s="747" t="s">
        <v>4420</v>
      </c>
      <c r="CQ550" s="748" t="s">
        <v>4421</v>
      </c>
      <c r="CR550" s="748" t="s">
        <v>4422</v>
      </c>
      <c r="CS550" s="747" t="s">
        <v>4423</v>
      </c>
      <c r="CT550" s="658" t="s">
        <v>953</v>
      </c>
      <c r="CU550" s="658" t="s">
        <v>275</v>
      </c>
      <c r="CV550" s="749">
        <v>0.85</v>
      </c>
      <c r="CW550" s="658" t="s">
        <v>163</v>
      </c>
      <c r="CX550" s="395">
        <v>46023</v>
      </c>
      <c r="CY550" s="395">
        <v>46387</v>
      </c>
      <c r="CZ550" s="146">
        <v>1</v>
      </c>
      <c r="DA550" s="146">
        <v>1</v>
      </c>
      <c r="DB550" s="146">
        <v>1</v>
      </c>
      <c r="DC550" s="146">
        <v>1</v>
      </c>
      <c r="DD550" s="146">
        <v>1</v>
      </c>
      <c r="DE550" s="394" t="s">
        <v>514</v>
      </c>
      <c r="DF550" s="394" t="s">
        <v>4390</v>
      </c>
      <c r="DG550" s="394" t="s">
        <v>4391</v>
      </c>
      <c r="DH550" s="750">
        <v>25296336076</v>
      </c>
      <c r="DI550" s="394" t="s">
        <v>1022</v>
      </c>
      <c r="DJ550" s="394" t="s">
        <v>480</v>
      </c>
      <c r="DK550" s="658" t="s">
        <v>1024</v>
      </c>
      <c r="DL550" s="394" t="s">
        <v>279</v>
      </c>
      <c r="DM550" s="394"/>
      <c r="DN550" s="560"/>
      <c r="DO550" s="745"/>
      <c r="DP550" s="751"/>
      <c r="DQ550" s="751"/>
      <c r="DR550" s="751"/>
      <c r="DS550" s="560"/>
      <c r="DT550" s="745"/>
      <c r="DU550" s="751"/>
      <c r="DV550" s="751"/>
      <c r="DW550" s="751"/>
      <c r="DX550" s="560"/>
      <c r="DY550" s="745"/>
      <c r="DZ550" s="751"/>
      <c r="EA550" s="751"/>
      <c r="EB550" s="751"/>
      <c r="EC550" s="546"/>
      <c r="ED550" s="546"/>
      <c r="EE550" s="546"/>
      <c r="EF550" s="546"/>
      <c r="EG550" s="546"/>
      <c r="EH550" s="560"/>
      <c r="EI550" s="754"/>
      <c r="EJ550" s="754"/>
      <c r="EK550" s="755"/>
      <c r="EL550" s="91" t="str">
        <f t="shared" si="126"/>
        <v>No se reportó avance</v>
      </c>
      <c r="EM550" s="83" t="str">
        <f t="shared" si="127"/>
        <v>No se reportó avance</v>
      </c>
      <c r="EN550" s="897"/>
    </row>
    <row r="551" spans="1:146" ht="80.099999999999994" customHeight="1">
      <c r="A551" s="390" t="s">
        <v>4366</v>
      </c>
      <c r="B551" s="398" t="s">
        <v>4367</v>
      </c>
      <c r="C551" s="398" t="s">
        <v>4368</v>
      </c>
      <c r="D551" s="398" t="s">
        <v>4369</v>
      </c>
      <c r="E551" s="398" t="s">
        <v>4370</v>
      </c>
      <c r="F551" s="390" t="s">
        <v>4371</v>
      </c>
      <c r="G551" s="575"/>
      <c r="H551" s="575"/>
      <c r="I551" s="390" t="s">
        <v>3054</v>
      </c>
      <c r="J551" s="390" t="s">
        <v>4372</v>
      </c>
      <c r="K551" s="390"/>
      <c r="L551" s="402">
        <v>2</v>
      </c>
      <c r="M551" s="390" t="s">
        <v>4400</v>
      </c>
      <c r="N551" s="390" t="s">
        <v>4401</v>
      </c>
      <c r="O551" s="390" t="s">
        <v>4402</v>
      </c>
      <c r="P551" s="390" t="s">
        <v>161</v>
      </c>
      <c r="Q551" s="390" t="s">
        <v>275</v>
      </c>
      <c r="R551" s="390" t="s">
        <v>182</v>
      </c>
      <c r="S551" s="390" t="s">
        <v>163</v>
      </c>
      <c r="T551" s="437">
        <v>44927</v>
      </c>
      <c r="U551" s="437">
        <v>46387</v>
      </c>
      <c r="V551" s="576"/>
      <c r="W551" s="576"/>
      <c r="X551" s="576"/>
      <c r="Y551" s="576"/>
      <c r="Z551" s="172"/>
      <c r="AA551" s="172"/>
      <c r="AB551" s="172"/>
      <c r="AC551" s="172"/>
      <c r="AD551" s="172"/>
      <c r="AE551" s="172"/>
      <c r="AF551" s="578"/>
      <c r="AG551" s="578"/>
      <c r="AH551" s="578"/>
      <c r="AI551" s="578"/>
      <c r="AJ551" s="172"/>
      <c r="AK551" s="579"/>
      <c r="AL551" s="579"/>
      <c r="AM551" s="579"/>
      <c r="AN551" s="579"/>
      <c r="AO551" s="413"/>
      <c r="AP551" s="413"/>
      <c r="AQ551" s="546"/>
      <c r="AR551" s="546"/>
      <c r="AS551" s="546"/>
      <c r="AT551" s="546"/>
      <c r="AU551" s="546"/>
      <c r="AV551" s="546"/>
      <c r="AW551" s="546"/>
      <c r="AX551" s="546"/>
      <c r="AY551" s="546"/>
      <c r="AZ551" s="546"/>
      <c r="BA551" s="546"/>
      <c r="BB551" s="546"/>
      <c r="BC551" s="546"/>
      <c r="BD551" s="546"/>
      <c r="BE551" s="546"/>
      <c r="BF551" s="546"/>
      <c r="BG551" s="546"/>
      <c r="BH551" s="546"/>
      <c r="BI551" s="546"/>
      <c r="BJ551" s="546"/>
      <c r="BK551" s="546"/>
      <c r="BL551" s="546"/>
      <c r="BM551" s="546"/>
      <c r="BN551" s="546"/>
      <c r="BO551" s="546"/>
      <c r="BP551" s="546"/>
      <c r="BQ551" s="546"/>
      <c r="BR551" s="546"/>
      <c r="BS551" s="546"/>
      <c r="BT551" s="546"/>
      <c r="BU551" s="546"/>
      <c r="BV551" s="546"/>
      <c r="BW551" s="546"/>
      <c r="BX551" s="546"/>
      <c r="BY551" s="546"/>
      <c r="BZ551" s="546"/>
      <c r="CA551" s="546"/>
      <c r="CB551" s="546"/>
      <c r="CC551" s="546"/>
      <c r="CD551" s="546"/>
      <c r="CE551" s="546"/>
      <c r="CF551" s="546"/>
      <c r="CG551" s="547"/>
      <c r="CH551" s="633"/>
      <c r="CI551" s="546"/>
      <c r="CJ551" s="83" t="str">
        <f t="shared" si="130"/>
        <v>No aplica</v>
      </c>
      <c r="CK551" s="83" t="str">
        <f t="shared" si="131"/>
        <v>No aplica</v>
      </c>
      <c r="CL551" s="83" t="str">
        <f t="shared" si="123"/>
        <v>No requiere reporte</v>
      </c>
      <c r="CM551" s="89" t="str">
        <f t="shared" si="124"/>
        <v>No requiere reporte</v>
      </c>
      <c r="CN551" s="89" t="str">
        <f t="shared" si="125"/>
        <v>No requiere reporte</v>
      </c>
      <c r="CO551" s="394" t="s">
        <v>322</v>
      </c>
      <c r="CP551" s="747" t="s">
        <v>4424</v>
      </c>
      <c r="CQ551" s="748" t="s">
        <v>4425</v>
      </c>
      <c r="CR551" s="748" t="s">
        <v>4426</v>
      </c>
      <c r="CS551" s="748" t="s">
        <v>4427</v>
      </c>
      <c r="CT551" s="658" t="s">
        <v>953</v>
      </c>
      <c r="CU551" s="658" t="s">
        <v>275</v>
      </c>
      <c r="CV551" s="749">
        <v>1</v>
      </c>
      <c r="CW551" s="658" t="s">
        <v>163</v>
      </c>
      <c r="CX551" s="395">
        <v>46023</v>
      </c>
      <c r="CY551" s="395">
        <v>46387</v>
      </c>
      <c r="CZ551" s="146">
        <v>1</v>
      </c>
      <c r="DA551" s="146">
        <v>1</v>
      </c>
      <c r="DB551" s="146">
        <v>1</v>
      </c>
      <c r="DC551" s="146">
        <v>1</v>
      </c>
      <c r="DD551" s="146">
        <v>1</v>
      </c>
      <c r="DE551" s="394" t="s">
        <v>514</v>
      </c>
      <c r="DF551" s="394" t="s">
        <v>4390</v>
      </c>
      <c r="DG551" s="394" t="s">
        <v>4391</v>
      </c>
      <c r="DH551" s="750">
        <v>12529013264</v>
      </c>
      <c r="DI551" s="394" t="s">
        <v>1022</v>
      </c>
      <c r="DJ551" s="394" t="s">
        <v>480</v>
      </c>
      <c r="DK551" s="658" t="s">
        <v>1024</v>
      </c>
      <c r="DL551" s="394" t="s">
        <v>279</v>
      </c>
      <c r="DM551" s="394"/>
      <c r="DN551" s="753"/>
      <c r="DO551" s="745"/>
      <c r="DP551" s="751"/>
      <c r="DQ551" s="751"/>
      <c r="DR551" s="751"/>
      <c r="DS551" s="753"/>
      <c r="DT551" s="745"/>
      <c r="DU551" s="751"/>
      <c r="DV551" s="751"/>
      <c r="DW551" s="751"/>
      <c r="DX551" s="753"/>
      <c r="DY551" s="745"/>
      <c r="DZ551" s="751"/>
      <c r="EA551" s="751"/>
      <c r="EB551" s="751"/>
      <c r="EC551" s="546"/>
      <c r="ED551" s="546"/>
      <c r="EE551" s="546"/>
      <c r="EF551" s="546"/>
      <c r="EG551" s="546"/>
      <c r="EH551" s="560"/>
      <c r="EI551" s="754"/>
      <c r="EJ551" s="754"/>
      <c r="EK551" s="755"/>
      <c r="EL551" s="91" t="str">
        <f t="shared" si="126"/>
        <v>No se reportó avance</v>
      </c>
      <c r="EM551" s="83" t="str">
        <f t="shared" si="127"/>
        <v>No se reportó avance</v>
      </c>
      <c r="EN551" s="897"/>
    </row>
    <row r="552" spans="1:146" ht="80.099999999999994" customHeight="1">
      <c r="A552" s="390" t="s">
        <v>4366</v>
      </c>
      <c r="B552" s="398" t="s">
        <v>4367</v>
      </c>
      <c r="C552" s="398" t="s">
        <v>4368</v>
      </c>
      <c r="D552" s="398" t="s">
        <v>4369</v>
      </c>
      <c r="E552" s="398" t="s">
        <v>4370</v>
      </c>
      <c r="F552" s="390" t="s">
        <v>4371</v>
      </c>
      <c r="G552" s="575"/>
      <c r="H552" s="575"/>
      <c r="I552" s="390" t="s">
        <v>3054</v>
      </c>
      <c r="J552" s="390" t="s">
        <v>4372</v>
      </c>
      <c r="K552" s="390"/>
      <c r="L552" s="402">
        <v>2</v>
      </c>
      <c r="M552" s="390" t="s">
        <v>4400</v>
      </c>
      <c r="N552" s="390" t="s">
        <v>4401</v>
      </c>
      <c r="O552" s="390" t="s">
        <v>4402</v>
      </c>
      <c r="P552" s="390" t="s">
        <v>161</v>
      </c>
      <c r="Q552" s="390" t="s">
        <v>275</v>
      </c>
      <c r="R552" s="390" t="s">
        <v>182</v>
      </c>
      <c r="S552" s="390" t="s">
        <v>163</v>
      </c>
      <c r="T552" s="437">
        <v>44927</v>
      </c>
      <c r="U552" s="437">
        <v>46387</v>
      </c>
      <c r="V552" s="576"/>
      <c r="W552" s="576"/>
      <c r="X552" s="576"/>
      <c r="Y552" s="576"/>
      <c r="Z552" s="172"/>
      <c r="AA552" s="172"/>
      <c r="AB552" s="172"/>
      <c r="AC552" s="172"/>
      <c r="AD552" s="172"/>
      <c r="AE552" s="172"/>
      <c r="AF552" s="578"/>
      <c r="AG552" s="578"/>
      <c r="AH552" s="578"/>
      <c r="AI552" s="578"/>
      <c r="AJ552" s="172"/>
      <c r="AK552" s="579"/>
      <c r="AL552" s="579"/>
      <c r="AM552" s="579"/>
      <c r="AN552" s="579"/>
      <c r="AO552" s="413"/>
      <c r="AP552" s="413"/>
      <c r="AQ552" s="546"/>
      <c r="AR552" s="546"/>
      <c r="AS552" s="546"/>
      <c r="AT552" s="546"/>
      <c r="AU552" s="546"/>
      <c r="AV552" s="546"/>
      <c r="AW552" s="546"/>
      <c r="AX552" s="546"/>
      <c r="AY552" s="546"/>
      <c r="AZ552" s="546"/>
      <c r="BA552" s="546"/>
      <c r="BB552" s="546"/>
      <c r="BC552" s="546"/>
      <c r="BD552" s="546"/>
      <c r="BE552" s="546"/>
      <c r="BF552" s="546"/>
      <c r="BG552" s="546"/>
      <c r="BH552" s="546"/>
      <c r="BI552" s="546"/>
      <c r="BJ552" s="546"/>
      <c r="BK552" s="546"/>
      <c r="BL552" s="546"/>
      <c r="BM552" s="546"/>
      <c r="BN552" s="546"/>
      <c r="BO552" s="546"/>
      <c r="BP552" s="546"/>
      <c r="BQ552" s="546"/>
      <c r="BR552" s="546"/>
      <c r="BS552" s="546"/>
      <c r="BT552" s="546"/>
      <c r="BU552" s="546"/>
      <c r="BV552" s="546"/>
      <c r="BW552" s="546"/>
      <c r="BX552" s="546"/>
      <c r="BY552" s="546"/>
      <c r="BZ552" s="546"/>
      <c r="CA552" s="546"/>
      <c r="CB552" s="546"/>
      <c r="CC552" s="546"/>
      <c r="CD552" s="546"/>
      <c r="CE552" s="546"/>
      <c r="CF552" s="546"/>
      <c r="CG552" s="547"/>
      <c r="CH552" s="633"/>
      <c r="CI552" s="546"/>
      <c r="CJ552" s="83" t="str">
        <f t="shared" si="130"/>
        <v>No aplica</v>
      </c>
      <c r="CK552" s="83" t="str">
        <f t="shared" si="131"/>
        <v>No aplica</v>
      </c>
      <c r="CL552" s="83" t="str">
        <f t="shared" si="123"/>
        <v>No requiere reporte</v>
      </c>
      <c r="CM552" s="89" t="str">
        <f t="shared" si="124"/>
        <v>No requiere reporte</v>
      </c>
      <c r="CN552" s="89" t="str">
        <f t="shared" si="125"/>
        <v>No requiere reporte</v>
      </c>
      <c r="CO552" s="394" t="s">
        <v>327</v>
      </c>
      <c r="CP552" s="747" t="s">
        <v>4428</v>
      </c>
      <c r="CQ552" s="748" t="s">
        <v>4429</v>
      </c>
      <c r="CR552" s="748" t="s">
        <v>4430</v>
      </c>
      <c r="CS552" s="747" t="s">
        <v>4431</v>
      </c>
      <c r="CT552" s="658" t="s">
        <v>953</v>
      </c>
      <c r="CU552" s="658" t="s">
        <v>275</v>
      </c>
      <c r="CV552" s="749">
        <v>0.85</v>
      </c>
      <c r="CW552" s="658" t="s">
        <v>163</v>
      </c>
      <c r="CX552" s="395">
        <v>46023</v>
      </c>
      <c r="CY552" s="395">
        <v>46387</v>
      </c>
      <c r="CZ552" s="146">
        <v>1</v>
      </c>
      <c r="DA552" s="146">
        <v>1</v>
      </c>
      <c r="DB552" s="146">
        <v>1</v>
      </c>
      <c r="DC552" s="146">
        <v>1</v>
      </c>
      <c r="DD552" s="146">
        <v>1</v>
      </c>
      <c r="DE552" s="394" t="s">
        <v>514</v>
      </c>
      <c r="DF552" s="394" t="s">
        <v>4390</v>
      </c>
      <c r="DG552" s="394" t="s">
        <v>4391</v>
      </c>
      <c r="DH552" s="750">
        <v>10400000000</v>
      </c>
      <c r="DI552" s="394" t="s">
        <v>1022</v>
      </c>
      <c r="DJ552" s="394" t="s">
        <v>480</v>
      </c>
      <c r="DK552" s="658" t="s">
        <v>1024</v>
      </c>
      <c r="DL552" s="394" t="s">
        <v>279</v>
      </c>
      <c r="DM552" s="394"/>
      <c r="DN552" s="753"/>
      <c r="DO552" s="745"/>
      <c r="DP552" s="751"/>
      <c r="DQ552" s="751"/>
      <c r="DR552" s="751"/>
      <c r="DS552" s="753"/>
      <c r="DT552" s="745"/>
      <c r="DU552" s="751"/>
      <c r="DV552" s="751"/>
      <c r="DW552" s="751"/>
      <c r="DX552" s="753"/>
      <c r="DY552" s="745"/>
      <c r="DZ552" s="751"/>
      <c r="EA552" s="751"/>
      <c r="EB552" s="751"/>
      <c r="EC552" s="546"/>
      <c r="ED552" s="546"/>
      <c r="EE552" s="546"/>
      <c r="EF552" s="546"/>
      <c r="EG552" s="546"/>
      <c r="EH552" s="560"/>
      <c r="EI552" s="754"/>
      <c r="EJ552" s="754"/>
      <c r="EK552" s="755"/>
      <c r="EL552" s="91" t="str">
        <f t="shared" si="126"/>
        <v>No se reportó avance</v>
      </c>
      <c r="EM552" s="83" t="str">
        <f t="shared" si="127"/>
        <v>No se reportó avance</v>
      </c>
      <c r="EN552" s="897"/>
    </row>
    <row r="553" spans="1:146" ht="80.099999999999994" customHeight="1">
      <c r="A553" s="377" t="s">
        <v>4366</v>
      </c>
      <c r="B553" s="378" t="s">
        <v>4367</v>
      </c>
      <c r="C553" s="378" t="s">
        <v>4368</v>
      </c>
      <c r="D553" s="378" t="s">
        <v>4369</v>
      </c>
      <c r="E553" s="378" t="s">
        <v>4370</v>
      </c>
      <c r="F553" s="377" t="s">
        <v>4371</v>
      </c>
      <c r="G553" s="533"/>
      <c r="H553" s="533"/>
      <c r="I553" s="377" t="s">
        <v>3054</v>
      </c>
      <c r="J553" s="377" t="s">
        <v>4372</v>
      </c>
      <c r="K553" s="377" t="s">
        <v>4373</v>
      </c>
      <c r="L553" s="382">
        <v>3</v>
      </c>
      <c r="M553" s="382" t="s">
        <v>4432</v>
      </c>
      <c r="N553" s="382" t="s">
        <v>4433</v>
      </c>
      <c r="O553" s="382" t="s">
        <v>4434</v>
      </c>
      <c r="P553" s="382" t="s">
        <v>161</v>
      </c>
      <c r="Q553" s="382" t="s">
        <v>275</v>
      </c>
      <c r="R553" s="382" t="s">
        <v>182</v>
      </c>
      <c r="S553" s="382" t="s">
        <v>163</v>
      </c>
      <c r="T553" s="436">
        <v>44927</v>
      </c>
      <c r="U553" s="436">
        <v>46387</v>
      </c>
      <c r="V553" s="451">
        <v>0</v>
      </c>
      <c r="W553" s="451">
        <v>0.125</v>
      </c>
      <c r="X553" s="451">
        <v>0.1875</v>
      </c>
      <c r="Y553" s="451">
        <v>0.25</v>
      </c>
      <c r="Z553" s="451">
        <v>0.25</v>
      </c>
      <c r="AA553" s="451">
        <v>0.3125</v>
      </c>
      <c r="AB553" s="451">
        <v>0.375</v>
      </c>
      <c r="AC553" s="451">
        <v>0.4375</v>
      </c>
      <c r="AD553" s="451">
        <v>0.5</v>
      </c>
      <c r="AE553" s="451">
        <v>0.5</v>
      </c>
      <c r="AF553" s="451">
        <v>0.5625</v>
      </c>
      <c r="AG553" s="451">
        <v>0.625</v>
      </c>
      <c r="AH553" s="451">
        <v>0.6875</v>
      </c>
      <c r="AI553" s="451">
        <v>0.75</v>
      </c>
      <c r="AJ553" s="451">
        <v>0.75</v>
      </c>
      <c r="AK553" s="562">
        <v>0.8125</v>
      </c>
      <c r="AL553" s="562">
        <v>0.875</v>
      </c>
      <c r="AM553" s="562">
        <v>0.9375</v>
      </c>
      <c r="AN553" s="562">
        <v>1</v>
      </c>
      <c r="AO553" s="562">
        <v>1</v>
      </c>
      <c r="AP553" s="562">
        <v>1</v>
      </c>
      <c r="AQ553" s="546"/>
      <c r="AR553" s="546"/>
      <c r="AS553" s="546"/>
      <c r="AT553" s="546"/>
      <c r="AU553" s="546"/>
      <c r="AV553" s="546"/>
      <c r="AW553" s="546"/>
      <c r="AX553" s="546"/>
      <c r="AY553" s="563">
        <v>0.25</v>
      </c>
      <c r="AZ553" s="744" t="s">
        <v>4435</v>
      </c>
      <c r="BA553" s="563">
        <v>0.25</v>
      </c>
      <c r="BB553" s="744" t="s">
        <v>4436</v>
      </c>
      <c r="BC553" s="563">
        <v>0.5</v>
      </c>
      <c r="BD553" s="744" t="s">
        <v>4437</v>
      </c>
      <c r="BE553" s="563">
        <v>0.75</v>
      </c>
      <c r="BF553" s="744" t="s">
        <v>4438</v>
      </c>
      <c r="BG553" s="563">
        <v>1</v>
      </c>
      <c r="BH553" s="744" t="s">
        <v>4439</v>
      </c>
      <c r="BI553" s="563">
        <f>100%*AE553</f>
        <v>0.5</v>
      </c>
      <c r="BJ553" s="744" t="s">
        <v>4440</v>
      </c>
      <c r="BK553" s="573">
        <v>6.25E-2</v>
      </c>
      <c r="BL553" s="744" t="s">
        <v>4441</v>
      </c>
      <c r="BM553" s="573">
        <v>6.25E-2</v>
      </c>
      <c r="BN553" s="744" t="s">
        <v>4442</v>
      </c>
      <c r="BO553" s="632">
        <v>6.25E-2</v>
      </c>
      <c r="BP553" s="745" t="s">
        <v>4443</v>
      </c>
      <c r="BQ553" s="546"/>
      <c r="BR553" s="546"/>
      <c r="BS553" s="560">
        <f>+BK553+BM553+BO553</f>
        <v>0.1875</v>
      </c>
      <c r="BT553" s="546"/>
      <c r="BU553" s="546"/>
      <c r="BV553" s="546"/>
      <c r="BW553" s="546"/>
      <c r="BX553" s="546"/>
      <c r="BY553" s="546"/>
      <c r="BZ553" s="546"/>
      <c r="CA553" s="546"/>
      <c r="CB553" s="546"/>
      <c r="CC553" s="546"/>
      <c r="CD553" s="546"/>
      <c r="CE553" s="746">
        <f>+BI553+BS553</f>
        <v>0.6875</v>
      </c>
      <c r="CF553" s="546"/>
      <c r="CG553" s="392">
        <f>SUM(DH553:DH555)</f>
        <v>3787785714</v>
      </c>
      <c r="CH553" s="574"/>
      <c r="CI553" s="574"/>
      <c r="CJ553" s="83">
        <f t="shared" si="130"/>
        <v>0</v>
      </c>
      <c r="CK553" s="83">
        <f t="shared" si="131"/>
        <v>0</v>
      </c>
      <c r="CL553" s="83" t="str">
        <f t="shared" si="123"/>
        <v>No se reportó avance</v>
      </c>
      <c r="CM553" s="89" t="str">
        <f t="shared" si="124"/>
        <v>No se reportó avance</v>
      </c>
      <c r="CN553" s="89">
        <f t="shared" si="125"/>
        <v>0.6875</v>
      </c>
      <c r="CO553" s="394" t="s">
        <v>236</v>
      </c>
      <c r="CP553" s="757" t="s">
        <v>4444</v>
      </c>
      <c r="CQ553" s="757" t="s">
        <v>4445</v>
      </c>
      <c r="CR553" s="757" t="s">
        <v>4446</v>
      </c>
      <c r="CS553" s="757" t="s">
        <v>4447</v>
      </c>
      <c r="CT553" s="394" t="s">
        <v>161</v>
      </c>
      <c r="CU553" s="394" t="s">
        <v>275</v>
      </c>
      <c r="CV553" s="394" t="s">
        <v>182</v>
      </c>
      <c r="CW553" s="394" t="s">
        <v>163</v>
      </c>
      <c r="CX553" s="395">
        <v>46023</v>
      </c>
      <c r="CY553" s="395">
        <v>46387</v>
      </c>
      <c r="CZ553" s="146">
        <v>1</v>
      </c>
      <c r="DA553" s="146">
        <v>1</v>
      </c>
      <c r="DB553" s="146">
        <v>1</v>
      </c>
      <c r="DC553" s="146">
        <v>1</v>
      </c>
      <c r="DD553" s="146">
        <v>1</v>
      </c>
      <c r="DE553" s="394" t="s">
        <v>514</v>
      </c>
      <c r="DF553" s="394" t="s">
        <v>4390</v>
      </c>
      <c r="DG553" s="394" t="s">
        <v>4391</v>
      </c>
      <c r="DH553" s="750">
        <v>460691009</v>
      </c>
      <c r="DI553" s="394" t="s">
        <v>1022</v>
      </c>
      <c r="DJ553" s="394" t="s">
        <v>480</v>
      </c>
      <c r="DK553" s="658" t="s">
        <v>1024</v>
      </c>
      <c r="DL553" s="394" t="s">
        <v>279</v>
      </c>
      <c r="DM553" s="394"/>
      <c r="DN553" s="560"/>
      <c r="DO553" s="745"/>
      <c r="DP553" s="751"/>
      <c r="DQ553" s="751"/>
      <c r="DR553" s="751"/>
      <c r="DS553" s="560"/>
      <c r="DT553" s="745"/>
      <c r="DU553" s="751"/>
      <c r="DV553" s="751"/>
      <c r="DW553" s="751"/>
      <c r="DX553" s="560"/>
      <c r="DY553" s="745"/>
      <c r="DZ553" s="751"/>
      <c r="EA553" s="751"/>
      <c r="EB553" s="751"/>
      <c r="EC553" s="546"/>
      <c r="ED553" s="546"/>
      <c r="EE553" s="546"/>
      <c r="EF553" s="546"/>
      <c r="EG553" s="546"/>
      <c r="EH553" s="560"/>
      <c r="EI553" s="754"/>
      <c r="EJ553" s="754"/>
      <c r="EK553" s="755"/>
      <c r="EL553" s="91" t="str">
        <f t="shared" si="126"/>
        <v>No se reportó avance</v>
      </c>
      <c r="EM553" s="83" t="str">
        <f t="shared" si="127"/>
        <v>No se reportó avance</v>
      </c>
      <c r="EN553" s="756"/>
      <c r="EO553" t="str">
        <f t="shared" si="132"/>
        <v>Producto</v>
      </c>
      <c r="EP553" t="str">
        <f t="shared" si="133"/>
        <v>5</v>
      </c>
    </row>
    <row r="554" spans="1:146" ht="80.099999999999994" customHeight="1">
      <c r="A554" s="390" t="s">
        <v>4366</v>
      </c>
      <c r="B554" s="398" t="s">
        <v>4367</v>
      </c>
      <c r="C554" s="398" t="s">
        <v>4368</v>
      </c>
      <c r="D554" s="398" t="s">
        <v>4369</v>
      </c>
      <c r="E554" s="398" t="s">
        <v>4370</v>
      </c>
      <c r="F554" s="390" t="s">
        <v>4371</v>
      </c>
      <c r="G554" s="575"/>
      <c r="H554" s="575"/>
      <c r="I554" s="390" t="s">
        <v>3054</v>
      </c>
      <c r="J554" s="390" t="s">
        <v>4372</v>
      </c>
      <c r="K554" s="390"/>
      <c r="L554" s="402">
        <v>3</v>
      </c>
      <c r="M554" s="390" t="s">
        <v>4432</v>
      </c>
      <c r="N554" s="390" t="s">
        <v>4433</v>
      </c>
      <c r="O554" s="390" t="s">
        <v>4434</v>
      </c>
      <c r="P554" s="390" t="s">
        <v>161</v>
      </c>
      <c r="Q554" s="390" t="s">
        <v>275</v>
      </c>
      <c r="R554" s="390" t="s">
        <v>182</v>
      </c>
      <c r="S554" s="390" t="s">
        <v>163</v>
      </c>
      <c r="T554" s="437">
        <v>44927</v>
      </c>
      <c r="U554" s="437">
        <v>46387</v>
      </c>
      <c r="V554" s="576"/>
      <c r="W554" s="576"/>
      <c r="X554" s="576"/>
      <c r="Y554" s="576"/>
      <c r="Z554" s="172"/>
      <c r="AA554" s="172"/>
      <c r="AB554" s="172"/>
      <c r="AC554" s="172"/>
      <c r="AD554" s="172"/>
      <c r="AE554" s="172"/>
      <c r="AF554" s="578"/>
      <c r="AG554" s="578"/>
      <c r="AH554" s="578"/>
      <c r="AI554" s="578"/>
      <c r="AJ554" s="172"/>
      <c r="AK554" s="579"/>
      <c r="AL554" s="579"/>
      <c r="AM554" s="579"/>
      <c r="AN554" s="579"/>
      <c r="AO554" s="413"/>
      <c r="AP554" s="413"/>
      <c r="AQ554" s="546"/>
      <c r="AR554" s="546"/>
      <c r="AS554" s="546"/>
      <c r="AT554" s="546"/>
      <c r="AU554" s="546"/>
      <c r="AV554" s="546"/>
      <c r="AW554" s="546"/>
      <c r="AX554" s="546"/>
      <c r="AY554" s="580"/>
      <c r="AZ554" s="546"/>
      <c r="BA554" s="546"/>
      <c r="BB554" s="546"/>
      <c r="BC554" s="546"/>
      <c r="BD554" s="546"/>
      <c r="BE554" s="546"/>
      <c r="BF554" s="546"/>
      <c r="BG554" s="546"/>
      <c r="BH554" s="546"/>
      <c r="BI554" s="546"/>
      <c r="BJ554" s="546"/>
      <c r="BK554" s="546"/>
      <c r="BL554" s="546"/>
      <c r="BM554" s="546"/>
      <c r="BN554" s="546"/>
      <c r="BO554" s="546"/>
      <c r="BP554" s="546"/>
      <c r="BQ554" s="546"/>
      <c r="BR554" s="546"/>
      <c r="BS554" s="546"/>
      <c r="BT554" s="546"/>
      <c r="BU554" s="546"/>
      <c r="BV554" s="546"/>
      <c r="BW554" s="546"/>
      <c r="BX554" s="546"/>
      <c r="BY554" s="546"/>
      <c r="BZ554" s="546"/>
      <c r="CA554" s="546"/>
      <c r="CB554" s="546"/>
      <c r="CC554" s="546"/>
      <c r="CD554" s="546"/>
      <c r="CE554" s="546"/>
      <c r="CF554" s="546"/>
      <c r="CG554" s="547"/>
      <c r="CH554" s="633"/>
      <c r="CI554" s="546"/>
      <c r="CJ554" s="83" t="str">
        <f t="shared" si="130"/>
        <v>No aplica</v>
      </c>
      <c r="CK554" s="83" t="str">
        <f t="shared" si="131"/>
        <v>No aplica</v>
      </c>
      <c r="CL554" s="83" t="str">
        <f t="shared" si="123"/>
        <v>No requiere reporte</v>
      </c>
      <c r="CM554" s="89" t="str">
        <f t="shared" si="124"/>
        <v>No requiere reporte</v>
      </c>
      <c r="CN554" s="89" t="str">
        <f t="shared" si="125"/>
        <v>No requiere reporte</v>
      </c>
      <c r="CO554" s="394" t="s">
        <v>361</v>
      </c>
      <c r="CP554" s="747" t="s">
        <v>4448</v>
      </c>
      <c r="CQ554" s="747" t="s">
        <v>4449</v>
      </c>
      <c r="CR554" s="747" t="s">
        <v>4450</v>
      </c>
      <c r="CS554" s="747" t="s">
        <v>4451</v>
      </c>
      <c r="CT554" s="394" t="s">
        <v>161</v>
      </c>
      <c r="CU554" s="394" t="s">
        <v>275</v>
      </c>
      <c r="CV554" s="394" t="s">
        <v>182</v>
      </c>
      <c r="CW554" s="394" t="s">
        <v>163</v>
      </c>
      <c r="CX554" s="395">
        <v>46023</v>
      </c>
      <c r="CY554" s="395">
        <v>46387</v>
      </c>
      <c r="CZ554" s="146">
        <v>1</v>
      </c>
      <c r="DA554" s="146">
        <v>1</v>
      </c>
      <c r="DB554" s="146">
        <v>1</v>
      </c>
      <c r="DC554" s="146">
        <v>1</v>
      </c>
      <c r="DD554" s="146">
        <v>1</v>
      </c>
      <c r="DE554" s="394" t="s">
        <v>514</v>
      </c>
      <c r="DF554" s="394" t="s">
        <v>4390</v>
      </c>
      <c r="DG554" s="394" t="s">
        <v>4391</v>
      </c>
      <c r="DH554" s="750">
        <v>1327094705</v>
      </c>
      <c r="DI554" s="394" t="s">
        <v>1022</v>
      </c>
      <c r="DJ554" s="394" t="s">
        <v>480</v>
      </c>
      <c r="DK554" s="658" t="s">
        <v>1024</v>
      </c>
      <c r="DL554" s="394" t="s">
        <v>279</v>
      </c>
      <c r="DM554" s="394"/>
      <c r="DN554" s="560"/>
      <c r="DO554" s="745"/>
      <c r="DP554" s="751"/>
      <c r="DQ554" s="751"/>
      <c r="DR554" s="751"/>
      <c r="DS554" s="753"/>
      <c r="DT554" s="745"/>
      <c r="DU554" s="751"/>
      <c r="DV554" s="751"/>
      <c r="DW554" s="751"/>
      <c r="DX554" s="753"/>
      <c r="DY554" s="745"/>
      <c r="DZ554" s="751"/>
      <c r="EA554" s="751"/>
      <c r="EB554" s="751"/>
      <c r="EC554" s="546"/>
      <c r="ED554" s="546"/>
      <c r="EE554" s="546"/>
      <c r="EF554" s="546"/>
      <c r="EG554" s="546"/>
      <c r="EH554" s="753"/>
      <c r="EI554" s="754"/>
      <c r="EJ554" s="754"/>
      <c r="EK554" s="755"/>
      <c r="EL554" s="91" t="str">
        <f t="shared" si="126"/>
        <v>No se reportó avance</v>
      </c>
      <c r="EM554" s="83" t="str">
        <f t="shared" si="127"/>
        <v>No se reportó avance</v>
      </c>
      <c r="EN554" s="872"/>
      <c r="EO554" t="str">
        <f t="shared" si="132"/>
        <v>Producto</v>
      </c>
      <c r="EP554" t="str">
        <f t="shared" si="133"/>
        <v>5</v>
      </c>
    </row>
    <row r="555" spans="1:146" ht="80.099999999999994" customHeight="1">
      <c r="A555" s="390" t="s">
        <v>4366</v>
      </c>
      <c r="B555" s="398" t="s">
        <v>4367</v>
      </c>
      <c r="C555" s="398" t="s">
        <v>4368</v>
      </c>
      <c r="D555" s="398" t="s">
        <v>4369</v>
      </c>
      <c r="E555" s="398" t="s">
        <v>4370</v>
      </c>
      <c r="F555" s="390" t="s">
        <v>4371</v>
      </c>
      <c r="G555" s="575"/>
      <c r="H555" s="575"/>
      <c r="I555" s="390" t="s">
        <v>3054</v>
      </c>
      <c r="J555" s="390" t="s">
        <v>4372</v>
      </c>
      <c r="K555" s="390"/>
      <c r="L555" s="402">
        <v>3</v>
      </c>
      <c r="M555" s="390" t="s">
        <v>4432</v>
      </c>
      <c r="N555" s="390" t="s">
        <v>4433</v>
      </c>
      <c r="O555" s="390" t="s">
        <v>4434</v>
      </c>
      <c r="P555" s="390" t="s">
        <v>161</v>
      </c>
      <c r="Q555" s="390" t="s">
        <v>275</v>
      </c>
      <c r="R555" s="390" t="s">
        <v>182</v>
      </c>
      <c r="S555" s="390" t="s">
        <v>163</v>
      </c>
      <c r="T555" s="437">
        <v>44927</v>
      </c>
      <c r="U555" s="437">
        <v>46387</v>
      </c>
      <c r="V555" s="576"/>
      <c r="W555" s="576"/>
      <c r="X555" s="576"/>
      <c r="Y555" s="576"/>
      <c r="Z555" s="172"/>
      <c r="AA555" s="172"/>
      <c r="AB555" s="172"/>
      <c r="AC555" s="172"/>
      <c r="AD555" s="172"/>
      <c r="AE555" s="172"/>
      <c r="AF555" s="578"/>
      <c r="AG555" s="578"/>
      <c r="AH555" s="578"/>
      <c r="AI555" s="578"/>
      <c r="AJ555" s="172"/>
      <c r="AK555" s="579"/>
      <c r="AL555" s="579"/>
      <c r="AM555" s="579"/>
      <c r="AN555" s="579"/>
      <c r="AO555" s="413"/>
      <c r="AP555" s="413"/>
      <c r="AQ555" s="546"/>
      <c r="AR555" s="546"/>
      <c r="AS555" s="546"/>
      <c r="AT555" s="546"/>
      <c r="AU555" s="546"/>
      <c r="AV555" s="546"/>
      <c r="AW555" s="546"/>
      <c r="AX555" s="546"/>
      <c r="AY555" s="546"/>
      <c r="AZ555" s="546"/>
      <c r="BA555" s="546"/>
      <c r="BB555" s="546"/>
      <c r="BC555" s="546"/>
      <c r="BD555" s="546"/>
      <c r="BE555" s="546"/>
      <c r="BF555" s="546"/>
      <c r="BG555" s="546"/>
      <c r="BH555" s="546"/>
      <c r="BI555" s="546"/>
      <c r="BJ555" s="546"/>
      <c r="BK555" s="546"/>
      <c r="BL555" s="546"/>
      <c r="BM555" s="546"/>
      <c r="BN555" s="546"/>
      <c r="BO555" s="546"/>
      <c r="BP555" s="546"/>
      <c r="BQ555" s="546"/>
      <c r="BR555" s="546"/>
      <c r="BS555" s="546"/>
      <c r="BT555" s="546"/>
      <c r="BU555" s="546"/>
      <c r="BV555" s="546"/>
      <c r="BW555" s="546"/>
      <c r="BX555" s="546"/>
      <c r="BY555" s="546"/>
      <c r="BZ555" s="546"/>
      <c r="CA555" s="546"/>
      <c r="CB555" s="546"/>
      <c r="CC555" s="546"/>
      <c r="CD555" s="546"/>
      <c r="CE555" s="546"/>
      <c r="CF555" s="546"/>
      <c r="CG555" s="547"/>
      <c r="CH555" s="633"/>
      <c r="CI555" s="546"/>
      <c r="CJ555" s="83" t="str">
        <f t="shared" si="130"/>
        <v>No aplica</v>
      </c>
      <c r="CK555" s="83" t="str">
        <f t="shared" si="131"/>
        <v>No aplica</v>
      </c>
      <c r="CL555" s="83" t="str">
        <f t="shared" si="123"/>
        <v>No requiere reporte</v>
      </c>
      <c r="CM555" s="89" t="str">
        <f t="shared" si="124"/>
        <v>No requiere reporte</v>
      </c>
      <c r="CN555" s="89" t="str">
        <f t="shared" si="125"/>
        <v>No requiere reporte</v>
      </c>
      <c r="CO555" s="394" t="s">
        <v>366</v>
      </c>
      <c r="CP555" s="747" t="s">
        <v>4452</v>
      </c>
      <c r="CQ555" s="748" t="s">
        <v>4453</v>
      </c>
      <c r="CR555" s="748" t="s">
        <v>4454</v>
      </c>
      <c r="CS555" s="748" t="s">
        <v>4455</v>
      </c>
      <c r="CT555" s="658" t="s">
        <v>953</v>
      </c>
      <c r="CU555" s="658" t="s">
        <v>233</v>
      </c>
      <c r="CV555" s="749" t="s">
        <v>182</v>
      </c>
      <c r="CW555" s="658" t="s">
        <v>163</v>
      </c>
      <c r="CX555" s="395">
        <v>46023</v>
      </c>
      <c r="CY555" s="395">
        <v>46387</v>
      </c>
      <c r="CZ555" s="749">
        <v>0</v>
      </c>
      <c r="DA555" s="749">
        <v>0.66</v>
      </c>
      <c r="DB555" s="455">
        <v>0</v>
      </c>
      <c r="DC555" s="455">
        <v>0.34</v>
      </c>
      <c r="DD555" s="146">
        <v>1</v>
      </c>
      <c r="DE555" s="394" t="s">
        <v>265</v>
      </c>
      <c r="DF555" s="394" t="s">
        <v>4456</v>
      </c>
      <c r="DG555" s="394" t="s">
        <v>4457</v>
      </c>
      <c r="DH555" s="750">
        <v>2000000000</v>
      </c>
      <c r="DI555" s="394" t="s">
        <v>1022</v>
      </c>
      <c r="DJ555" s="394" t="s">
        <v>480</v>
      </c>
      <c r="DK555" s="658" t="s">
        <v>1024</v>
      </c>
      <c r="DL555" s="394" t="s">
        <v>279</v>
      </c>
      <c r="DM555" s="394"/>
      <c r="DN555" s="560"/>
      <c r="DO555" s="745"/>
      <c r="DP555" s="751"/>
      <c r="DQ555" s="751"/>
      <c r="DR555" s="751"/>
      <c r="DS555" s="752"/>
      <c r="DT555" s="745"/>
      <c r="DU555" s="751"/>
      <c r="DV555" s="751"/>
      <c r="DW555" s="751"/>
      <c r="DX555" s="752"/>
      <c r="DY555" s="745"/>
      <c r="DZ555" s="751"/>
      <c r="EA555" s="751"/>
      <c r="EB555" s="751"/>
      <c r="EC555" s="546"/>
      <c r="ED555" s="546"/>
      <c r="EE555" s="546"/>
      <c r="EF555" s="546"/>
      <c r="EG555" s="546"/>
      <c r="EH555" s="753"/>
      <c r="EI555" s="754"/>
      <c r="EJ555" s="754"/>
      <c r="EK555" s="755"/>
      <c r="EL555" s="91" t="str">
        <f t="shared" si="126"/>
        <v>No aplica, no hay meta</v>
      </c>
      <c r="EM555" s="83" t="str">
        <f t="shared" si="127"/>
        <v>No se reportó avance</v>
      </c>
      <c r="EN555" s="756"/>
      <c r="EO555" t="str">
        <f t="shared" si="132"/>
        <v>Producto</v>
      </c>
      <c r="EP555" t="str">
        <f t="shared" si="133"/>
        <v>5</v>
      </c>
    </row>
    <row r="556" spans="1:146" ht="80.099999999999994" customHeight="1">
      <c r="A556" s="377" t="s">
        <v>4366</v>
      </c>
      <c r="B556" s="378" t="s">
        <v>4367</v>
      </c>
      <c r="C556" s="378" t="s">
        <v>4368</v>
      </c>
      <c r="D556" s="378" t="s">
        <v>4369</v>
      </c>
      <c r="E556" s="378" t="s">
        <v>4370</v>
      </c>
      <c r="F556" s="377" t="s">
        <v>4371</v>
      </c>
      <c r="G556" s="533"/>
      <c r="H556" s="533"/>
      <c r="I556" s="377" t="s">
        <v>3054</v>
      </c>
      <c r="J556" s="377" t="s">
        <v>4372</v>
      </c>
      <c r="K556" s="377" t="s">
        <v>4373</v>
      </c>
      <c r="L556" s="382">
        <v>4</v>
      </c>
      <c r="M556" s="382" t="s">
        <v>4458</v>
      </c>
      <c r="N556" s="382" t="s">
        <v>4459</v>
      </c>
      <c r="O556" s="382" t="s">
        <v>4460</v>
      </c>
      <c r="P556" s="382" t="s">
        <v>161</v>
      </c>
      <c r="Q556" s="382" t="s">
        <v>275</v>
      </c>
      <c r="R556" s="382" t="s">
        <v>182</v>
      </c>
      <c r="S556" s="382" t="s">
        <v>163</v>
      </c>
      <c r="T556" s="436">
        <v>44927</v>
      </c>
      <c r="U556" s="436">
        <v>46387</v>
      </c>
      <c r="V556" s="451">
        <v>0</v>
      </c>
      <c r="W556" s="451">
        <v>0.125</v>
      </c>
      <c r="X556" s="451">
        <v>0.1875</v>
      </c>
      <c r="Y556" s="451">
        <v>0.25</v>
      </c>
      <c r="Z556" s="451">
        <v>0.25</v>
      </c>
      <c r="AA556" s="451">
        <v>0.3125</v>
      </c>
      <c r="AB556" s="451">
        <v>0.375</v>
      </c>
      <c r="AC556" s="451">
        <v>0.4375</v>
      </c>
      <c r="AD556" s="451">
        <v>0.5</v>
      </c>
      <c r="AE556" s="451">
        <v>0.5</v>
      </c>
      <c r="AF556" s="451">
        <v>0.5625</v>
      </c>
      <c r="AG556" s="451">
        <v>0.625</v>
      </c>
      <c r="AH556" s="451">
        <v>0.6875</v>
      </c>
      <c r="AI556" s="451">
        <v>0.75</v>
      </c>
      <c r="AJ556" s="451">
        <v>0.75</v>
      </c>
      <c r="AK556" s="562">
        <v>0.8125</v>
      </c>
      <c r="AL556" s="562">
        <v>0.875</v>
      </c>
      <c r="AM556" s="562">
        <v>0.9375</v>
      </c>
      <c r="AN556" s="562">
        <v>1</v>
      </c>
      <c r="AO556" s="562">
        <v>1</v>
      </c>
      <c r="AP556" s="562">
        <v>1</v>
      </c>
      <c r="AQ556" s="546"/>
      <c r="AR556" s="546"/>
      <c r="AS556" s="546"/>
      <c r="AT556" s="546"/>
      <c r="AU556" s="546"/>
      <c r="AV556" s="546"/>
      <c r="AW556" s="546"/>
      <c r="AX556" s="546"/>
      <c r="AY556" s="563">
        <v>0.25</v>
      </c>
      <c r="AZ556" s="744" t="s">
        <v>4461</v>
      </c>
      <c r="BA556" s="563">
        <v>0.25</v>
      </c>
      <c r="BB556" s="744" t="s">
        <v>4404</v>
      </c>
      <c r="BC556" s="563">
        <v>0.5</v>
      </c>
      <c r="BD556" s="744" t="s">
        <v>4405</v>
      </c>
      <c r="BE556" s="563">
        <v>0.75</v>
      </c>
      <c r="BF556" s="744" t="s">
        <v>4406</v>
      </c>
      <c r="BG556" s="563">
        <v>1</v>
      </c>
      <c r="BH556" s="744" t="s">
        <v>4407</v>
      </c>
      <c r="BI556" s="563">
        <f>100%*AE556</f>
        <v>0.5</v>
      </c>
      <c r="BJ556" s="744" t="s">
        <v>4408</v>
      </c>
      <c r="BK556" s="573">
        <v>6.25E-2</v>
      </c>
      <c r="BL556" s="744" t="s">
        <v>4462</v>
      </c>
      <c r="BM556" s="573">
        <v>6.25E-2</v>
      </c>
      <c r="BN556" s="744" t="s">
        <v>4463</v>
      </c>
      <c r="BO556" s="632">
        <v>6.25E-2</v>
      </c>
      <c r="BP556" s="745" t="s">
        <v>4464</v>
      </c>
      <c r="BQ556" s="546"/>
      <c r="BR556" s="546"/>
      <c r="BS556" s="560">
        <f>+BK556+BM556+BO556</f>
        <v>0.1875</v>
      </c>
      <c r="BT556" s="546"/>
      <c r="BU556" s="546"/>
      <c r="BV556" s="546"/>
      <c r="BW556" s="546"/>
      <c r="BX556" s="546"/>
      <c r="BY556" s="546"/>
      <c r="BZ556" s="546"/>
      <c r="CA556" s="546"/>
      <c r="CB556" s="546"/>
      <c r="CC556" s="546"/>
      <c r="CD556" s="546"/>
      <c r="CE556" s="746">
        <f>+BI556+BS556</f>
        <v>0.6875</v>
      </c>
      <c r="CF556" s="546"/>
      <c r="CG556" s="392">
        <f>SUM(DH556:DH558)</f>
        <v>7546795243</v>
      </c>
      <c r="CH556" s="574"/>
      <c r="CI556" s="574"/>
      <c r="CJ556" s="83">
        <f t="shared" si="130"/>
        <v>0</v>
      </c>
      <c r="CK556" s="83">
        <f t="shared" si="131"/>
        <v>0</v>
      </c>
      <c r="CL556" s="83" t="str">
        <f t="shared" si="123"/>
        <v>No se reportó avance</v>
      </c>
      <c r="CM556" s="89" t="str">
        <f t="shared" si="124"/>
        <v>No se reportó avance</v>
      </c>
      <c r="CN556" s="89">
        <f t="shared" si="125"/>
        <v>0.6875</v>
      </c>
      <c r="CO556" s="394" t="s">
        <v>391</v>
      </c>
      <c r="CP556" s="757" t="s">
        <v>4465</v>
      </c>
      <c r="CQ556" s="747" t="s">
        <v>4466</v>
      </c>
      <c r="CR556" s="747" t="s">
        <v>4467</v>
      </c>
      <c r="CS556" s="748" t="s">
        <v>4468</v>
      </c>
      <c r="CT556" s="394" t="s">
        <v>161</v>
      </c>
      <c r="CU556" s="394" t="s">
        <v>233</v>
      </c>
      <c r="CV556" s="394" t="s">
        <v>182</v>
      </c>
      <c r="CW556" s="394" t="s">
        <v>163</v>
      </c>
      <c r="CX556" s="395">
        <v>46023</v>
      </c>
      <c r="CY556" s="395">
        <v>46387</v>
      </c>
      <c r="CZ556" s="414">
        <v>0.25</v>
      </c>
      <c r="DA556" s="414">
        <v>0.25</v>
      </c>
      <c r="DB556" s="414">
        <v>0.25</v>
      </c>
      <c r="DC556" s="414">
        <v>0.25</v>
      </c>
      <c r="DD556" s="146">
        <v>1</v>
      </c>
      <c r="DE556" s="394" t="s">
        <v>514</v>
      </c>
      <c r="DF556" s="394" t="s">
        <v>4390</v>
      </c>
      <c r="DG556" s="758" t="s">
        <v>4391</v>
      </c>
      <c r="DH556" s="750">
        <v>1811951195</v>
      </c>
      <c r="DI556" s="758" t="s">
        <v>1022</v>
      </c>
      <c r="DJ556" s="394" t="s">
        <v>480</v>
      </c>
      <c r="DK556" s="658" t="s">
        <v>1024</v>
      </c>
      <c r="DL556" s="394" t="s">
        <v>279</v>
      </c>
      <c r="DM556" s="394"/>
      <c r="DN556" s="753"/>
      <c r="DO556" s="745"/>
      <c r="DP556" s="751"/>
      <c r="DQ556" s="751"/>
      <c r="DR556" s="751"/>
      <c r="DS556" s="753"/>
      <c r="DT556" s="745"/>
      <c r="DU556" s="751"/>
      <c r="DV556" s="751"/>
      <c r="DW556" s="751"/>
      <c r="DX556" s="753"/>
      <c r="DY556" s="745"/>
      <c r="DZ556" s="751"/>
      <c r="EA556" s="751"/>
      <c r="EB556" s="751"/>
      <c r="EC556" s="546"/>
      <c r="ED556" s="546"/>
      <c r="EE556" s="546"/>
      <c r="EF556" s="546"/>
      <c r="EG556" s="546"/>
      <c r="EH556" s="753"/>
      <c r="EI556" s="754"/>
      <c r="EJ556" s="754"/>
      <c r="EK556" s="755"/>
      <c r="EL556" s="91" t="str">
        <f t="shared" si="126"/>
        <v>No se reportó avance</v>
      </c>
      <c r="EM556" s="83" t="str">
        <f t="shared" si="127"/>
        <v>No se reportó avance</v>
      </c>
      <c r="EN556" s="756"/>
      <c r="EO556" t="str">
        <f t="shared" si="132"/>
        <v>Producto</v>
      </c>
      <c r="EP556" t="str">
        <f t="shared" si="133"/>
        <v>5</v>
      </c>
    </row>
    <row r="557" spans="1:146" ht="80.099999999999994" customHeight="1">
      <c r="A557" s="390" t="s">
        <v>4366</v>
      </c>
      <c r="B557" s="398" t="s">
        <v>4367</v>
      </c>
      <c r="C557" s="398" t="s">
        <v>4368</v>
      </c>
      <c r="D557" s="398" t="s">
        <v>4369</v>
      </c>
      <c r="E557" s="398" t="s">
        <v>4370</v>
      </c>
      <c r="F557" s="390" t="s">
        <v>4371</v>
      </c>
      <c r="G557" s="575"/>
      <c r="H557" s="575"/>
      <c r="I557" s="390" t="s">
        <v>3054</v>
      </c>
      <c r="J557" s="390" t="s">
        <v>4372</v>
      </c>
      <c r="K557" s="390"/>
      <c r="L557" s="402">
        <v>4</v>
      </c>
      <c r="M557" s="390" t="s">
        <v>4458</v>
      </c>
      <c r="N557" s="390" t="s">
        <v>4459</v>
      </c>
      <c r="O557" s="390" t="s">
        <v>4460</v>
      </c>
      <c r="P557" s="390" t="s">
        <v>161</v>
      </c>
      <c r="Q557" s="390" t="s">
        <v>275</v>
      </c>
      <c r="R557" s="390" t="s">
        <v>182</v>
      </c>
      <c r="S557" s="390" t="s">
        <v>163</v>
      </c>
      <c r="T557" s="437">
        <v>44927</v>
      </c>
      <c r="U557" s="437">
        <v>46387</v>
      </c>
      <c r="V557" s="576"/>
      <c r="W557" s="576"/>
      <c r="X557" s="576"/>
      <c r="Y557" s="576"/>
      <c r="Z557" s="172"/>
      <c r="AA557" s="172"/>
      <c r="AB557" s="172"/>
      <c r="AC557" s="172"/>
      <c r="AD557" s="172"/>
      <c r="AE557" s="172"/>
      <c r="AF557" s="578"/>
      <c r="AG557" s="578"/>
      <c r="AH557" s="578"/>
      <c r="AI557" s="578"/>
      <c r="AJ557" s="172"/>
      <c r="AK557" s="579"/>
      <c r="AL557" s="579"/>
      <c r="AM557" s="579"/>
      <c r="AN557" s="579"/>
      <c r="AO557" s="413"/>
      <c r="AP557" s="413"/>
      <c r="AQ557" s="546"/>
      <c r="AR557" s="546"/>
      <c r="AS557" s="546"/>
      <c r="AT557" s="546"/>
      <c r="AU557" s="546"/>
      <c r="AV557" s="546"/>
      <c r="AW557" s="546"/>
      <c r="AX557" s="546"/>
      <c r="AY557" s="546"/>
      <c r="AZ557" s="546"/>
      <c r="BA557" s="546"/>
      <c r="BB557" s="546"/>
      <c r="BC557" s="546"/>
      <c r="BD557" s="546"/>
      <c r="BE557" s="546"/>
      <c r="BF557" s="546"/>
      <c r="BG557" s="546"/>
      <c r="BH557" s="546"/>
      <c r="BI557" s="546"/>
      <c r="BJ557" s="546"/>
      <c r="BK557" s="546"/>
      <c r="BL557" s="546"/>
      <c r="BM557" s="546"/>
      <c r="BN557" s="546"/>
      <c r="BO557" s="546"/>
      <c r="BP557" s="546"/>
      <c r="BQ557" s="546"/>
      <c r="BR557" s="546"/>
      <c r="BS557" s="546"/>
      <c r="BT557" s="546"/>
      <c r="BU557" s="546"/>
      <c r="BV557" s="546"/>
      <c r="BW557" s="546"/>
      <c r="BX557" s="546"/>
      <c r="BY557" s="546"/>
      <c r="BZ557" s="546"/>
      <c r="CA557" s="546"/>
      <c r="CB557" s="546"/>
      <c r="CC557" s="546"/>
      <c r="CD557" s="546"/>
      <c r="CE557" s="546"/>
      <c r="CF557" s="546"/>
      <c r="CG557" s="547"/>
      <c r="CH557" s="633"/>
      <c r="CI557" s="546"/>
      <c r="CJ557" s="83" t="str">
        <f t="shared" si="130"/>
        <v>No aplica</v>
      </c>
      <c r="CK557" s="83" t="str">
        <f t="shared" si="131"/>
        <v>No aplica</v>
      </c>
      <c r="CL557" s="83" t="str">
        <f t="shared" si="123"/>
        <v>No requiere reporte</v>
      </c>
      <c r="CM557" s="89" t="str">
        <f t="shared" si="124"/>
        <v>No requiere reporte</v>
      </c>
      <c r="CN557" s="89" t="str">
        <f t="shared" si="125"/>
        <v>No requiere reporte</v>
      </c>
      <c r="CO557" s="658" t="s">
        <v>403</v>
      </c>
      <c r="CP557" s="748" t="s">
        <v>4469</v>
      </c>
      <c r="CQ557" s="747" t="s">
        <v>4470</v>
      </c>
      <c r="CR557" s="747" t="s">
        <v>4471</v>
      </c>
      <c r="CS557" s="747" t="s">
        <v>4472</v>
      </c>
      <c r="CT557" s="394" t="s">
        <v>161</v>
      </c>
      <c r="CU557" s="394" t="s">
        <v>233</v>
      </c>
      <c r="CV557" s="394" t="s">
        <v>182</v>
      </c>
      <c r="CW557" s="394" t="s">
        <v>163</v>
      </c>
      <c r="CX557" s="395">
        <v>46023</v>
      </c>
      <c r="CY557" s="395">
        <v>46387</v>
      </c>
      <c r="CZ557" s="414">
        <v>0.2</v>
      </c>
      <c r="DA557" s="414">
        <v>0.3</v>
      </c>
      <c r="DB557" s="414">
        <v>0.3</v>
      </c>
      <c r="DC557" s="414">
        <v>0.2</v>
      </c>
      <c r="DD557" s="146">
        <v>1</v>
      </c>
      <c r="DE557" s="394" t="s">
        <v>514</v>
      </c>
      <c r="DF557" s="394" t="s">
        <v>4390</v>
      </c>
      <c r="DG557" s="394" t="s">
        <v>4391</v>
      </c>
      <c r="DH557" s="750">
        <v>4709500592</v>
      </c>
      <c r="DI557" s="394" t="s">
        <v>1022</v>
      </c>
      <c r="DJ557" s="394" t="s">
        <v>480</v>
      </c>
      <c r="DK557" s="658" t="s">
        <v>1024</v>
      </c>
      <c r="DL557" s="394" t="s">
        <v>279</v>
      </c>
      <c r="DM557" s="394"/>
      <c r="DN557" s="753"/>
      <c r="DO557" s="745"/>
      <c r="DP557" s="751"/>
      <c r="DQ557" s="751"/>
      <c r="DR557" s="751"/>
      <c r="DS557" s="753"/>
      <c r="DT557" s="745"/>
      <c r="DU557" s="751"/>
      <c r="DV557" s="751"/>
      <c r="DW557" s="751"/>
      <c r="DX557" s="753"/>
      <c r="DY557" s="745"/>
      <c r="DZ557" s="751"/>
      <c r="EA557" s="751"/>
      <c r="EB557" s="751"/>
      <c r="EC557" s="546"/>
      <c r="ED557" s="546"/>
      <c r="EE557" s="546"/>
      <c r="EF557" s="546"/>
      <c r="EG557" s="546"/>
      <c r="EH557" s="753"/>
      <c r="EI557" s="754"/>
      <c r="EJ557" s="754"/>
      <c r="EK557" s="755"/>
      <c r="EL557" s="91" t="str">
        <f t="shared" si="126"/>
        <v>No se reportó avance</v>
      </c>
      <c r="EM557" s="83" t="str">
        <f t="shared" si="127"/>
        <v>No se reportó avance</v>
      </c>
      <c r="EN557" s="756"/>
      <c r="EO557" t="str">
        <f t="shared" si="132"/>
        <v>Producto</v>
      </c>
      <c r="EP557" t="str">
        <f t="shared" si="133"/>
        <v>5</v>
      </c>
    </row>
    <row r="558" spans="1:146" ht="80.099999999999994" customHeight="1">
      <c r="A558" s="390" t="s">
        <v>4366</v>
      </c>
      <c r="B558" s="398" t="s">
        <v>4367</v>
      </c>
      <c r="C558" s="398" t="s">
        <v>4368</v>
      </c>
      <c r="D558" s="398" t="s">
        <v>4369</v>
      </c>
      <c r="E558" s="398" t="s">
        <v>4370</v>
      </c>
      <c r="F558" s="390" t="s">
        <v>4371</v>
      </c>
      <c r="G558" s="575"/>
      <c r="H558" s="575"/>
      <c r="I558" s="390" t="s">
        <v>3054</v>
      </c>
      <c r="J558" s="390" t="s">
        <v>4372</v>
      </c>
      <c r="K558" s="390"/>
      <c r="L558" s="402">
        <v>4</v>
      </c>
      <c r="M558" s="390" t="s">
        <v>4458</v>
      </c>
      <c r="N558" s="390" t="s">
        <v>4459</v>
      </c>
      <c r="O558" s="390" t="s">
        <v>4460</v>
      </c>
      <c r="P558" s="390" t="s">
        <v>161</v>
      </c>
      <c r="Q558" s="390" t="s">
        <v>275</v>
      </c>
      <c r="R558" s="390" t="s">
        <v>182</v>
      </c>
      <c r="S558" s="390" t="s">
        <v>163</v>
      </c>
      <c r="T558" s="437">
        <v>44927</v>
      </c>
      <c r="U558" s="437">
        <v>46387</v>
      </c>
      <c r="V558" s="576"/>
      <c r="W558" s="576"/>
      <c r="X558" s="576"/>
      <c r="Y558" s="576"/>
      <c r="Z558" s="172"/>
      <c r="AA558" s="172"/>
      <c r="AB558" s="172"/>
      <c r="AC558" s="172"/>
      <c r="AD558" s="172"/>
      <c r="AE558" s="172"/>
      <c r="AF558" s="578"/>
      <c r="AG558" s="578"/>
      <c r="AH558" s="578"/>
      <c r="AI558" s="578"/>
      <c r="AJ558" s="172"/>
      <c r="AK558" s="579"/>
      <c r="AL558" s="579"/>
      <c r="AM558" s="579"/>
      <c r="AN558" s="579"/>
      <c r="AO558" s="413"/>
      <c r="AP558" s="413"/>
      <c r="AQ558" s="546"/>
      <c r="AR558" s="546"/>
      <c r="AS558" s="546"/>
      <c r="AT558" s="546"/>
      <c r="AU558" s="546"/>
      <c r="AV558" s="546"/>
      <c r="AW558" s="546"/>
      <c r="AX558" s="546"/>
      <c r="AY558" s="546"/>
      <c r="AZ558" s="546"/>
      <c r="BA558" s="546"/>
      <c r="BB558" s="546"/>
      <c r="BC558" s="546"/>
      <c r="BD558" s="546"/>
      <c r="BE558" s="546"/>
      <c r="BF558" s="546"/>
      <c r="BG558" s="546"/>
      <c r="BH558" s="546"/>
      <c r="BI558" s="546"/>
      <c r="BJ558" s="546"/>
      <c r="BK558" s="546"/>
      <c r="BL558" s="546"/>
      <c r="BM558" s="546"/>
      <c r="BN558" s="546"/>
      <c r="BO558" s="546"/>
      <c r="BP558" s="546"/>
      <c r="BQ558" s="546"/>
      <c r="BR558" s="546"/>
      <c r="BS558" s="546"/>
      <c r="BT558" s="546"/>
      <c r="BU558" s="546"/>
      <c r="BV558" s="546"/>
      <c r="BW558" s="546"/>
      <c r="BX558" s="546"/>
      <c r="BY558" s="546"/>
      <c r="BZ558" s="546"/>
      <c r="CA558" s="546"/>
      <c r="CB558" s="546"/>
      <c r="CC558" s="546"/>
      <c r="CD558" s="546"/>
      <c r="CE558" s="546"/>
      <c r="CF558" s="546"/>
      <c r="CG558" s="581"/>
      <c r="CH558" s="634"/>
      <c r="CI558" s="635"/>
      <c r="CJ558" s="138" t="str">
        <f t="shared" si="130"/>
        <v>No aplica</v>
      </c>
      <c r="CK558" s="138" t="str">
        <f t="shared" si="131"/>
        <v>No aplica</v>
      </c>
      <c r="CL558" s="83" t="str">
        <f t="shared" si="123"/>
        <v>No requiere reporte</v>
      </c>
      <c r="CM558" s="89" t="str">
        <f t="shared" si="124"/>
        <v>No requiere reporte</v>
      </c>
      <c r="CN558" s="89" t="str">
        <f t="shared" si="125"/>
        <v>No requiere reporte</v>
      </c>
      <c r="CO558" s="394" t="s">
        <v>408</v>
      </c>
      <c r="CP558" s="747" t="s">
        <v>4473</v>
      </c>
      <c r="CQ558" s="747" t="s">
        <v>4474</v>
      </c>
      <c r="CR558" s="747" t="s">
        <v>4475</v>
      </c>
      <c r="CS558" s="747" t="s">
        <v>4476</v>
      </c>
      <c r="CT558" s="394" t="s">
        <v>161</v>
      </c>
      <c r="CU558" s="394" t="s">
        <v>233</v>
      </c>
      <c r="CV558" s="394" t="s">
        <v>182</v>
      </c>
      <c r="CW558" s="394" t="s">
        <v>163</v>
      </c>
      <c r="CX558" s="395">
        <v>46023</v>
      </c>
      <c r="CY558" s="395">
        <v>46387</v>
      </c>
      <c r="CZ558" s="414">
        <v>0.5</v>
      </c>
      <c r="DA558" s="414">
        <v>0</v>
      </c>
      <c r="DB558" s="414">
        <v>0.2</v>
      </c>
      <c r="DC558" s="414">
        <v>0.3</v>
      </c>
      <c r="DD558" s="146">
        <v>1</v>
      </c>
      <c r="DE558" s="394" t="s">
        <v>514</v>
      </c>
      <c r="DF558" s="394" t="s">
        <v>4390</v>
      </c>
      <c r="DG558" s="394" t="s">
        <v>4391</v>
      </c>
      <c r="DH558" s="750">
        <v>1025343456</v>
      </c>
      <c r="DI558" s="394" t="s">
        <v>1022</v>
      </c>
      <c r="DJ558" s="394" t="s">
        <v>480</v>
      </c>
      <c r="DK558" s="658" t="s">
        <v>1024</v>
      </c>
      <c r="DL558" s="394" t="s">
        <v>279</v>
      </c>
      <c r="DM558" s="394"/>
      <c r="DN558" s="753"/>
      <c r="DO558" s="745"/>
      <c r="DP558" s="751"/>
      <c r="DQ558" s="751"/>
      <c r="DR558" s="751"/>
      <c r="DS558" s="898"/>
      <c r="DT558" s="745"/>
      <c r="DU558" s="751"/>
      <c r="DV558" s="751"/>
      <c r="DW558" s="751"/>
      <c r="DX558" s="898"/>
      <c r="DY558" s="745"/>
      <c r="DZ558" s="751"/>
      <c r="EA558" s="751"/>
      <c r="EB558" s="751"/>
      <c r="EC558" s="546"/>
      <c r="ED558" s="546"/>
      <c r="EE558" s="546"/>
      <c r="EF558" s="546"/>
      <c r="EG558" s="546"/>
      <c r="EH558" s="753"/>
      <c r="EI558" s="754"/>
      <c r="EJ558" s="754"/>
      <c r="EK558" s="755"/>
      <c r="EL558" s="91" t="str">
        <f t="shared" si="126"/>
        <v>No se reportó avance</v>
      </c>
      <c r="EM558" s="83" t="str">
        <f t="shared" si="127"/>
        <v>No se reportó avance</v>
      </c>
      <c r="EN558" s="756"/>
      <c r="EO558" t="str">
        <f t="shared" si="132"/>
        <v>Producto</v>
      </c>
      <c r="EP558" t="str">
        <f t="shared" si="133"/>
        <v>5</v>
      </c>
    </row>
    <row r="559" spans="1:146" s="93" customFormat="1" ht="110.1" customHeight="1">
      <c r="A559" s="182" t="s">
        <v>4477</v>
      </c>
      <c r="B559" s="582" t="s">
        <v>4478</v>
      </c>
      <c r="C559" s="583" t="s">
        <v>1966</v>
      </c>
      <c r="D559" s="583" t="s">
        <v>4479</v>
      </c>
      <c r="E559" s="583" t="s">
        <v>4480</v>
      </c>
      <c r="F559" s="584" t="s">
        <v>1969</v>
      </c>
      <c r="G559" s="582" t="s">
        <v>2370</v>
      </c>
      <c r="H559" s="584" t="s">
        <v>4481</v>
      </c>
      <c r="I559" s="585" t="s">
        <v>728</v>
      </c>
      <c r="J559" s="585" t="s">
        <v>1723</v>
      </c>
      <c r="K559" s="586" t="s">
        <v>4482</v>
      </c>
      <c r="L559" s="294">
        <v>1</v>
      </c>
      <c r="M559" s="587" t="s">
        <v>4483</v>
      </c>
      <c r="N559" s="587" t="s">
        <v>4484</v>
      </c>
      <c r="O559" s="587" t="s">
        <v>4485</v>
      </c>
      <c r="P559" s="588" t="s">
        <v>200</v>
      </c>
      <c r="Q559" s="294" t="s">
        <v>162</v>
      </c>
      <c r="R559" s="376">
        <v>1</v>
      </c>
      <c r="S559" s="294" t="s">
        <v>163</v>
      </c>
      <c r="T559" s="141">
        <v>44927</v>
      </c>
      <c r="U559" s="141">
        <v>46387</v>
      </c>
      <c r="V559" s="183">
        <v>1</v>
      </c>
      <c r="W559" s="183">
        <v>1</v>
      </c>
      <c r="X559" s="183">
        <v>1</v>
      </c>
      <c r="Y559" s="183">
        <v>1</v>
      </c>
      <c r="Z559" s="376">
        <v>1</v>
      </c>
      <c r="AA559" s="198">
        <v>1</v>
      </c>
      <c r="AB559" s="198">
        <v>1</v>
      </c>
      <c r="AC559" s="198">
        <v>1</v>
      </c>
      <c r="AD559" s="198">
        <v>1</v>
      </c>
      <c r="AE559" s="376">
        <v>1</v>
      </c>
      <c r="AF559" s="376">
        <v>1</v>
      </c>
      <c r="AG559" s="376">
        <v>1</v>
      </c>
      <c r="AH559" s="376">
        <v>1</v>
      </c>
      <c r="AI559" s="376">
        <v>1</v>
      </c>
      <c r="AJ559" s="376">
        <v>1</v>
      </c>
      <c r="AK559" s="376">
        <v>1</v>
      </c>
      <c r="AL559" s="376">
        <v>1</v>
      </c>
      <c r="AM559" s="376">
        <v>1</v>
      </c>
      <c r="AN559" s="376">
        <v>1</v>
      </c>
      <c r="AO559" s="376">
        <v>1</v>
      </c>
      <c r="AP559" s="376">
        <v>1</v>
      </c>
      <c r="AQ559" s="144">
        <f>448/448</f>
        <v>1</v>
      </c>
      <c r="AR559" s="131" t="s">
        <v>4486</v>
      </c>
      <c r="AS559" s="144">
        <f>344/344</f>
        <v>1</v>
      </c>
      <c r="AT559" s="131" t="s">
        <v>4487</v>
      </c>
      <c r="AU559" s="144">
        <f>+(282+25)/(282+25)</f>
        <v>1</v>
      </c>
      <c r="AV559" s="131" t="s">
        <v>4488</v>
      </c>
      <c r="AW559" s="144">
        <v>1</v>
      </c>
      <c r="AX559" s="131" t="s">
        <v>4489</v>
      </c>
      <c r="AY559" s="861">
        <f>+(1099/1099)</f>
        <v>1</v>
      </c>
      <c r="AZ559" s="86" t="s">
        <v>4490</v>
      </c>
      <c r="BA559" s="861">
        <f>4777/4777</f>
        <v>1</v>
      </c>
      <c r="BB559" s="131" t="s">
        <v>4491</v>
      </c>
      <c r="BC559" s="861">
        <f>3543/3543</f>
        <v>1</v>
      </c>
      <c r="BD559" s="131" t="s">
        <v>4492</v>
      </c>
      <c r="BE559" s="861">
        <f>4473/4473</f>
        <v>1</v>
      </c>
      <c r="BF559" s="131" t="s">
        <v>4493</v>
      </c>
      <c r="BG559" s="861">
        <f>4153/4153</f>
        <v>1</v>
      </c>
      <c r="BH559" s="861" t="s">
        <v>4494</v>
      </c>
      <c r="BI559" s="199">
        <f>16946/16946</f>
        <v>1</v>
      </c>
      <c r="BJ559" s="86" t="s">
        <v>4495</v>
      </c>
      <c r="BK559" s="144">
        <f>5162/5162</f>
        <v>1</v>
      </c>
      <c r="BL559" s="106" t="s">
        <v>4496</v>
      </c>
      <c r="BM559" s="144">
        <f>(5721/5721)</f>
        <v>1</v>
      </c>
      <c r="BN559" s="86" t="s">
        <v>4497</v>
      </c>
      <c r="BO559" s="144">
        <f>5605/5605</f>
        <v>1</v>
      </c>
      <c r="BP559" s="86" t="s">
        <v>4498</v>
      </c>
      <c r="BQ559" s="144"/>
      <c r="BR559" s="131"/>
      <c r="BS559" s="144">
        <f>+SUM(BO559,BM559,BK559)/SUM(AF559:AI559)</f>
        <v>0.75</v>
      </c>
      <c r="BT559" s="131"/>
      <c r="BU559" s="144"/>
      <c r="BV559" s="131"/>
      <c r="BW559" s="144"/>
      <c r="BX559" s="131"/>
      <c r="BY559" s="144"/>
      <c r="BZ559" s="131"/>
      <c r="CA559" s="144"/>
      <c r="CB559" s="131"/>
      <c r="CC559" s="144"/>
      <c r="CD559" s="131"/>
      <c r="CE559" s="144">
        <v>1</v>
      </c>
      <c r="CF559" s="131"/>
      <c r="CG559" s="359">
        <f>SUM(DH559:DH560)</f>
        <v>484000000</v>
      </c>
      <c r="CH559" s="363"/>
      <c r="CI559" s="363"/>
      <c r="CJ559" s="144">
        <f t="shared" si="130"/>
        <v>0</v>
      </c>
      <c r="CK559" s="144">
        <f t="shared" si="131"/>
        <v>0</v>
      </c>
      <c r="CL559" s="83" t="str">
        <f t="shared" si="123"/>
        <v>No se reportó avance</v>
      </c>
      <c r="CM559" s="89" t="str">
        <f t="shared" si="124"/>
        <v>No se reportó avance</v>
      </c>
      <c r="CN559" s="89">
        <f t="shared" si="125"/>
        <v>1</v>
      </c>
      <c r="CO559" s="668" t="s">
        <v>177</v>
      </c>
      <c r="CP559" s="899" t="s">
        <v>4499</v>
      </c>
      <c r="CQ559" s="677" t="s">
        <v>4500</v>
      </c>
      <c r="CR559" s="677" t="s">
        <v>4501</v>
      </c>
      <c r="CS559" s="677" t="s">
        <v>4502</v>
      </c>
      <c r="CT559" s="668" t="s">
        <v>200</v>
      </c>
      <c r="CU559" s="668" t="s">
        <v>162</v>
      </c>
      <c r="CV559" s="733">
        <v>1</v>
      </c>
      <c r="CW559" s="668" t="s">
        <v>163</v>
      </c>
      <c r="CX559" s="669">
        <v>46023</v>
      </c>
      <c r="CY559" s="669">
        <v>46387</v>
      </c>
      <c r="CZ559" s="146">
        <v>1</v>
      </c>
      <c r="DA559" s="146">
        <v>1</v>
      </c>
      <c r="DB559" s="146">
        <v>1</v>
      </c>
      <c r="DC559" s="146">
        <v>1</v>
      </c>
      <c r="DD559" s="146">
        <v>1</v>
      </c>
      <c r="DE559" s="668" t="s">
        <v>514</v>
      </c>
      <c r="DF559" s="900" t="s">
        <v>4503</v>
      </c>
      <c r="DG559" s="677" t="s">
        <v>4504</v>
      </c>
      <c r="DH559" s="359">
        <v>234000000</v>
      </c>
      <c r="DI559" s="178" t="s">
        <v>956</v>
      </c>
      <c r="DJ559" s="178" t="s">
        <v>2606</v>
      </c>
      <c r="DK559" s="178" t="s">
        <v>2607</v>
      </c>
      <c r="DL559" s="178" t="s">
        <v>2708</v>
      </c>
      <c r="DM559" s="178" t="s">
        <v>4505</v>
      </c>
      <c r="DN559" s="144"/>
      <c r="DO559" s="589"/>
      <c r="DP559" s="150"/>
      <c r="DQ559" s="153"/>
      <c r="DR559" s="153"/>
      <c r="DS559" s="144"/>
      <c r="DT559" s="153"/>
      <c r="DU559" s="150"/>
      <c r="DV559" s="153"/>
      <c r="DW559" s="153"/>
      <c r="DX559" s="144"/>
      <c r="DY559" s="153"/>
      <c r="DZ559" s="150"/>
      <c r="EA559" s="153"/>
      <c r="EB559" s="153"/>
      <c r="EC559" s="144"/>
      <c r="ED559" s="131"/>
      <c r="EE559" s="131"/>
      <c r="EF559" s="131"/>
      <c r="EG559" s="131"/>
      <c r="EH559" s="144"/>
      <c r="EI559" s="131"/>
      <c r="EJ559" s="131"/>
      <c r="EK559" s="131"/>
      <c r="EL559" s="91" t="str">
        <f t="shared" si="126"/>
        <v>No se reportó avance</v>
      </c>
      <c r="EM559" s="83" t="str">
        <f t="shared" si="127"/>
        <v>No se reportó avance</v>
      </c>
      <c r="EN559" s="86" t="s">
        <v>4506</v>
      </c>
      <c r="EO559" s="93" t="str">
        <f t="shared" si="132"/>
        <v>Gestión</v>
      </c>
      <c r="EP559" s="93" t="str">
        <f t="shared" si="133"/>
        <v>6</v>
      </c>
    </row>
    <row r="560" spans="1:146" s="93" customFormat="1" ht="110.1" customHeight="1">
      <c r="A560" s="131" t="s">
        <v>4477</v>
      </c>
      <c r="B560" s="590" t="s">
        <v>4478</v>
      </c>
      <c r="C560" s="106" t="s">
        <v>1966</v>
      </c>
      <c r="D560" s="106" t="s">
        <v>4479</v>
      </c>
      <c r="E560" s="106" t="s">
        <v>4480</v>
      </c>
      <c r="F560" s="589" t="s">
        <v>1969</v>
      </c>
      <c r="G560" s="590" t="s">
        <v>2370</v>
      </c>
      <c r="H560" s="589" t="s">
        <v>4481</v>
      </c>
      <c r="I560" s="86" t="s">
        <v>728</v>
      </c>
      <c r="J560" s="86" t="s">
        <v>1723</v>
      </c>
      <c r="K560" s="153" t="s">
        <v>4482</v>
      </c>
      <c r="L560" s="131">
        <v>1</v>
      </c>
      <c r="M560" s="86" t="s">
        <v>4483</v>
      </c>
      <c r="N560" s="86" t="s">
        <v>4484</v>
      </c>
      <c r="O560" s="86" t="s">
        <v>4485</v>
      </c>
      <c r="P560" s="153" t="s">
        <v>200</v>
      </c>
      <c r="Q560" s="131" t="s">
        <v>162</v>
      </c>
      <c r="R560" s="199">
        <v>1</v>
      </c>
      <c r="S560" s="131" t="s">
        <v>163</v>
      </c>
      <c r="T560" s="139">
        <v>44927</v>
      </c>
      <c r="U560" s="139">
        <v>46387</v>
      </c>
      <c r="V560" s="144">
        <v>1</v>
      </c>
      <c r="W560" s="144">
        <v>1</v>
      </c>
      <c r="X560" s="144">
        <v>1</v>
      </c>
      <c r="Y560" s="144">
        <v>1</v>
      </c>
      <c r="Z560" s="199">
        <v>1</v>
      </c>
      <c r="AA560" s="199">
        <v>1</v>
      </c>
      <c r="AB560" s="199">
        <v>1</v>
      </c>
      <c r="AC560" s="199">
        <v>1</v>
      </c>
      <c r="AD560" s="199">
        <v>1</v>
      </c>
      <c r="AE560" s="199">
        <v>1</v>
      </c>
      <c r="AF560" s="199">
        <v>1</v>
      </c>
      <c r="AG560" s="199">
        <v>1</v>
      </c>
      <c r="AH560" s="199">
        <v>1</v>
      </c>
      <c r="AI560" s="199">
        <v>1</v>
      </c>
      <c r="AJ560" s="199">
        <v>1</v>
      </c>
      <c r="AK560" s="199">
        <v>1</v>
      </c>
      <c r="AL560" s="199">
        <v>1</v>
      </c>
      <c r="AM560" s="199">
        <v>1</v>
      </c>
      <c r="AN560" s="199">
        <v>1</v>
      </c>
      <c r="AO560" s="199">
        <v>1</v>
      </c>
      <c r="AP560" s="199">
        <v>1</v>
      </c>
      <c r="AQ560" s="144"/>
      <c r="AR560" s="131"/>
      <c r="AS560" s="144"/>
      <c r="AT560" s="131"/>
      <c r="AU560" s="144"/>
      <c r="AV560" s="131"/>
      <c r="AW560" s="144"/>
      <c r="AX560" s="131"/>
      <c r="AY560" s="144"/>
      <c r="AZ560" s="86"/>
      <c r="BA560" s="144"/>
      <c r="BB560" s="131"/>
      <c r="BC560" s="144"/>
      <c r="BD560" s="131"/>
      <c r="BE560" s="144"/>
      <c r="BF560" s="131"/>
      <c r="BG560" s="144"/>
      <c r="BH560" s="131"/>
      <c r="BI560" s="144"/>
      <c r="BJ560" s="86"/>
      <c r="BK560" s="144"/>
      <c r="BL560" s="86"/>
      <c r="BM560" s="144"/>
      <c r="BN560" s="86"/>
      <c r="BO560" s="144"/>
      <c r="BP560" s="86"/>
      <c r="BQ560" s="144"/>
      <c r="BR560" s="131"/>
      <c r="BS560" s="144"/>
      <c r="BT560" s="131"/>
      <c r="BU560" s="144"/>
      <c r="BV560" s="131"/>
      <c r="BW560" s="144"/>
      <c r="BX560" s="131"/>
      <c r="BY560" s="144"/>
      <c r="BZ560" s="131"/>
      <c r="CA560" s="144"/>
      <c r="CB560" s="131"/>
      <c r="CC560" s="144"/>
      <c r="CD560" s="131"/>
      <c r="CE560" s="144"/>
      <c r="CF560" s="131"/>
      <c r="CG560" s="591"/>
      <c r="CH560" s="591"/>
      <c r="CI560" s="591"/>
      <c r="CJ560" s="144" t="str">
        <f t="shared" si="130"/>
        <v>No aplica</v>
      </c>
      <c r="CK560" s="144" t="str">
        <f t="shared" si="131"/>
        <v>No aplica</v>
      </c>
      <c r="CL560" s="83" t="str">
        <f t="shared" si="123"/>
        <v>No requiere reporte</v>
      </c>
      <c r="CM560" s="89" t="str">
        <f t="shared" si="124"/>
        <v>No requiere reporte</v>
      </c>
      <c r="CN560" s="89" t="str">
        <f t="shared" si="125"/>
        <v>No requiere reporte</v>
      </c>
      <c r="CO560" s="668" t="s">
        <v>185</v>
      </c>
      <c r="CP560" s="899" t="s">
        <v>4507</v>
      </c>
      <c r="CQ560" s="677" t="s">
        <v>4508</v>
      </c>
      <c r="CR560" s="677" t="s">
        <v>4509</v>
      </c>
      <c r="CS560" s="677" t="s">
        <v>4510</v>
      </c>
      <c r="CT560" s="668" t="s">
        <v>200</v>
      </c>
      <c r="CU560" s="668" t="s">
        <v>162</v>
      </c>
      <c r="CV560" s="733">
        <v>1</v>
      </c>
      <c r="CW560" s="668" t="s">
        <v>163</v>
      </c>
      <c r="CX560" s="669">
        <v>46023</v>
      </c>
      <c r="CY560" s="669">
        <v>46387</v>
      </c>
      <c r="CZ560" s="146">
        <v>1</v>
      </c>
      <c r="DA560" s="146">
        <v>1</v>
      </c>
      <c r="DB560" s="146">
        <v>1</v>
      </c>
      <c r="DC560" s="146">
        <v>1</v>
      </c>
      <c r="DD560" s="146">
        <v>1</v>
      </c>
      <c r="DE560" s="668" t="s">
        <v>514</v>
      </c>
      <c r="DF560" s="900" t="s">
        <v>4503</v>
      </c>
      <c r="DG560" s="677" t="s">
        <v>4504</v>
      </c>
      <c r="DH560" s="359">
        <v>250000000</v>
      </c>
      <c r="DI560" s="178" t="s">
        <v>956</v>
      </c>
      <c r="DJ560" s="178" t="s">
        <v>2606</v>
      </c>
      <c r="DK560" s="178" t="s">
        <v>2607</v>
      </c>
      <c r="DL560" s="178" t="s">
        <v>2708</v>
      </c>
      <c r="DM560" s="178" t="s">
        <v>4505</v>
      </c>
      <c r="DN560" s="144"/>
      <c r="DO560" s="589"/>
      <c r="DP560" s="150"/>
      <c r="DQ560" s="153"/>
      <c r="DR560" s="153"/>
      <c r="DS560" s="144"/>
      <c r="DT560" s="153"/>
      <c r="DU560" s="150"/>
      <c r="DV560" s="153"/>
      <c r="DW560" s="153"/>
      <c r="DX560" s="144"/>
      <c r="DY560" s="153"/>
      <c r="DZ560" s="150"/>
      <c r="EA560" s="153"/>
      <c r="EB560" s="153"/>
      <c r="EC560" s="144"/>
      <c r="ED560" s="131"/>
      <c r="EE560" s="131"/>
      <c r="EF560" s="131"/>
      <c r="EG560" s="131"/>
      <c r="EH560" s="144"/>
      <c r="EI560" s="131"/>
      <c r="EJ560" s="131"/>
      <c r="EK560" s="131"/>
      <c r="EL560" s="91" t="str">
        <f t="shared" si="126"/>
        <v>No se reportó avance</v>
      </c>
      <c r="EM560" s="83" t="str">
        <f t="shared" si="127"/>
        <v>No se reportó avance</v>
      </c>
      <c r="EN560" s="86"/>
      <c r="EO560" s="93" t="str">
        <f t="shared" si="132"/>
        <v>Gestión</v>
      </c>
      <c r="EP560" s="93" t="str">
        <f t="shared" si="133"/>
        <v>6</v>
      </c>
    </row>
    <row r="561" spans="1:146" s="93" customFormat="1" ht="110.1" customHeight="1">
      <c r="A561" s="182" t="s">
        <v>4477</v>
      </c>
      <c r="B561" s="582" t="s">
        <v>4478</v>
      </c>
      <c r="C561" s="583" t="s">
        <v>1966</v>
      </c>
      <c r="D561" s="583" t="s">
        <v>4479</v>
      </c>
      <c r="E561" s="583" t="s">
        <v>4480</v>
      </c>
      <c r="F561" s="584" t="s">
        <v>1969</v>
      </c>
      <c r="G561" s="582" t="s">
        <v>2370</v>
      </c>
      <c r="H561" s="584" t="s">
        <v>4481</v>
      </c>
      <c r="I561" s="585" t="s">
        <v>728</v>
      </c>
      <c r="J561" s="585" t="s">
        <v>1723</v>
      </c>
      <c r="K561" s="586" t="s">
        <v>4482</v>
      </c>
      <c r="L561" s="294">
        <v>2</v>
      </c>
      <c r="M561" s="592" t="s">
        <v>4511</v>
      </c>
      <c r="N561" s="587" t="s">
        <v>4512</v>
      </c>
      <c r="O561" s="587" t="s">
        <v>4513</v>
      </c>
      <c r="P561" s="588" t="s">
        <v>161</v>
      </c>
      <c r="Q561" s="294" t="s">
        <v>275</v>
      </c>
      <c r="R561" s="376">
        <v>1</v>
      </c>
      <c r="S561" s="294" t="s">
        <v>163</v>
      </c>
      <c r="T561" s="141">
        <v>44927</v>
      </c>
      <c r="U561" s="141">
        <v>46387</v>
      </c>
      <c r="V561" s="183">
        <v>1</v>
      </c>
      <c r="W561" s="183">
        <v>1</v>
      </c>
      <c r="X561" s="183">
        <v>1</v>
      </c>
      <c r="Y561" s="183">
        <v>1</v>
      </c>
      <c r="Z561" s="376">
        <v>1</v>
      </c>
      <c r="AA561" s="198">
        <f>5/80</f>
        <v>6.25E-2</v>
      </c>
      <c r="AB561" s="198">
        <f>15/80</f>
        <v>0.1875</v>
      </c>
      <c r="AC561" s="198">
        <f>30/80</f>
        <v>0.375</v>
      </c>
      <c r="AD561" s="198">
        <f>30/80</f>
        <v>0.375</v>
      </c>
      <c r="AE561" s="376">
        <f>80/80</f>
        <v>1</v>
      </c>
      <c r="AF561" s="376">
        <f>5/80</f>
        <v>6.25E-2</v>
      </c>
      <c r="AG561" s="376">
        <f>15/80</f>
        <v>0.1875</v>
      </c>
      <c r="AH561" s="376">
        <f>30/80</f>
        <v>0.375</v>
      </c>
      <c r="AI561" s="376">
        <f>30/80</f>
        <v>0.375</v>
      </c>
      <c r="AJ561" s="376">
        <f>80/80</f>
        <v>1</v>
      </c>
      <c r="AK561" s="376">
        <f t="shared" ref="AK561:AN561" si="134">80/80</f>
        <v>1</v>
      </c>
      <c r="AL561" s="376">
        <f t="shared" si="134"/>
        <v>1</v>
      </c>
      <c r="AM561" s="376">
        <f t="shared" si="134"/>
        <v>1</v>
      </c>
      <c r="AN561" s="376">
        <f t="shared" si="134"/>
        <v>1</v>
      </c>
      <c r="AO561" s="376">
        <v>1</v>
      </c>
      <c r="AP561" s="376">
        <v>1</v>
      </c>
      <c r="AQ561" s="144">
        <f>4386/4386</f>
        <v>1</v>
      </c>
      <c r="AR561" s="131" t="s">
        <v>4514</v>
      </c>
      <c r="AS561" s="144">
        <f>4364/4364</f>
        <v>1</v>
      </c>
      <c r="AT561" s="131" t="s">
        <v>4515</v>
      </c>
      <c r="AU561" s="144">
        <f>5268/5268</f>
        <v>1</v>
      </c>
      <c r="AV561" s="131" t="s">
        <v>4516</v>
      </c>
      <c r="AW561" s="144">
        <f>5268/5268</f>
        <v>1</v>
      </c>
      <c r="AX561" s="131" t="s">
        <v>4517</v>
      </c>
      <c r="AY561" s="861">
        <v>1</v>
      </c>
      <c r="AZ561" s="86" t="s">
        <v>4518</v>
      </c>
      <c r="BA561" s="861">
        <f>16/80</f>
        <v>0.2</v>
      </c>
      <c r="BB561" s="131" t="s">
        <v>4519</v>
      </c>
      <c r="BC561" s="861">
        <f>30/80</f>
        <v>0.375</v>
      </c>
      <c r="BD561" s="131" t="s">
        <v>4520</v>
      </c>
      <c r="BE561" s="861">
        <f>29/80</f>
        <v>0.36249999999999999</v>
      </c>
      <c r="BF561" s="131" t="s">
        <v>4521</v>
      </c>
      <c r="BG561" s="861">
        <f>+(23/80)</f>
        <v>0.28749999999999998</v>
      </c>
      <c r="BH561" s="861" t="s">
        <v>4522</v>
      </c>
      <c r="BI561" s="186">
        <f>SUM(16+39+29+23)/80</f>
        <v>1.3374999999999999</v>
      </c>
      <c r="BJ561" s="107" t="s">
        <v>4523</v>
      </c>
      <c r="BK561" s="144">
        <f>43/80</f>
        <v>0.53749999999999998</v>
      </c>
      <c r="BL561" s="106" t="s">
        <v>4524</v>
      </c>
      <c r="BM561" s="144">
        <f>(70)/80</f>
        <v>0.875</v>
      </c>
      <c r="BN561" s="86" t="s">
        <v>4525</v>
      </c>
      <c r="BO561" s="144">
        <f>63/80</f>
        <v>0.78749999999999998</v>
      </c>
      <c r="BP561" s="86" t="s">
        <v>4526</v>
      </c>
      <c r="BQ561" s="144"/>
      <c r="BR561" s="131"/>
      <c r="BS561" s="144">
        <f>(43+70+63)/80</f>
        <v>2.2000000000000002</v>
      </c>
      <c r="BT561" s="131"/>
      <c r="BU561" s="144"/>
      <c r="BV561" s="131"/>
      <c r="BW561" s="144"/>
      <c r="BX561" s="131"/>
      <c r="BY561" s="144"/>
      <c r="BZ561" s="131"/>
      <c r="CA561" s="144"/>
      <c r="CB561" s="131"/>
      <c r="CC561" s="144"/>
      <c r="CD561" s="131"/>
      <c r="CE561" s="144">
        <v>2.2000000000000002</v>
      </c>
      <c r="CF561" s="131"/>
      <c r="CG561" s="359">
        <f>SUM(DH561)</f>
        <v>550000000</v>
      </c>
      <c r="CH561" s="363"/>
      <c r="CI561" s="363"/>
      <c r="CJ561" s="144">
        <f t="shared" si="130"/>
        <v>0</v>
      </c>
      <c r="CK561" s="144">
        <f t="shared" si="131"/>
        <v>0</v>
      </c>
      <c r="CL561" s="83" t="str">
        <f t="shared" si="123"/>
        <v>No se reportó avance</v>
      </c>
      <c r="CM561" s="89" t="str">
        <f t="shared" si="124"/>
        <v>No se reportó avance</v>
      </c>
      <c r="CN561" s="89">
        <f t="shared" si="125"/>
        <v>1.0000100000000001</v>
      </c>
      <c r="CO561" s="668" t="s">
        <v>225</v>
      </c>
      <c r="CP561" s="899" t="s">
        <v>4527</v>
      </c>
      <c r="CQ561" s="677" t="s">
        <v>4528</v>
      </c>
      <c r="CR561" s="734" t="s">
        <v>4529</v>
      </c>
      <c r="CS561" s="734" t="s">
        <v>4530</v>
      </c>
      <c r="CT561" s="668" t="s">
        <v>161</v>
      </c>
      <c r="CU561" s="668" t="s">
        <v>233</v>
      </c>
      <c r="CV561" s="668">
        <v>0</v>
      </c>
      <c r="CW561" s="668" t="s">
        <v>234</v>
      </c>
      <c r="CX561" s="669">
        <v>46023</v>
      </c>
      <c r="CY561" s="669">
        <v>46387</v>
      </c>
      <c r="CZ561" s="667">
        <v>5</v>
      </c>
      <c r="DA561" s="667">
        <v>15</v>
      </c>
      <c r="DB561" s="667">
        <v>30</v>
      </c>
      <c r="DC561" s="667">
        <v>30</v>
      </c>
      <c r="DD561" s="667">
        <f>SUM(CZ561:DC561)</f>
        <v>80</v>
      </c>
      <c r="DE561" s="668" t="s">
        <v>514</v>
      </c>
      <c r="DF561" s="900" t="s">
        <v>4503</v>
      </c>
      <c r="DG561" s="677" t="s">
        <v>4504</v>
      </c>
      <c r="DH561" s="359">
        <v>550000000</v>
      </c>
      <c r="DI561" s="178" t="s">
        <v>956</v>
      </c>
      <c r="DJ561" s="178" t="s">
        <v>2606</v>
      </c>
      <c r="DK561" s="178" t="s">
        <v>2607</v>
      </c>
      <c r="DL561" s="178" t="s">
        <v>2708</v>
      </c>
      <c r="DM561" s="178" t="s">
        <v>4505</v>
      </c>
      <c r="DN561" s="131"/>
      <c r="DO561" s="589"/>
      <c r="DP561" s="150"/>
      <c r="DQ561" s="153"/>
      <c r="DR561" s="153"/>
      <c r="DS561" s="131"/>
      <c r="DT561" s="153"/>
      <c r="DU561" s="150"/>
      <c r="DV561" s="153"/>
      <c r="DW561" s="153"/>
      <c r="DX561" s="131"/>
      <c r="DY561" s="153"/>
      <c r="DZ561" s="150"/>
      <c r="EA561" s="153"/>
      <c r="EB561" s="153"/>
      <c r="EC561" s="131"/>
      <c r="ED561" s="131"/>
      <c r="EE561" s="131"/>
      <c r="EF561" s="131"/>
      <c r="EG561" s="131"/>
      <c r="EH561" s="131"/>
      <c r="EI561" s="131"/>
      <c r="EJ561" s="131"/>
      <c r="EK561" s="131"/>
      <c r="EL561" s="91" t="str">
        <f t="shared" si="126"/>
        <v>No se reportó avance</v>
      </c>
      <c r="EM561" s="83" t="str">
        <f t="shared" si="127"/>
        <v>No se reportó avance</v>
      </c>
      <c r="EN561" s="86" t="s">
        <v>4531</v>
      </c>
      <c r="EO561" s="93" t="str">
        <f t="shared" si="132"/>
        <v>Producto</v>
      </c>
      <c r="EP561" s="93" t="str">
        <f t="shared" si="133"/>
        <v>6</v>
      </c>
    </row>
    <row r="562" spans="1:146" s="93" customFormat="1" ht="110.1" customHeight="1">
      <c r="A562" s="182" t="s">
        <v>4477</v>
      </c>
      <c r="B562" s="582" t="s">
        <v>4478</v>
      </c>
      <c r="C562" s="583" t="s">
        <v>1966</v>
      </c>
      <c r="D562" s="583" t="s">
        <v>4479</v>
      </c>
      <c r="E562" s="583" t="s">
        <v>4480</v>
      </c>
      <c r="F562" s="584" t="s">
        <v>1969</v>
      </c>
      <c r="G562" s="582" t="s">
        <v>2370</v>
      </c>
      <c r="H562" s="584" t="s">
        <v>4481</v>
      </c>
      <c r="I562" s="585" t="s">
        <v>728</v>
      </c>
      <c r="J562" s="585" t="s">
        <v>1723</v>
      </c>
      <c r="K562" s="586" t="s">
        <v>4482</v>
      </c>
      <c r="L562" s="294">
        <v>3</v>
      </c>
      <c r="M562" s="587" t="s">
        <v>4532</v>
      </c>
      <c r="N562" s="587" t="s">
        <v>4533</v>
      </c>
      <c r="O562" s="587" t="s">
        <v>4534</v>
      </c>
      <c r="P562" s="588" t="s">
        <v>161</v>
      </c>
      <c r="Q562" s="294" t="s">
        <v>233</v>
      </c>
      <c r="R562" s="376">
        <f>3987/10000</f>
        <v>0.3987</v>
      </c>
      <c r="S562" s="294" t="s">
        <v>163</v>
      </c>
      <c r="T562" s="141">
        <v>44927</v>
      </c>
      <c r="U562" s="141">
        <v>46387</v>
      </c>
      <c r="V562" s="183">
        <v>0.05</v>
      </c>
      <c r="W562" s="183">
        <v>0.05</v>
      </c>
      <c r="X562" s="183">
        <v>0.1</v>
      </c>
      <c r="Y562" s="183">
        <v>0.05</v>
      </c>
      <c r="Z562" s="376">
        <f>3987/10000</f>
        <v>0.3987</v>
      </c>
      <c r="AA562" s="198">
        <f>500/10000</f>
        <v>0.05</v>
      </c>
      <c r="AB562" s="198">
        <v>0.05</v>
      </c>
      <c r="AC562" s="198">
        <v>0.05</v>
      </c>
      <c r="AD562" s="198">
        <v>0.1</v>
      </c>
      <c r="AE562" s="376">
        <v>0.25</v>
      </c>
      <c r="AF562" s="376">
        <f>500/10000</f>
        <v>0.05</v>
      </c>
      <c r="AG562" s="376">
        <f>500/10000</f>
        <v>0.05</v>
      </c>
      <c r="AH562" s="376">
        <f>500/10000</f>
        <v>0.05</v>
      </c>
      <c r="AI562" s="376">
        <f>1000/10000</f>
        <v>0.1</v>
      </c>
      <c r="AJ562" s="376">
        <v>0.25</v>
      </c>
      <c r="AK562" s="593">
        <f>20%*10%</f>
        <v>2.0000000000000004E-2</v>
      </c>
      <c r="AL562" s="593">
        <f>20%*10%</f>
        <v>2.0000000000000004E-2</v>
      </c>
      <c r="AM562" s="593">
        <f>20%*10%</f>
        <v>2.0000000000000004E-2</v>
      </c>
      <c r="AN562" s="593">
        <f>40%*10%</f>
        <v>4.0000000000000008E-2</v>
      </c>
      <c r="AO562" s="376">
        <v>0.1</v>
      </c>
      <c r="AP562" s="376">
        <v>1</v>
      </c>
      <c r="AQ562" s="144">
        <v>0</v>
      </c>
      <c r="AR562" s="131" t="s">
        <v>4535</v>
      </c>
      <c r="AS562" s="144">
        <f>1/14</f>
        <v>7.1428571428571425E-2</v>
      </c>
      <c r="AT562" s="131" t="s">
        <v>4536</v>
      </c>
      <c r="AU562" s="144">
        <f>2/14</f>
        <v>0.14285714285714285</v>
      </c>
      <c r="AV562" s="131" t="s">
        <v>4537</v>
      </c>
      <c r="AW562" s="144">
        <f>14/14</f>
        <v>1</v>
      </c>
      <c r="AX562" s="131" t="s">
        <v>4538</v>
      </c>
      <c r="AY562" s="861">
        <f>+Z562</f>
        <v>0.3987</v>
      </c>
      <c r="AZ562" s="86" t="s">
        <v>4539</v>
      </c>
      <c r="BA562" s="861">
        <f>250/10000</f>
        <v>2.5000000000000001E-2</v>
      </c>
      <c r="BB562" s="131" t="s">
        <v>4540</v>
      </c>
      <c r="BC562" s="861">
        <f>108/2500</f>
        <v>4.3200000000000002E-2</v>
      </c>
      <c r="BD562" s="131" t="s">
        <v>4541</v>
      </c>
      <c r="BE562" s="861">
        <f>423/2500</f>
        <v>0.16919999999999999</v>
      </c>
      <c r="BF562" s="131" t="s">
        <v>4542</v>
      </c>
      <c r="BG562" s="199">
        <f>438/2500</f>
        <v>0.17519999999999999</v>
      </c>
      <c r="BH562" s="862" t="s">
        <v>4543</v>
      </c>
      <c r="BI562" s="199">
        <f>(438/2500)</f>
        <v>0.17519999999999999</v>
      </c>
      <c r="BJ562" s="107" t="s">
        <v>4544</v>
      </c>
      <c r="BK562" s="594">
        <f>442/10000</f>
        <v>4.4200000000000003E-2</v>
      </c>
      <c r="BL562" s="106" t="s">
        <v>4545</v>
      </c>
      <c r="BM562" s="595">
        <f>2/10000</f>
        <v>2.0000000000000001E-4</v>
      </c>
      <c r="BN562" s="86" t="s">
        <v>4546</v>
      </c>
      <c r="BO562" s="595">
        <f>160/10000</f>
        <v>1.6E-2</v>
      </c>
      <c r="BP562" s="86" t="s">
        <v>4547</v>
      </c>
      <c r="BQ562" s="144"/>
      <c r="BR562" s="131"/>
      <c r="BS562" s="144">
        <f>604/10000</f>
        <v>6.0400000000000002E-2</v>
      </c>
      <c r="BT562" s="131"/>
      <c r="BU562" s="144"/>
      <c r="BV562" s="131"/>
      <c r="BW562" s="144"/>
      <c r="BX562" s="131"/>
      <c r="BY562" s="144"/>
      <c r="BZ562" s="131"/>
      <c r="CA562" s="144"/>
      <c r="CB562" s="131"/>
      <c r="CC562" s="144"/>
      <c r="CD562" s="131"/>
      <c r="CE562" s="144">
        <v>0.06</v>
      </c>
      <c r="CF562" s="131"/>
      <c r="CG562" s="359">
        <f>SUM(DH562:DH563)</f>
        <v>500000000</v>
      </c>
      <c r="CH562" s="363"/>
      <c r="CI562" s="363"/>
      <c r="CJ562" s="144">
        <f t="shared" si="130"/>
        <v>0</v>
      </c>
      <c r="CK562" s="144">
        <f t="shared" si="131"/>
        <v>0</v>
      </c>
      <c r="CL562" s="83" t="str">
        <f t="shared" si="123"/>
        <v>No se reportó avance</v>
      </c>
      <c r="CM562" s="89" t="str">
        <f t="shared" si="124"/>
        <v>No se reportó avance</v>
      </c>
      <c r="CN562" s="89">
        <f t="shared" si="125"/>
        <v>0.06</v>
      </c>
      <c r="CO562" s="668" t="s">
        <v>236</v>
      </c>
      <c r="CP562" s="899" t="s">
        <v>4548</v>
      </c>
      <c r="CQ562" s="677" t="s">
        <v>4549</v>
      </c>
      <c r="CR562" s="901" t="s">
        <v>4550</v>
      </c>
      <c r="CS562" s="734" t="s">
        <v>4551</v>
      </c>
      <c r="CT562" s="668" t="s">
        <v>161</v>
      </c>
      <c r="CU562" s="668" t="s">
        <v>233</v>
      </c>
      <c r="CV562" s="668">
        <v>0</v>
      </c>
      <c r="CW562" s="668" t="s">
        <v>234</v>
      </c>
      <c r="CX562" s="669">
        <v>46023</v>
      </c>
      <c r="CY562" s="669">
        <v>46387</v>
      </c>
      <c r="CZ562" s="667">
        <v>500</v>
      </c>
      <c r="DA562" s="667">
        <v>500</v>
      </c>
      <c r="DB562" s="667">
        <v>500</v>
      </c>
      <c r="DC562" s="667">
        <v>1000</v>
      </c>
      <c r="DD562" s="667">
        <f>SUM(CZ562:DC562)</f>
        <v>2500</v>
      </c>
      <c r="DE562" s="668" t="s">
        <v>514</v>
      </c>
      <c r="DF562" s="668" t="s">
        <v>4503</v>
      </c>
      <c r="DG562" s="677" t="s">
        <v>4504</v>
      </c>
      <c r="DH562" s="359">
        <v>200000000</v>
      </c>
      <c r="DI562" s="178" t="s">
        <v>956</v>
      </c>
      <c r="DJ562" s="178" t="s">
        <v>2606</v>
      </c>
      <c r="DK562" s="178" t="s">
        <v>2607</v>
      </c>
      <c r="DL562" s="178" t="s">
        <v>2708</v>
      </c>
      <c r="DM562" s="178" t="s">
        <v>4505</v>
      </c>
      <c r="DN562" s="131"/>
      <c r="DO562" s="589"/>
      <c r="DP562" s="150"/>
      <c r="DQ562" s="153"/>
      <c r="DR562" s="153"/>
      <c r="DS562" s="131"/>
      <c r="DT562" s="153"/>
      <c r="DU562" s="150"/>
      <c r="DV562" s="153"/>
      <c r="DW562" s="153"/>
      <c r="DX562" s="131"/>
      <c r="DY562" s="153"/>
      <c r="DZ562" s="150"/>
      <c r="EA562" s="153"/>
      <c r="EB562" s="153"/>
      <c r="EC562" s="131"/>
      <c r="ED562" s="131"/>
      <c r="EE562" s="131"/>
      <c r="EF562" s="131"/>
      <c r="EG562" s="131"/>
      <c r="EH562" s="131"/>
      <c r="EI562" s="131"/>
      <c r="EJ562" s="131"/>
      <c r="EK562" s="131"/>
      <c r="EL562" s="91" t="str">
        <f t="shared" si="126"/>
        <v>No se reportó avance</v>
      </c>
      <c r="EM562" s="83" t="str">
        <f t="shared" si="127"/>
        <v>No se reportó avance</v>
      </c>
      <c r="EN562" s="86"/>
      <c r="EO562" s="93" t="str">
        <f t="shared" si="132"/>
        <v>Producto</v>
      </c>
      <c r="EP562" s="93" t="str">
        <f t="shared" si="133"/>
        <v>6</v>
      </c>
    </row>
    <row r="563" spans="1:146" s="93" customFormat="1" ht="110.1" customHeight="1">
      <c r="A563" s="131" t="s">
        <v>4477</v>
      </c>
      <c r="B563" s="590" t="s">
        <v>4478</v>
      </c>
      <c r="C563" s="106" t="s">
        <v>1966</v>
      </c>
      <c r="D563" s="106" t="s">
        <v>4479</v>
      </c>
      <c r="E563" s="106" t="s">
        <v>4480</v>
      </c>
      <c r="F563" s="589" t="s">
        <v>1969</v>
      </c>
      <c r="G563" s="590" t="s">
        <v>2370</v>
      </c>
      <c r="H563" s="589" t="s">
        <v>4481</v>
      </c>
      <c r="I563" s="86" t="s">
        <v>728</v>
      </c>
      <c r="J563" s="86" t="s">
        <v>1723</v>
      </c>
      <c r="K563" s="153" t="s">
        <v>4482</v>
      </c>
      <c r="L563" s="131">
        <v>3</v>
      </c>
      <c r="M563" s="86" t="s">
        <v>4532</v>
      </c>
      <c r="N563" s="86" t="s">
        <v>4533</v>
      </c>
      <c r="O563" s="86" t="s">
        <v>4534</v>
      </c>
      <c r="P563" s="153" t="s">
        <v>161</v>
      </c>
      <c r="Q563" s="131" t="s">
        <v>233</v>
      </c>
      <c r="R563" s="199">
        <v>0.3987</v>
      </c>
      <c r="S563" s="131" t="s">
        <v>163</v>
      </c>
      <c r="T563" s="139">
        <v>44927</v>
      </c>
      <c r="U563" s="139">
        <v>46387</v>
      </c>
      <c r="V563" s="144">
        <v>0.05</v>
      </c>
      <c r="W563" s="144">
        <v>0.05</v>
      </c>
      <c r="X563" s="144">
        <v>0.1</v>
      </c>
      <c r="Y563" s="144">
        <v>0.05</v>
      </c>
      <c r="Z563" s="199">
        <v>0.3987</v>
      </c>
      <c r="AA563" s="199">
        <v>0.05</v>
      </c>
      <c r="AB563" s="199">
        <v>0.05</v>
      </c>
      <c r="AC563" s="199">
        <v>0.05</v>
      </c>
      <c r="AD563" s="199">
        <v>0.1</v>
      </c>
      <c r="AE563" s="199">
        <v>0.25</v>
      </c>
      <c r="AF563" s="199">
        <v>0.05</v>
      </c>
      <c r="AG563" s="199">
        <v>0.05</v>
      </c>
      <c r="AH563" s="199">
        <v>0.05</v>
      </c>
      <c r="AI563" s="199">
        <v>0.1</v>
      </c>
      <c r="AJ563" s="199">
        <v>0.25</v>
      </c>
      <c r="AK563" s="596">
        <v>2.0000000000000004E-2</v>
      </c>
      <c r="AL563" s="596">
        <v>2.0000000000000004E-2</v>
      </c>
      <c r="AM563" s="596">
        <v>2.0000000000000004E-2</v>
      </c>
      <c r="AN563" s="596">
        <v>4.0000000000000008E-2</v>
      </c>
      <c r="AO563" s="199">
        <v>0.1</v>
      </c>
      <c r="AP563" s="199">
        <v>1</v>
      </c>
      <c r="AQ563" s="144"/>
      <c r="AR563" s="131"/>
      <c r="AS563" s="144"/>
      <c r="AT563" s="131"/>
      <c r="AU563" s="144"/>
      <c r="AV563" s="131"/>
      <c r="AW563" s="144"/>
      <c r="AX563" s="131"/>
      <c r="AY563" s="144"/>
      <c r="AZ563" s="86"/>
      <c r="BA563" s="144"/>
      <c r="BB563" s="131"/>
      <c r="BC563" s="144"/>
      <c r="BD563" s="131"/>
      <c r="BE563" s="144"/>
      <c r="BF563" s="131"/>
      <c r="BG563" s="144"/>
      <c r="BH563" s="131"/>
      <c r="BI563" s="144"/>
      <c r="BJ563" s="86"/>
      <c r="BK563" s="144"/>
      <c r="BL563" s="86"/>
      <c r="BM563" s="144"/>
      <c r="BN563" s="86"/>
      <c r="BO563" s="144"/>
      <c r="BP563" s="86"/>
      <c r="BQ563" s="144"/>
      <c r="BR563" s="131"/>
      <c r="BS563" s="144"/>
      <c r="BT563" s="131"/>
      <c r="BU563" s="144"/>
      <c r="BV563" s="131"/>
      <c r="BW563" s="144"/>
      <c r="BX563" s="131"/>
      <c r="BY563" s="144"/>
      <c r="BZ563" s="131"/>
      <c r="CA563" s="144"/>
      <c r="CB563" s="131"/>
      <c r="CC563" s="144"/>
      <c r="CD563" s="131"/>
      <c r="CE563" s="144"/>
      <c r="CF563" s="131"/>
      <c r="CG563" s="591"/>
      <c r="CH563" s="591"/>
      <c r="CI563" s="591"/>
      <c r="CJ563" s="144" t="str">
        <f t="shared" si="130"/>
        <v>No aplica</v>
      </c>
      <c r="CK563" s="144" t="str">
        <f t="shared" si="131"/>
        <v>No aplica</v>
      </c>
      <c r="CL563" s="83" t="str">
        <f t="shared" si="123"/>
        <v>No requiere reporte</v>
      </c>
      <c r="CM563" s="89" t="str">
        <f t="shared" si="124"/>
        <v>No requiere reporte</v>
      </c>
      <c r="CN563" s="89" t="str">
        <f t="shared" si="125"/>
        <v>No requiere reporte</v>
      </c>
      <c r="CO563" s="668" t="s">
        <v>361</v>
      </c>
      <c r="CP563" s="899" t="s">
        <v>4552</v>
      </c>
      <c r="CQ563" s="677" t="s">
        <v>4528</v>
      </c>
      <c r="CR563" s="734" t="s">
        <v>4553</v>
      </c>
      <c r="CS563" s="734" t="s">
        <v>4554</v>
      </c>
      <c r="CT563" s="668" t="s">
        <v>161</v>
      </c>
      <c r="CU563" s="668" t="s">
        <v>233</v>
      </c>
      <c r="CV563" s="668">
        <v>0</v>
      </c>
      <c r="CW563" s="668" t="s">
        <v>234</v>
      </c>
      <c r="CX563" s="669">
        <v>46023</v>
      </c>
      <c r="CY563" s="669">
        <v>46387</v>
      </c>
      <c r="CZ563" s="667">
        <v>5</v>
      </c>
      <c r="DA563" s="667">
        <v>15</v>
      </c>
      <c r="DB563" s="667">
        <v>30</v>
      </c>
      <c r="DC563" s="667">
        <v>30</v>
      </c>
      <c r="DD563" s="667">
        <f>SUM(CZ563:DC563)</f>
        <v>80</v>
      </c>
      <c r="DE563" s="668" t="s">
        <v>514</v>
      </c>
      <c r="DF563" s="668" t="s">
        <v>4503</v>
      </c>
      <c r="DG563" s="677" t="s">
        <v>4504</v>
      </c>
      <c r="DH563" s="359">
        <v>300000000</v>
      </c>
      <c r="DI563" s="178" t="s">
        <v>956</v>
      </c>
      <c r="DJ563" s="178" t="s">
        <v>2606</v>
      </c>
      <c r="DK563" s="178" t="s">
        <v>2607</v>
      </c>
      <c r="DL563" s="178" t="s">
        <v>2708</v>
      </c>
      <c r="DM563" s="178" t="s">
        <v>4505</v>
      </c>
      <c r="DN563" s="131"/>
      <c r="DO563" s="589"/>
      <c r="DP563" s="150"/>
      <c r="DQ563" s="153"/>
      <c r="DR563" s="153"/>
      <c r="DS563" s="131"/>
      <c r="DT563" s="153"/>
      <c r="DU563" s="150"/>
      <c r="DV563" s="153"/>
      <c r="DW563" s="153"/>
      <c r="DX563" s="131"/>
      <c r="DY563" s="153"/>
      <c r="DZ563" s="150"/>
      <c r="EA563" s="153"/>
      <c r="EB563" s="153"/>
      <c r="EC563" s="131"/>
      <c r="ED563" s="131"/>
      <c r="EE563" s="131"/>
      <c r="EF563" s="131"/>
      <c r="EG563" s="131"/>
      <c r="EH563" s="131"/>
      <c r="EI563" s="131"/>
      <c r="EJ563" s="131"/>
      <c r="EK563" s="131"/>
      <c r="EL563" s="91" t="str">
        <f t="shared" si="126"/>
        <v>No se reportó avance</v>
      </c>
      <c r="EM563" s="83" t="str">
        <f t="shared" si="127"/>
        <v>No se reportó avance</v>
      </c>
      <c r="EN563" s="86"/>
      <c r="EO563" s="93" t="str">
        <f t="shared" si="132"/>
        <v>Producto</v>
      </c>
      <c r="EP563" s="93" t="str">
        <f t="shared" si="133"/>
        <v>6</v>
      </c>
    </row>
    <row r="564" spans="1:146" s="93" customFormat="1" ht="110.1" customHeight="1">
      <c r="A564" s="182" t="s">
        <v>4477</v>
      </c>
      <c r="B564" s="582" t="s">
        <v>4478</v>
      </c>
      <c r="C564" s="583" t="s">
        <v>1966</v>
      </c>
      <c r="D564" s="583" t="s">
        <v>4479</v>
      </c>
      <c r="E564" s="583" t="s">
        <v>4480</v>
      </c>
      <c r="F564" s="584" t="s">
        <v>1969</v>
      </c>
      <c r="G564" s="582" t="s">
        <v>2370</v>
      </c>
      <c r="H564" s="584" t="s">
        <v>4481</v>
      </c>
      <c r="I564" s="585" t="s">
        <v>728</v>
      </c>
      <c r="J564" s="585" t="s">
        <v>1723</v>
      </c>
      <c r="K564" s="586" t="s">
        <v>4482</v>
      </c>
      <c r="L564" s="294">
        <v>4</v>
      </c>
      <c r="M564" s="587" t="s">
        <v>4555</v>
      </c>
      <c r="N564" s="587" t="s">
        <v>4556</v>
      </c>
      <c r="O564" s="587" t="s">
        <v>4557</v>
      </c>
      <c r="P564" s="588" t="s">
        <v>161</v>
      </c>
      <c r="Q564" s="294" t="s">
        <v>233</v>
      </c>
      <c r="R564" s="597">
        <v>198</v>
      </c>
      <c r="S564" s="597" t="s">
        <v>234</v>
      </c>
      <c r="T564" s="141">
        <v>44927</v>
      </c>
      <c r="U564" s="141">
        <v>46387</v>
      </c>
      <c r="V564" s="598">
        <v>8</v>
      </c>
      <c r="W564" s="598">
        <v>8</v>
      </c>
      <c r="X564" s="598">
        <v>8</v>
      </c>
      <c r="Y564" s="598">
        <v>8</v>
      </c>
      <c r="Z564" s="374">
        <v>32</v>
      </c>
      <c r="AA564" s="599">
        <v>0</v>
      </c>
      <c r="AB564" s="599">
        <v>18</v>
      </c>
      <c r="AC564" s="599">
        <v>18</v>
      </c>
      <c r="AD564" s="599">
        <v>32</v>
      </c>
      <c r="AE564" s="374">
        <f>SUM(AA564:AD564)</f>
        <v>68</v>
      </c>
      <c r="AF564" s="374">
        <v>0</v>
      </c>
      <c r="AG564" s="374">
        <v>50</v>
      </c>
      <c r="AH564" s="374">
        <v>50</v>
      </c>
      <c r="AI564" s="374">
        <v>50</v>
      </c>
      <c r="AJ564" s="374">
        <v>150</v>
      </c>
      <c r="AK564" s="374">
        <v>0</v>
      </c>
      <c r="AL564" s="374">
        <v>25</v>
      </c>
      <c r="AM564" s="374">
        <v>25</v>
      </c>
      <c r="AN564" s="374">
        <v>25</v>
      </c>
      <c r="AO564" s="374">
        <v>75</v>
      </c>
      <c r="AP564" s="374">
        <f>+SUM(AO564,Z564,AE564,AJ564)</f>
        <v>325</v>
      </c>
      <c r="AQ564" s="131">
        <v>0</v>
      </c>
      <c r="AR564" s="131" t="s">
        <v>4558</v>
      </c>
      <c r="AS564" s="131">
        <v>6</v>
      </c>
      <c r="AT564" s="131" t="s">
        <v>4559</v>
      </c>
      <c r="AU564" s="131">
        <v>0</v>
      </c>
      <c r="AV564" s="131" t="s">
        <v>4560</v>
      </c>
      <c r="AW564" s="131">
        <v>35</v>
      </c>
      <c r="AX564" s="131" t="s">
        <v>4561</v>
      </c>
      <c r="AY564" s="862">
        <v>41</v>
      </c>
      <c r="AZ564" s="86" t="s">
        <v>4562</v>
      </c>
      <c r="BA564" s="862">
        <v>8</v>
      </c>
      <c r="BB564" s="131" t="s">
        <v>4563</v>
      </c>
      <c r="BC564" s="862">
        <v>0</v>
      </c>
      <c r="BD564" s="131" t="s">
        <v>4564</v>
      </c>
      <c r="BE564" s="862">
        <v>0</v>
      </c>
      <c r="BF564" s="131" t="s">
        <v>4565</v>
      </c>
      <c r="BG564" s="862">
        <v>0</v>
      </c>
      <c r="BH564" s="862" t="s">
        <v>4566</v>
      </c>
      <c r="BI564" s="862">
        <v>8</v>
      </c>
      <c r="BJ564" s="106" t="s">
        <v>4567</v>
      </c>
      <c r="BK564" s="375" t="s">
        <v>182</v>
      </c>
      <c r="BL564" s="106" t="s">
        <v>4568</v>
      </c>
      <c r="BM564" s="375">
        <v>0</v>
      </c>
      <c r="BN564" s="86" t="s">
        <v>4568</v>
      </c>
      <c r="BO564" s="375">
        <v>0</v>
      </c>
      <c r="BP564" s="86" t="s">
        <v>4569</v>
      </c>
      <c r="BQ564" s="131"/>
      <c r="BR564" s="131"/>
      <c r="BS564" s="375">
        <v>0</v>
      </c>
      <c r="BT564" s="131"/>
      <c r="BU564" s="131"/>
      <c r="BV564" s="131"/>
      <c r="BW564" s="131"/>
      <c r="BX564" s="131"/>
      <c r="BY564" s="131"/>
      <c r="BZ564" s="131"/>
      <c r="CA564" s="131"/>
      <c r="CB564" s="131"/>
      <c r="CC564" s="131"/>
      <c r="CD564" s="131"/>
      <c r="CE564" s="375">
        <v>41</v>
      </c>
      <c r="CF564" s="131"/>
      <c r="CG564" s="359">
        <f>SUM(DH564:DH565)</f>
        <v>750000000</v>
      </c>
      <c r="CH564" s="363"/>
      <c r="CI564" s="363"/>
      <c r="CJ564" s="144">
        <f t="shared" si="130"/>
        <v>0</v>
      </c>
      <c r="CK564" s="144">
        <f t="shared" si="131"/>
        <v>0</v>
      </c>
      <c r="CL564" s="83" t="str">
        <f t="shared" si="123"/>
        <v>No aplica, no hay meta</v>
      </c>
      <c r="CM564" s="89" t="str">
        <f t="shared" si="124"/>
        <v>No se reportó avance</v>
      </c>
      <c r="CN564" s="89">
        <f t="shared" si="125"/>
        <v>0.12615384615384614</v>
      </c>
      <c r="CO564" s="668" t="s">
        <v>391</v>
      </c>
      <c r="CP564" s="899" t="s">
        <v>4570</v>
      </c>
      <c r="CQ564" s="677" t="s">
        <v>4571</v>
      </c>
      <c r="CR564" s="734" t="s">
        <v>4572</v>
      </c>
      <c r="CS564" s="734" t="s">
        <v>4573</v>
      </c>
      <c r="CT564" s="668" t="s">
        <v>161</v>
      </c>
      <c r="CU564" s="668" t="s">
        <v>233</v>
      </c>
      <c r="CV564" s="668">
        <v>0</v>
      </c>
      <c r="CW564" s="668" t="s">
        <v>234</v>
      </c>
      <c r="CX564" s="669">
        <v>46023</v>
      </c>
      <c r="CY564" s="669">
        <v>46387</v>
      </c>
      <c r="CZ564" s="667">
        <v>0</v>
      </c>
      <c r="DA564" s="667">
        <v>25</v>
      </c>
      <c r="DB564" s="667">
        <v>25</v>
      </c>
      <c r="DC564" s="667">
        <v>25</v>
      </c>
      <c r="DD564" s="667">
        <f>SUM(CZ564:DC564)</f>
        <v>75</v>
      </c>
      <c r="DE564" s="668" t="s">
        <v>514</v>
      </c>
      <c r="DF564" s="668" t="s">
        <v>4503</v>
      </c>
      <c r="DG564" s="677" t="s">
        <v>4504</v>
      </c>
      <c r="DH564" s="359">
        <v>200000000</v>
      </c>
      <c r="DI564" s="178" t="s">
        <v>956</v>
      </c>
      <c r="DJ564" s="178" t="s">
        <v>2606</v>
      </c>
      <c r="DK564" s="178" t="s">
        <v>2607</v>
      </c>
      <c r="DL564" s="178" t="s">
        <v>2708</v>
      </c>
      <c r="DM564" s="178" t="s">
        <v>4505</v>
      </c>
      <c r="DN564" s="131"/>
      <c r="DO564" s="589"/>
      <c r="DP564" s="150"/>
      <c r="DQ564" s="153"/>
      <c r="DR564" s="153"/>
      <c r="DS564" s="131"/>
      <c r="DT564" s="153"/>
      <c r="DU564" s="150"/>
      <c r="DV564" s="153"/>
      <c r="DW564" s="153"/>
      <c r="DX564" s="131"/>
      <c r="DY564" s="153"/>
      <c r="DZ564" s="150"/>
      <c r="EA564" s="153"/>
      <c r="EB564" s="153"/>
      <c r="EC564" s="131"/>
      <c r="ED564" s="131"/>
      <c r="EE564" s="131"/>
      <c r="EF564" s="131"/>
      <c r="EG564" s="131"/>
      <c r="EH564" s="131"/>
      <c r="EI564" s="131"/>
      <c r="EJ564" s="131"/>
      <c r="EK564" s="131"/>
      <c r="EL564" s="91" t="str">
        <f t="shared" si="126"/>
        <v>No aplica, no hay meta</v>
      </c>
      <c r="EM564" s="83" t="str">
        <f t="shared" si="127"/>
        <v>No se reportó avance</v>
      </c>
      <c r="EN564" s="86" t="s">
        <v>4574</v>
      </c>
      <c r="EO564" s="93" t="str">
        <f t="shared" si="132"/>
        <v>Producto</v>
      </c>
      <c r="EP564" s="93" t="str">
        <f t="shared" si="133"/>
        <v>6</v>
      </c>
    </row>
    <row r="565" spans="1:146" s="93" customFormat="1" ht="110.1" customHeight="1">
      <c r="A565" s="131" t="s">
        <v>4477</v>
      </c>
      <c r="B565" s="590" t="s">
        <v>4478</v>
      </c>
      <c r="C565" s="106" t="s">
        <v>1966</v>
      </c>
      <c r="D565" s="106" t="s">
        <v>4479</v>
      </c>
      <c r="E565" s="106" t="s">
        <v>4480</v>
      </c>
      <c r="F565" s="589" t="s">
        <v>1969</v>
      </c>
      <c r="G565" s="590" t="s">
        <v>2370</v>
      </c>
      <c r="H565" s="589" t="s">
        <v>4481</v>
      </c>
      <c r="I565" s="86" t="s">
        <v>728</v>
      </c>
      <c r="J565" s="86" t="s">
        <v>1723</v>
      </c>
      <c r="K565" s="153" t="s">
        <v>4482</v>
      </c>
      <c r="L565" s="131">
        <v>4</v>
      </c>
      <c r="M565" s="86" t="s">
        <v>4555</v>
      </c>
      <c r="N565" s="86" t="s">
        <v>4556</v>
      </c>
      <c r="O565" s="86" t="s">
        <v>4557</v>
      </c>
      <c r="P565" s="153" t="s">
        <v>161</v>
      </c>
      <c r="Q565" s="131" t="s">
        <v>233</v>
      </c>
      <c r="R565" s="600">
        <v>198</v>
      </c>
      <c r="S565" s="600" t="s">
        <v>234</v>
      </c>
      <c r="T565" s="139">
        <v>44927</v>
      </c>
      <c r="U565" s="139">
        <v>46387</v>
      </c>
      <c r="V565" s="601">
        <v>8</v>
      </c>
      <c r="W565" s="601">
        <v>8</v>
      </c>
      <c r="X565" s="601">
        <v>8</v>
      </c>
      <c r="Y565" s="601">
        <v>8</v>
      </c>
      <c r="Z565" s="375">
        <v>32</v>
      </c>
      <c r="AA565" s="375">
        <v>0</v>
      </c>
      <c r="AB565" s="375">
        <v>18</v>
      </c>
      <c r="AC565" s="375">
        <v>18</v>
      </c>
      <c r="AD565" s="375">
        <v>32</v>
      </c>
      <c r="AE565" s="375">
        <v>68</v>
      </c>
      <c r="AF565" s="375">
        <v>0</v>
      </c>
      <c r="AG565" s="375">
        <v>50</v>
      </c>
      <c r="AH565" s="375">
        <v>50</v>
      </c>
      <c r="AI565" s="375">
        <v>50</v>
      </c>
      <c r="AJ565" s="375">
        <v>150</v>
      </c>
      <c r="AK565" s="375">
        <v>0</v>
      </c>
      <c r="AL565" s="375">
        <v>25</v>
      </c>
      <c r="AM565" s="375">
        <v>25</v>
      </c>
      <c r="AN565" s="375">
        <v>25</v>
      </c>
      <c r="AO565" s="375">
        <v>75</v>
      </c>
      <c r="AP565" s="375">
        <v>325</v>
      </c>
      <c r="AQ565" s="131"/>
      <c r="AR565" s="131"/>
      <c r="AS565" s="131"/>
      <c r="AT565" s="131"/>
      <c r="AU565" s="131"/>
      <c r="AV565" s="131"/>
      <c r="AW565" s="131"/>
      <c r="AX565" s="131"/>
      <c r="AY565" s="131"/>
      <c r="AZ565" s="86"/>
      <c r="BA565" s="131"/>
      <c r="BB565" s="131"/>
      <c r="BC565" s="131"/>
      <c r="BD565" s="131"/>
      <c r="BE565" s="131"/>
      <c r="BF565" s="131"/>
      <c r="BG565" s="131"/>
      <c r="BH565" s="131"/>
      <c r="BI565" s="131"/>
      <c r="BJ565" s="86"/>
      <c r="BK565" s="131"/>
      <c r="BL565" s="86"/>
      <c r="BM565" s="131"/>
      <c r="BN565" s="86"/>
      <c r="BO565" s="131"/>
      <c r="BP565" s="153"/>
      <c r="BQ565" s="131"/>
      <c r="BR565" s="131"/>
      <c r="BS565" s="131"/>
      <c r="BT565" s="131"/>
      <c r="BU565" s="131"/>
      <c r="BV565" s="131"/>
      <c r="BW565" s="131"/>
      <c r="BX565" s="131"/>
      <c r="BY565" s="131"/>
      <c r="BZ565" s="131"/>
      <c r="CA565" s="131"/>
      <c r="CB565" s="131"/>
      <c r="CC565" s="131"/>
      <c r="CD565" s="131"/>
      <c r="CE565" s="131"/>
      <c r="CF565" s="131"/>
      <c r="CG565" s="591"/>
      <c r="CH565" s="591"/>
      <c r="CI565" s="591"/>
      <c r="CJ565" s="144" t="str">
        <f t="shared" si="130"/>
        <v>No aplica</v>
      </c>
      <c r="CK565" s="144" t="str">
        <f t="shared" si="131"/>
        <v>No aplica</v>
      </c>
      <c r="CL565" s="83" t="str">
        <f t="shared" si="123"/>
        <v>No requiere reporte</v>
      </c>
      <c r="CM565" s="89" t="str">
        <f t="shared" si="124"/>
        <v>No requiere reporte</v>
      </c>
      <c r="CN565" s="89" t="str">
        <f t="shared" si="125"/>
        <v>No requiere reporte</v>
      </c>
      <c r="CO565" s="668" t="s">
        <v>403</v>
      </c>
      <c r="CP565" s="899" t="s">
        <v>4575</v>
      </c>
      <c r="CQ565" s="677" t="s">
        <v>4571</v>
      </c>
      <c r="CR565" s="734" t="s">
        <v>4576</v>
      </c>
      <c r="CS565" s="734" t="s">
        <v>4577</v>
      </c>
      <c r="CT565" s="668" t="s">
        <v>161</v>
      </c>
      <c r="CU565" s="668" t="s">
        <v>233</v>
      </c>
      <c r="CV565" s="668">
        <v>0</v>
      </c>
      <c r="CW565" s="668" t="s">
        <v>234</v>
      </c>
      <c r="CX565" s="669">
        <v>46023</v>
      </c>
      <c r="CY565" s="669">
        <v>46387</v>
      </c>
      <c r="CZ565" s="667">
        <v>5</v>
      </c>
      <c r="DA565" s="667">
        <v>15</v>
      </c>
      <c r="DB565" s="667">
        <v>30</v>
      </c>
      <c r="DC565" s="667">
        <v>30</v>
      </c>
      <c r="DD565" s="667">
        <f>SUM(CZ565:DC565)</f>
        <v>80</v>
      </c>
      <c r="DE565" s="668" t="s">
        <v>265</v>
      </c>
      <c r="DF565" s="668" t="s">
        <v>4578</v>
      </c>
      <c r="DG565" s="677" t="s">
        <v>4579</v>
      </c>
      <c r="DH565" s="359">
        <v>550000000</v>
      </c>
      <c r="DI565" s="178" t="s">
        <v>956</v>
      </c>
      <c r="DJ565" s="178" t="s">
        <v>2606</v>
      </c>
      <c r="DK565" s="178" t="s">
        <v>2607</v>
      </c>
      <c r="DL565" s="178" t="s">
        <v>2708</v>
      </c>
      <c r="DM565" s="178" t="s">
        <v>4505</v>
      </c>
      <c r="DN565" s="131"/>
      <c r="DO565" s="589"/>
      <c r="DP565" s="150"/>
      <c r="DQ565" s="153"/>
      <c r="DR565" s="153"/>
      <c r="DS565" s="131"/>
      <c r="DT565" s="153"/>
      <c r="DU565" s="150"/>
      <c r="DV565" s="153"/>
      <c r="DW565" s="153"/>
      <c r="DX565" s="131"/>
      <c r="DY565" s="153"/>
      <c r="DZ565" s="150"/>
      <c r="EA565" s="153"/>
      <c r="EB565" s="153"/>
      <c r="EC565" s="131"/>
      <c r="ED565" s="131"/>
      <c r="EE565" s="131"/>
      <c r="EF565" s="131"/>
      <c r="EG565" s="131"/>
      <c r="EH565" s="131"/>
      <c r="EI565" s="131"/>
      <c r="EJ565" s="131"/>
      <c r="EK565" s="131"/>
      <c r="EL565" s="91" t="str">
        <f t="shared" si="126"/>
        <v>No se reportó avance</v>
      </c>
      <c r="EM565" s="83" t="str">
        <f t="shared" si="127"/>
        <v>No se reportó avance</v>
      </c>
      <c r="EN565" s="86"/>
      <c r="EO565" s="93" t="str">
        <f t="shared" si="132"/>
        <v>Producto</v>
      </c>
      <c r="EP565" s="93" t="str">
        <f t="shared" si="133"/>
        <v>6</v>
      </c>
    </row>
    <row r="566" spans="1:146" s="93" customFormat="1" ht="110.1" customHeight="1">
      <c r="A566" s="182" t="s">
        <v>4477</v>
      </c>
      <c r="B566" s="582" t="s">
        <v>4478</v>
      </c>
      <c r="C566" s="583" t="s">
        <v>1966</v>
      </c>
      <c r="D566" s="583" t="s">
        <v>4479</v>
      </c>
      <c r="E566" s="583" t="s">
        <v>4480</v>
      </c>
      <c r="F566" s="584" t="s">
        <v>1969</v>
      </c>
      <c r="G566" s="582" t="s">
        <v>2370</v>
      </c>
      <c r="H566" s="584" t="s">
        <v>4481</v>
      </c>
      <c r="I566" s="585" t="s">
        <v>728</v>
      </c>
      <c r="J566" s="585" t="s">
        <v>1723</v>
      </c>
      <c r="K566" s="586" t="s">
        <v>4482</v>
      </c>
      <c r="L566" s="294">
        <v>5</v>
      </c>
      <c r="M566" s="587" t="s">
        <v>4580</v>
      </c>
      <c r="N566" s="587" t="s">
        <v>4581</v>
      </c>
      <c r="O566" s="587" t="s">
        <v>4582</v>
      </c>
      <c r="P566" s="588" t="s">
        <v>161</v>
      </c>
      <c r="Q566" s="294" t="s">
        <v>275</v>
      </c>
      <c r="R566" s="376">
        <v>0.2</v>
      </c>
      <c r="S566" s="294" t="s">
        <v>163</v>
      </c>
      <c r="T566" s="141">
        <v>44927</v>
      </c>
      <c r="U566" s="141">
        <v>46387</v>
      </c>
      <c r="V566" s="183">
        <v>0.25</v>
      </c>
      <c r="W566" s="183">
        <v>0.3</v>
      </c>
      <c r="X566" s="183">
        <v>0.35</v>
      </c>
      <c r="Y566" s="183">
        <v>0.4</v>
      </c>
      <c r="Z566" s="376">
        <v>0.4</v>
      </c>
      <c r="AA566" s="198">
        <v>0.45</v>
      </c>
      <c r="AB566" s="198">
        <v>0.5</v>
      </c>
      <c r="AC566" s="198">
        <v>0.55000000000000004</v>
      </c>
      <c r="AD566" s="198">
        <v>0.6</v>
      </c>
      <c r="AE566" s="376">
        <v>0.60000000000000009</v>
      </c>
      <c r="AF566" s="376">
        <v>0.65</v>
      </c>
      <c r="AG566" s="376">
        <v>0.7</v>
      </c>
      <c r="AH566" s="376">
        <v>0.75</v>
      </c>
      <c r="AI566" s="376">
        <v>0.8</v>
      </c>
      <c r="AJ566" s="376">
        <v>0.8</v>
      </c>
      <c r="AK566" s="376">
        <v>0.85</v>
      </c>
      <c r="AL566" s="376">
        <v>0.9</v>
      </c>
      <c r="AM566" s="376">
        <v>0.95</v>
      </c>
      <c r="AN566" s="376">
        <v>1</v>
      </c>
      <c r="AO566" s="376">
        <v>1.0000000000000004</v>
      </c>
      <c r="AP566" s="376">
        <v>1</v>
      </c>
      <c r="AQ566" s="144">
        <f>10/40</f>
        <v>0.25</v>
      </c>
      <c r="AR566" s="131" t="s">
        <v>4583</v>
      </c>
      <c r="AS566" s="144">
        <v>0.5</v>
      </c>
      <c r="AT566" s="131" t="s">
        <v>4584</v>
      </c>
      <c r="AU566" s="144">
        <f>30/40</f>
        <v>0.75</v>
      </c>
      <c r="AV566" s="131" t="s">
        <v>4585</v>
      </c>
      <c r="AW566" s="144">
        <f>40/40</f>
        <v>1</v>
      </c>
      <c r="AX566" s="131" t="s">
        <v>4586</v>
      </c>
      <c r="AY566" s="861">
        <v>1</v>
      </c>
      <c r="AZ566" s="86" t="s">
        <v>4587</v>
      </c>
      <c r="BA566" s="861">
        <f>40%+(10/80)</f>
        <v>0.52500000000000002</v>
      </c>
      <c r="BB566" s="131" t="s">
        <v>4588</v>
      </c>
      <c r="BC566" s="861">
        <f>40%+(30/80)</f>
        <v>0.77500000000000002</v>
      </c>
      <c r="BD566" s="131" t="s">
        <v>4589</v>
      </c>
      <c r="BE566" s="861">
        <f>40%+(35/80)</f>
        <v>0.83750000000000002</v>
      </c>
      <c r="BF566" s="131" t="s">
        <v>4590</v>
      </c>
      <c r="BG566" s="861">
        <f>(20/80)*AD566</f>
        <v>0.15</v>
      </c>
      <c r="BH566" s="861" t="s">
        <v>4591</v>
      </c>
      <c r="BI566" s="861">
        <f>(95/80)*AE566</f>
        <v>0.71250000000000013</v>
      </c>
      <c r="BJ566" s="106" t="s">
        <v>4592</v>
      </c>
      <c r="BK566" s="144">
        <f>(39/80)</f>
        <v>0.48749999999999999</v>
      </c>
      <c r="BL566" s="106" t="s">
        <v>4593</v>
      </c>
      <c r="BM566" s="144">
        <f>48/80</f>
        <v>0.6</v>
      </c>
      <c r="BN566" s="86" t="s">
        <v>4594</v>
      </c>
      <c r="BO566" s="144">
        <f>18/80</f>
        <v>0.22500000000000001</v>
      </c>
      <c r="BP566" s="86" t="s">
        <v>4595</v>
      </c>
      <c r="BQ566" s="144"/>
      <c r="BR566" s="131"/>
      <c r="BS566" s="144">
        <f>105/80</f>
        <v>1.3125</v>
      </c>
      <c r="BT566" s="131"/>
      <c r="BU566" s="144"/>
      <c r="BV566" s="131"/>
      <c r="BW566" s="144"/>
      <c r="BX566" s="131"/>
      <c r="BY566" s="144"/>
      <c r="BZ566" s="131"/>
      <c r="CA566" s="144"/>
      <c r="CB566" s="131"/>
      <c r="CC566" s="144"/>
      <c r="CD566" s="131"/>
      <c r="CE566" s="144">
        <v>1.31</v>
      </c>
      <c r="CF566" s="131"/>
      <c r="CG566" s="359">
        <f>SUM(DH566:DH567)</f>
        <v>450000000</v>
      </c>
      <c r="CH566" s="363"/>
      <c r="CI566" s="363"/>
      <c r="CJ566" s="144">
        <f t="shared" si="130"/>
        <v>0</v>
      </c>
      <c r="CK566" s="144">
        <f t="shared" si="131"/>
        <v>0</v>
      </c>
      <c r="CL566" s="83" t="str">
        <f t="shared" si="123"/>
        <v>No se reportó avance</v>
      </c>
      <c r="CM566" s="89" t="str">
        <f t="shared" si="124"/>
        <v>No se reportó avance</v>
      </c>
      <c r="CN566" s="89">
        <f t="shared" si="125"/>
        <v>1.0000100000000001</v>
      </c>
      <c r="CO566" s="668" t="s">
        <v>583</v>
      </c>
      <c r="CP566" s="899" t="s">
        <v>4596</v>
      </c>
      <c r="CQ566" s="677" t="s">
        <v>4597</v>
      </c>
      <c r="CR566" s="734" t="s">
        <v>4598</v>
      </c>
      <c r="CS566" s="734" t="s">
        <v>4599</v>
      </c>
      <c r="CT566" s="668" t="s">
        <v>161</v>
      </c>
      <c r="CU566" s="668" t="s">
        <v>233</v>
      </c>
      <c r="CV566" s="668">
        <v>0</v>
      </c>
      <c r="CW566" s="668" t="s">
        <v>234</v>
      </c>
      <c r="CX566" s="669">
        <v>46023</v>
      </c>
      <c r="CY566" s="669">
        <v>46387</v>
      </c>
      <c r="CZ566" s="667">
        <v>0</v>
      </c>
      <c r="DA566" s="667">
        <v>0</v>
      </c>
      <c r="DB566" s="667">
        <v>0</v>
      </c>
      <c r="DC566" s="667">
        <v>1</v>
      </c>
      <c r="DD566" s="667">
        <f t="shared" ref="DD566:DD568" si="135">SUM(CZ566:DC566)</f>
        <v>1</v>
      </c>
      <c r="DE566" s="668" t="s">
        <v>514</v>
      </c>
      <c r="DF566" s="668" t="s">
        <v>4503</v>
      </c>
      <c r="DG566" s="677" t="s">
        <v>4504</v>
      </c>
      <c r="DH566" s="359">
        <v>150000000</v>
      </c>
      <c r="DI566" s="178" t="s">
        <v>956</v>
      </c>
      <c r="DJ566" s="178" t="s">
        <v>2606</v>
      </c>
      <c r="DK566" s="178" t="s">
        <v>2607</v>
      </c>
      <c r="DL566" s="178" t="s">
        <v>2708</v>
      </c>
      <c r="DM566" s="178" t="s">
        <v>4505</v>
      </c>
      <c r="DN566" s="131"/>
      <c r="DO566" s="589"/>
      <c r="DP566" s="150"/>
      <c r="DQ566" s="153"/>
      <c r="DR566" s="153"/>
      <c r="DS566" s="131"/>
      <c r="DT566" s="153"/>
      <c r="DU566" s="150"/>
      <c r="DV566" s="153"/>
      <c r="DW566" s="153"/>
      <c r="DX566" s="131"/>
      <c r="DY566" s="153"/>
      <c r="DZ566" s="150"/>
      <c r="EA566" s="153"/>
      <c r="EB566" s="153"/>
      <c r="EC566" s="131"/>
      <c r="ED566" s="131"/>
      <c r="EE566" s="131"/>
      <c r="EF566" s="131"/>
      <c r="EG566" s="131"/>
      <c r="EH566" s="131"/>
      <c r="EI566" s="131"/>
      <c r="EJ566" s="131"/>
      <c r="EK566" s="131"/>
      <c r="EL566" s="91" t="str">
        <f t="shared" si="126"/>
        <v>No aplica, no hay meta</v>
      </c>
      <c r="EM566" s="83" t="str">
        <f t="shared" si="127"/>
        <v>No se reportó avance</v>
      </c>
      <c r="EN566" s="86"/>
      <c r="EO566" s="93" t="str">
        <f t="shared" si="132"/>
        <v>Producto</v>
      </c>
      <c r="EP566" s="93" t="str">
        <f t="shared" si="133"/>
        <v>6</v>
      </c>
    </row>
    <row r="567" spans="1:146" s="93" customFormat="1" ht="110.1" customHeight="1">
      <c r="A567" s="131" t="s">
        <v>4477</v>
      </c>
      <c r="B567" s="590" t="s">
        <v>4478</v>
      </c>
      <c r="C567" s="106" t="s">
        <v>1966</v>
      </c>
      <c r="D567" s="106" t="s">
        <v>4479</v>
      </c>
      <c r="E567" s="106" t="s">
        <v>4480</v>
      </c>
      <c r="F567" s="589" t="s">
        <v>1969</v>
      </c>
      <c r="G567" s="590" t="s">
        <v>2370</v>
      </c>
      <c r="H567" s="589" t="s">
        <v>4481</v>
      </c>
      <c r="I567" s="86" t="s">
        <v>728</v>
      </c>
      <c r="J567" s="86" t="s">
        <v>1723</v>
      </c>
      <c r="K567" s="153" t="s">
        <v>4482</v>
      </c>
      <c r="L567" s="131">
        <v>5</v>
      </c>
      <c r="M567" s="86" t="s">
        <v>4580</v>
      </c>
      <c r="N567" s="86" t="s">
        <v>4581</v>
      </c>
      <c r="O567" s="86" t="s">
        <v>4582</v>
      </c>
      <c r="P567" s="153" t="s">
        <v>161</v>
      </c>
      <c r="Q567" s="131" t="s">
        <v>275</v>
      </c>
      <c r="R567" s="199">
        <v>0.2</v>
      </c>
      <c r="S567" s="131" t="s">
        <v>163</v>
      </c>
      <c r="T567" s="139">
        <v>44927</v>
      </c>
      <c r="U567" s="139">
        <v>46387</v>
      </c>
      <c r="V567" s="144">
        <v>0.25</v>
      </c>
      <c r="W567" s="144">
        <v>0.3</v>
      </c>
      <c r="X567" s="144">
        <v>0.35</v>
      </c>
      <c r="Y567" s="144">
        <v>0.4</v>
      </c>
      <c r="Z567" s="199">
        <v>0.4</v>
      </c>
      <c r="AA567" s="199">
        <v>0.45</v>
      </c>
      <c r="AB567" s="199">
        <v>0.5</v>
      </c>
      <c r="AC567" s="199">
        <v>0.55000000000000004</v>
      </c>
      <c r="AD567" s="199">
        <v>0.6</v>
      </c>
      <c r="AE567" s="199">
        <v>0.60000000000000009</v>
      </c>
      <c r="AF567" s="199">
        <v>0.65</v>
      </c>
      <c r="AG567" s="199">
        <v>0.7</v>
      </c>
      <c r="AH567" s="199">
        <v>0.75</v>
      </c>
      <c r="AI567" s="199">
        <v>0.8</v>
      </c>
      <c r="AJ567" s="199">
        <v>0.8</v>
      </c>
      <c r="AK567" s="199">
        <v>0.85</v>
      </c>
      <c r="AL567" s="199">
        <v>0.9</v>
      </c>
      <c r="AM567" s="199">
        <v>0.95</v>
      </c>
      <c r="AN567" s="199">
        <v>1</v>
      </c>
      <c r="AO567" s="199">
        <v>1.0000000000000004</v>
      </c>
      <c r="AP567" s="199">
        <v>1</v>
      </c>
      <c r="AQ567" s="144"/>
      <c r="AR567" s="131"/>
      <c r="AS567" s="144"/>
      <c r="AT567" s="131"/>
      <c r="AU567" s="144"/>
      <c r="AV567" s="131"/>
      <c r="AW567" s="144"/>
      <c r="AX567" s="131"/>
      <c r="AY567" s="144"/>
      <c r="AZ567" s="86"/>
      <c r="BA567" s="144"/>
      <c r="BB567" s="131"/>
      <c r="BC567" s="144"/>
      <c r="BD567" s="131"/>
      <c r="BE567" s="144"/>
      <c r="BF567" s="131"/>
      <c r="BG567" s="144"/>
      <c r="BH567" s="131"/>
      <c r="BI567" s="144"/>
      <c r="BJ567" s="86"/>
      <c r="BK567" s="144"/>
      <c r="BL567" s="86"/>
      <c r="BM567" s="144"/>
      <c r="BN567" s="86"/>
      <c r="BO567" s="144"/>
      <c r="BP567" s="153"/>
      <c r="BQ567" s="144"/>
      <c r="BR567" s="131"/>
      <c r="BS567" s="144"/>
      <c r="BT567" s="131"/>
      <c r="BU567" s="144"/>
      <c r="BV567" s="131"/>
      <c r="BW567" s="144"/>
      <c r="BX567" s="131"/>
      <c r="BY567" s="144"/>
      <c r="BZ567" s="131"/>
      <c r="CA567" s="144"/>
      <c r="CB567" s="131"/>
      <c r="CC567" s="144"/>
      <c r="CD567" s="131"/>
      <c r="CE567" s="144"/>
      <c r="CF567" s="131"/>
      <c r="CG567" s="591"/>
      <c r="CH567" s="591"/>
      <c r="CI567" s="591"/>
      <c r="CJ567" s="144" t="str">
        <f t="shared" si="130"/>
        <v>No aplica</v>
      </c>
      <c r="CK567" s="144" t="str">
        <f t="shared" si="131"/>
        <v>No aplica</v>
      </c>
      <c r="CL567" s="83" t="str">
        <f t="shared" si="123"/>
        <v>No requiere reporte</v>
      </c>
      <c r="CM567" s="89" t="str">
        <f t="shared" si="124"/>
        <v>No requiere reporte</v>
      </c>
      <c r="CN567" s="89" t="str">
        <f t="shared" si="125"/>
        <v>No requiere reporte</v>
      </c>
      <c r="CO567" s="668" t="s">
        <v>589</v>
      </c>
      <c r="CP567" s="899" t="s">
        <v>4600</v>
      </c>
      <c r="CQ567" s="677" t="s">
        <v>4597</v>
      </c>
      <c r="CR567" s="734" t="s">
        <v>4598</v>
      </c>
      <c r="CS567" s="734" t="s">
        <v>4601</v>
      </c>
      <c r="CT567" s="668" t="s">
        <v>161</v>
      </c>
      <c r="CU567" s="668" t="s">
        <v>233</v>
      </c>
      <c r="CV567" s="668">
        <v>0</v>
      </c>
      <c r="CW567" s="668" t="s">
        <v>234</v>
      </c>
      <c r="CX567" s="669">
        <v>46023</v>
      </c>
      <c r="CY567" s="669">
        <v>46387</v>
      </c>
      <c r="CZ567" s="667">
        <v>10</v>
      </c>
      <c r="DA567" s="667">
        <v>10</v>
      </c>
      <c r="DB567" s="667">
        <v>10</v>
      </c>
      <c r="DC567" s="667">
        <v>10</v>
      </c>
      <c r="DD567" s="667">
        <f t="shared" si="135"/>
        <v>40</v>
      </c>
      <c r="DE567" s="668" t="s">
        <v>265</v>
      </c>
      <c r="DF567" s="668" t="s">
        <v>4578</v>
      </c>
      <c r="DG567" s="677" t="s">
        <v>4579</v>
      </c>
      <c r="DH567" s="359">
        <v>300000000</v>
      </c>
      <c r="DI567" s="178" t="s">
        <v>956</v>
      </c>
      <c r="DJ567" s="178" t="s">
        <v>2606</v>
      </c>
      <c r="DK567" s="178" t="s">
        <v>2607</v>
      </c>
      <c r="DL567" s="178" t="s">
        <v>2708</v>
      </c>
      <c r="DM567" s="178" t="s">
        <v>4505</v>
      </c>
      <c r="DN567" s="131"/>
      <c r="DO567" s="589"/>
      <c r="DP567" s="150"/>
      <c r="DQ567" s="153"/>
      <c r="DR567" s="153"/>
      <c r="DS567" s="131"/>
      <c r="DT567" s="153"/>
      <c r="DU567" s="150"/>
      <c r="DV567" s="153"/>
      <c r="DW567" s="153"/>
      <c r="DX567" s="131"/>
      <c r="DY567" s="153"/>
      <c r="DZ567" s="150"/>
      <c r="EA567" s="153"/>
      <c r="EB567" s="153"/>
      <c r="EC567" s="131"/>
      <c r="ED567" s="131"/>
      <c r="EE567" s="131"/>
      <c r="EF567" s="131"/>
      <c r="EG567" s="131"/>
      <c r="EH567" s="131"/>
      <c r="EI567" s="131"/>
      <c r="EJ567" s="131"/>
      <c r="EK567" s="131"/>
      <c r="EL567" s="91" t="str">
        <f t="shared" si="126"/>
        <v>No se reportó avance</v>
      </c>
      <c r="EM567" s="83" t="str">
        <f t="shared" si="127"/>
        <v>No se reportó avance</v>
      </c>
      <c r="EN567" s="86"/>
      <c r="EO567" s="93" t="str">
        <f t="shared" si="132"/>
        <v>Producto</v>
      </c>
      <c r="EP567" s="93" t="str">
        <f t="shared" si="133"/>
        <v>6</v>
      </c>
    </row>
    <row r="568" spans="1:146" s="93" customFormat="1" ht="110.1" customHeight="1">
      <c r="A568" s="182" t="s">
        <v>4477</v>
      </c>
      <c r="B568" s="582" t="s">
        <v>4478</v>
      </c>
      <c r="C568" s="583" t="s">
        <v>1966</v>
      </c>
      <c r="D568" s="583" t="s">
        <v>4479</v>
      </c>
      <c r="E568" s="583" t="s">
        <v>4480</v>
      </c>
      <c r="F568" s="584" t="s">
        <v>1969</v>
      </c>
      <c r="G568" s="582" t="s">
        <v>2370</v>
      </c>
      <c r="H568" s="584" t="s">
        <v>4481</v>
      </c>
      <c r="I568" s="585" t="s">
        <v>728</v>
      </c>
      <c r="J568" s="585" t="s">
        <v>1723</v>
      </c>
      <c r="K568" s="586" t="s">
        <v>4482</v>
      </c>
      <c r="L568" s="294">
        <v>6</v>
      </c>
      <c r="M568" s="587" t="s">
        <v>4602</v>
      </c>
      <c r="N568" s="587" t="s">
        <v>4603</v>
      </c>
      <c r="O568" s="587" t="s">
        <v>4604</v>
      </c>
      <c r="P568" s="588" t="s">
        <v>161</v>
      </c>
      <c r="Q568" s="294" t="s">
        <v>233</v>
      </c>
      <c r="R568" s="597">
        <v>0</v>
      </c>
      <c r="S568" s="597" t="s">
        <v>234</v>
      </c>
      <c r="T568" s="141">
        <v>44927</v>
      </c>
      <c r="U568" s="141">
        <v>46387</v>
      </c>
      <c r="V568" s="598">
        <v>8</v>
      </c>
      <c r="W568" s="598">
        <v>8</v>
      </c>
      <c r="X568" s="598">
        <v>8</v>
      </c>
      <c r="Y568" s="598">
        <v>8</v>
      </c>
      <c r="Z568" s="597">
        <v>32</v>
      </c>
      <c r="AA568" s="599">
        <v>0</v>
      </c>
      <c r="AB568" s="599">
        <v>18</v>
      </c>
      <c r="AC568" s="599">
        <v>18</v>
      </c>
      <c r="AD568" s="599">
        <v>32</v>
      </c>
      <c r="AE568" s="374">
        <f>SUM(AA568:AD568)</f>
        <v>68</v>
      </c>
      <c r="AF568" s="374">
        <v>0</v>
      </c>
      <c r="AG568" s="374">
        <v>18</v>
      </c>
      <c r="AH568" s="374">
        <v>18</v>
      </c>
      <c r="AI568" s="374">
        <v>32</v>
      </c>
      <c r="AJ568" s="374">
        <f>SUM(AF568:AI568)</f>
        <v>68</v>
      </c>
      <c r="AK568" s="374">
        <v>10</v>
      </c>
      <c r="AL568" s="374">
        <v>18</v>
      </c>
      <c r="AM568" s="374">
        <v>18</v>
      </c>
      <c r="AN568" s="374">
        <v>22</v>
      </c>
      <c r="AO568" s="374">
        <v>68</v>
      </c>
      <c r="AP568" s="374">
        <f>+Z568+AE568+AJ568+AO568</f>
        <v>236</v>
      </c>
      <c r="AQ568" s="131">
        <v>8</v>
      </c>
      <c r="AR568" s="131" t="s">
        <v>4605</v>
      </c>
      <c r="AS568" s="131">
        <v>8</v>
      </c>
      <c r="AT568" s="131" t="s">
        <v>4606</v>
      </c>
      <c r="AU568" s="131">
        <v>5</v>
      </c>
      <c r="AV568" s="131" t="s">
        <v>4607</v>
      </c>
      <c r="AW568" s="131">
        <v>19</v>
      </c>
      <c r="AX568" s="131" t="s">
        <v>4608</v>
      </c>
      <c r="AY568" s="862">
        <v>40</v>
      </c>
      <c r="AZ568" s="86" t="s">
        <v>4609</v>
      </c>
      <c r="BA568" s="375">
        <v>19</v>
      </c>
      <c r="BB568" s="131" t="s">
        <v>4610</v>
      </c>
      <c r="BC568" s="375">
        <v>30</v>
      </c>
      <c r="BD568" s="131" t="s">
        <v>4611</v>
      </c>
      <c r="BE568" s="375">
        <v>35</v>
      </c>
      <c r="BF568" s="131" t="s">
        <v>4612</v>
      </c>
      <c r="BG568" s="590">
        <v>20</v>
      </c>
      <c r="BH568" s="861" t="s">
        <v>4613</v>
      </c>
      <c r="BI568" s="375">
        <f>+BG568+BE568+BC568+BA568</f>
        <v>104</v>
      </c>
      <c r="BJ568" s="86" t="s">
        <v>4614</v>
      </c>
      <c r="BK568" s="375">
        <v>42</v>
      </c>
      <c r="BL568" s="106" t="s">
        <v>4615</v>
      </c>
      <c r="BM568" s="131">
        <v>57</v>
      </c>
      <c r="BN568" s="86" t="s">
        <v>4616</v>
      </c>
      <c r="BO568" s="131">
        <f>28</f>
        <v>28</v>
      </c>
      <c r="BP568" s="86" t="s">
        <v>4617</v>
      </c>
      <c r="BQ568" s="131"/>
      <c r="BR568" s="131"/>
      <c r="BS568" s="375">
        <f>BO568+BM568+BK568</f>
        <v>127</v>
      </c>
      <c r="BT568" s="131"/>
      <c r="BU568" s="131"/>
      <c r="BV568" s="131"/>
      <c r="BW568" s="131"/>
      <c r="BX568" s="131"/>
      <c r="BY568" s="131"/>
      <c r="BZ568" s="131"/>
      <c r="CA568" s="131"/>
      <c r="CB568" s="131"/>
      <c r="CC568" s="131"/>
      <c r="CD568" s="131"/>
      <c r="CE568" s="375">
        <f>+BS568</f>
        <v>127</v>
      </c>
      <c r="CF568" s="131"/>
      <c r="CG568" s="359">
        <f>SUM(DH568)</f>
        <v>100000000</v>
      </c>
      <c r="CH568" s="363"/>
      <c r="CI568" s="363"/>
      <c r="CJ568" s="144">
        <f t="shared" si="130"/>
        <v>0</v>
      </c>
      <c r="CK568" s="144">
        <f t="shared" si="131"/>
        <v>0</v>
      </c>
      <c r="CL568" s="83" t="str">
        <f t="shared" si="123"/>
        <v>No se reportó avance</v>
      </c>
      <c r="CM568" s="89" t="str">
        <f t="shared" si="124"/>
        <v>No se reportó avance</v>
      </c>
      <c r="CN568" s="89">
        <f t="shared" si="125"/>
        <v>0.53813559322033899</v>
      </c>
      <c r="CO568" s="668" t="s">
        <v>1362</v>
      </c>
      <c r="CP568" s="899" t="s">
        <v>4602</v>
      </c>
      <c r="CQ568" s="677" t="s">
        <v>4528</v>
      </c>
      <c r="CR568" s="734" t="s">
        <v>4618</v>
      </c>
      <c r="CS568" s="734" t="s">
        <v>4619</v>
      </c>
      <c r="CT568" s="668" t="s">
        <v>161</v>
      </c>
      <c r="CU568" s="668" t="s">
        <v>233</v>
      </c>
      <c r="CV568" s="668">
        <v>0</v>
      </c>
      <c r="CW568" s="668" t="s">
        <v>234</v>
      </c>
      <c r="CX568" s="669">
        <v>46023</v>
      </c>
      <c r="CY568" s="669">
        <v>46387</v>
      </c>
      <c r="CZ568" s="667">
        <v>10</v>
      </c>
      <c r="DA568" s="667">
        <v>18</v>
      </c>
      <c r="DB568" s="667">
        <v>18</v>
      </c>
      <c r="DC568" s="667">
        <v>22</v>
      </c>
      <c r="DD568" s="667">
        <f t="shared" si="135"/>
        <v>68</v>
      </c>
      <c r="DE568" s="668" t="s">
        <v>265</v>
      </c>
      <c r="DF568" s="668" t="s">
        <v>4578</v>
      </c>
      <c r="DG568" s="677" t="s">
        <v>4579</v>
      </c>
      <c r="DH568" s="359">
        <v>100000000</v>
      </c>
      <c r="DI568" s="178" t="s">
        <v>956</v>
      </c>
      <c r="DJ568" s="178" t="s">
        <v>2606</v>
      </c>
      <c r="DK568" s="178" t="s">
        <v>2607</v>
      </c>
      <c r="DL568" s="178" t="s">
        <v>2708</v>
      </c>
      <c r="DM568" s="178" t="s">
        <v>4505</v>
      </c>
      <c r="DN568" s="131"/>
      <c r="DO568" s="589"/>
      <c r="DP568" s="150"/>
      <c r="DQ568" s="153"/>
      <c r="DR568" s="153"/>
      <c r="DS568" s="131"/>
      <c r="DT568" s="153"/>
      <c r="DU568" s="150"/>
      <c r="DV568" s="153"/>
      <c r="DW568" s="153"/>
      <c r="DX568" s="131"/>
      <c r="DY568" s="153"/>
      <c r="DZ568" s="150"/>
      <c r="EA568" s="153"/>
      <c r="EB568" s="153"/>
      <c r="EC568" s="131"/>
      <c r="ED568" s="131"/>
      <c r="EE568" s="131"/>
      <c r="EF568" s="131"/>
      <c r="EG568" s="131"/>
      <c r="EH568" s="131"/>
      <c r="EI568" s="131"/>
      <c r="EJ568" s="131"/>
      <c r="EK568" s="131"/>
      <c r="EL568" s="91" t="str">
        <f t="shared" si="126"/>
        <v>No se reportó avance</v>
      </c>
      <c r="EM568" s="83" t="str">
        <f t="shared" si="127"/>
        <v>No se reportó avance</v>
      </c>
      <c r="EN568" s="86" t="s">
        <v>4620</v>
      </c>
      <c r="EO568" s="93" t="str">
        <f t="shared" si="132"/>
        <v>Producto</v>
      </c>
      <c r="EP568" s="93" t="str">
        <f t="shared" si="133"/>
        <v>6</v>
      </c>
    </row>
    <row r="569" spans="1:146" s="93" customFormat="1" ht="110.1" customHeight="1">
      <c r="A569" s="182" t="s">
        <v>4477</v>
      </c>
      <c r="B569" s="582" t="s">
        <v>4478</v>
      </c>
      <c r="C569" s="583" t="s">
        <v>1966</v>
      </c>
      <c r="D569" s="583" t="s">
        <v>4479</v>
      </c>
      <c r="E569" s="583" t="s">
        <v>4480</v>
      </c>
      <c r="F569" s="584" t="s">
        <v>1969</v>
      </c>
      <c r="G569" s="582" t="s">
        <v>2370</v>
      </c>
      <c r="H569" s="584" t="s">
        <v>4481</v>
      </c>
      <c r="I569" s="585" t="s">
        <v>728</v>
      </c>
      <c r="J569" s="585" t="s">
        <v>1723</v>
      </c>
      <c r="K569" s="586" t="s">
        <v>4482</v>
      </c>
      <c r="L569" s="294">
        <v>7</v>
      </c>
      <c r="M569" s="587" t="s">
        <v>4621</v>
      </c>
      <c r="N569" s="587" t="s">
        <v>4622</v>
      </c>
      <c r="O569" s="587" t="s">
        <v>4623</v>
      </c>
      <c r="P569" s="588" t="s">
        <v>161</v>
      </c>
      <c r="Q569" s="602" t="s">
        <v>275</v>
      </c>
      <c r="R569" s="376">
        <v>0.1</v>
      </c>
      <c r="S569" s="294" t="s">
        <v>163</v>
      </c>
      <c r="T569" s="141">
        <v>44927</v>
      </c>
      <c r="U569" s="141">
        <v>46387</v>
      </c>
      <c r="V569" s="183">
        <v>0.25</v>
      </c>
      <c r="W569" s="183">
        <v>0.3</v>
      </c>
      <c r="X569" s="183">
        <v>0.35</v>
      </c>
      <c r="Y569" s="183">
        <v>0.4</v>
      </c>
      <c r="Z569" s="376">
        <f>12.8/32</f>
        <v>0.4</v>
      </c>
      <c r="AA569" s="198">
        <f>40%+5%</f>
        <v>0.45</v>
      </c>
      <c r="AB569" s="198">
        <v>0.5</v>
      </c>
      <c r="AC569" s="198">
        <v>0.55000000000000004</v>
      </c>
      <c r="AD569" s="198">
        <v>0.6</v>
      </c>
      <c r="AE569" s="376">
        <v>0.6</v>
      </c>
      <c r="AF569" s="376">
        <v>0.65</v>
      </c>
      <c r="AG569" s="376">
        <v>0.7</v>
      </c>
      <c r="AH569" s="376">
        <v>0.75</v>
      </c>
      <c r="AI569" s="376">
        <v>0.8</v>
      </c>
      <c r="AJ569" s="376">
        <v>0.8</v>
      </c>
      <c r="AK569" s="376">
        <v>0.81333333333333335</v>
      </c>
      <c r="AL569" s="376">
        <v>0.85333333333333339</v>
      </c>
      <c r="AM569" s="376">
        <v>0.92</v>
      </c>
      <c r="AN569" s="376">
        <v>1</v>
      </c>
      <c r="AO569" s="376">
        <f>32/32</f>
        <v>1</v>
      </c>
      <c r="AP569" s="376">
        <v>1</v>
      </c>
      <c r="AQ569" s="144">
        <f>8/32</f>
        <v>0.25</v>
      </c>
      <c r="AR569" s="131" t="s">
        <v>4624</v>
      </c>
      <c r="AS569" s="144">
        <f>9/32</f>
        <v>0.28125</v>
      </c>
      <c r="AT569" s="131" t="s">
        <v>4625</v>
      </c>
      <c r="AU569" s="144">
        <f>17/32</f>
        <v>0.53125</v>
      </c>
      <c r="AV569" s="131" t="s">
        <v>4626</v>
      </c>
      <c r="AW569" s="144">
        <f>7/32</f>
        <v>0.21875</v>
      </c>
      <c r="AX569" s="131" t="s">
        <v>4627</v>
      </c>
      <c r="AY569" s="186">
        <v>1</v>
      </c>
      <c r="AZ569" s="86" t="s">
        <v>4628</v>
      </c>
      <c r="BA569" s="861">
        <f>+(22/68)/5</f>
        <v>6.4705882352941183E-2</v>
      </c>
      <c r="BB569" s="131" t="s">
        <v>4629</v>
      </c>
      <c r="BC569" s="861">
        <f>+(30/68)/5</f>
        <v>8.8235294117647051E-2</v>
      </c>
      <c r="BD569" s="131" t="s">
        <v>4630</v>
      </c>
      <c r="BE569" s="861">
        <f>35/68/5+40%</f>
        <v>0.50294117647058822</v>
      </c>
      <c r="BF569" s="131" t="s">
        <v>4631</v>
      </c>
      <c r="BG569" s="199">
        <f>(20/68)*AD569</f>
        <v>0.17647058823529413</v>
      </c>
      <c r="BH569" s="861" t="s">
        <v>4632</v>
      </c>
      <c r="BI569" s="199">
        <f>(107/68)*AE569</f>
        <v>0.94411764705882351</v>
      </c>
      <c r="BJ569" s="106" t="s">
        <v>4633</v>
      </c>
      <c r="BK569" s="144">
        <f>61/68*AE569</f>
        <v>0.53823529411764703</v>
      </c>
      <c r="BL569" s="106" t="s">
        <v>4634</v>
      </c>
      <c r="BM569" s="144">
        <f>(100/68)*0.6</f>
        <v>0.88235294117647067</v>
      </c>
      <c r="BN569" s="86" t="s">
        <v>4635</v>
      </c>
      <c r="BO569" s="144">
        <f>(65/68)*0.6</f>
        <v>0.57352941176470584</v>
      </c>
      <c r="BP569" s="86" t="s">
        <v>4636</v>
      </c>
      <c r="BQ569" s="144"/>
      <c r="BR569" s="131"/>
      <c r="BS569" s="144">
        <f>BO569+BM569+BK569</f>
        <v>1.9941176470588236</v>
      </c>
      <c r="BT569" s="131"/>
      <c r="BU569" s="144"/>
      <c r="BV569" s="131"/>
      <c r="BW569" s="144"/>
      <c r="BX569" s="131"/>
      <c r="BY569" s="144"/>
      <c r="BZ569" s="131"/>
      <c r="CA569" s="144"/>
      <c r="CB569" s="131"/>
      <c r="CC569" s="144"/>
      <c r="CD569" s="131"/>
      <c r="CE569" s="144">
        <f>+BS569</f>
        <v>1.9941176470588236</v>
      </c>
      <c r="CF569" s="131"/>
      <c r="CG569" s="359">
        <f>SUM(DH569)</f>
        <v>550000000</v>
      </c>
      <c r="CH569" s="363"/>
      <c r="CI569" s="363"/>
      <c r="CJ569" s="144">
        <f t="shared" si="130"/>
        <v>0</v>
      </c>
      <c r="CK569" s="144">
        <f t="shared" si="131"/>
        <v>0</v>
      </c>
      <c r="CL569" s="83" t="str">
        <f t="shared" si="123"/>
        <v>No se reportó avance</v>
      </c>
      <c r="CM569" s="89" t="str">
        <f t="shared" si="124"/>
        <v>No se reportó avance</v>
      </c>
      <c r="CN569" s="89">
        <f t="shared" si="125"/>
        <v>1.0000100000000001</v>
      </c>
      <c r="CO569" s="668" t="s">
        <v>1384</v>
      </c>
      <c r="CP569" s="899" t="s">
        <v>4621</v>
      </c>
      <c r="CQ569" s="677" t="s">
        <v>4528</v>
      </c>
      <c r="CR569" s="734" t="s">
        <v>4637</v>
      </c>
      <c r="CS569" s="734" t="s">
        <v>4638</v>
      </c>
      <c r="CT569" s="668" t="s">
        <v>161</v>
      </c>
      <c r="CU569" s="668" t="s">
        <v>275</v>
      </c>
      <c r="CV569" s="291">
        <v>0</v>
      </c>
      <c r="CW569" s="668" t="s">
        <v>163</v>
      </c>
      <c r="CX569" s="669">
        <v>46023</v>
      </c>
      <c r="CY569" s="669">
        <v>46387</v>
      </c>
      <c r="CZ569" s="733">
        <f>80%+(10/150)*20%</f>
        <v>0.81333333333333335</v>
      </c>
      <c r="DA569" s="733">
        <f>80%+(40/150)*20%</f>
        <v>0.85333333333333339</v>
      </c>
      <c r="DB569" s="733">
        <f>80%+(90/150)*20%</f>
        <v>0.92</v>
      </c>
      <c r="DC569" s="146">
        <v>1</v>
      </c>
      <c r="DD569" s="146">
        <v>1</v>
      </c>
      <c r="DE569" s="668" t="s">
        <v>265</v>
      </c>
      <c r="DF569" s="668" t="s">
        <v>4578</v>
      </c>
      <c r="DG569" s="677" t="s">
        <v>4579</v>
      </c>
      <c r="DH569" s="359">
        <v>550000000</v>
      </c>
      <c r="DI569" s="178" t="s">
        <v>956</v>
      </c>
      <c r="DJ569" s="178" t="s">
        <v>2606</v>
      </c>
      <c r="DK569" s="178" t="s">
        <v>2607</v>
      </c>
      <c r="DL569" s="178" t="s">
        <v>2708</v>
      </c>
      <c r="DM569" s="178" t="s">
        <v>4505</v>
      </c>
      <c r="DN569" s="144"/>
      <c r="DO569" s="589"/>
      <c r="DP569" s="150"/>
      <c r="DQ569" s="153"/>
      <c r="DR569" s="153"/>
      <c r="DS569" s="144"/>
      <c r="DT569" s="153"/>
      <c r="DU569" s="150"/>
      <c r="DV569" s="153"/>
      <c r="DW569" s="153"/>
      <c r="DX569" s="144"/>
      <c r="DY569" s="153"/>
      <c r="DZ569" s="150"/>
      <c r="EA569" s="153"/>
      <c r="EB569" s="153"/>
      <c r="EC569" s="144"/>
      <c r="ED569" s="131"/>
      <c r="EE569" s="131"/>
      <c r="EF569" s="131"/>
      <c r="EG569" s="131"/>
      <c r="EH569" s="144"/>
      <c r="EI569" s="131"/>
      <c r="EJ569" s="131"/>
      <c r="EK569" s="131"/>
      <c r="EL569" s="91" t="str">
        <f t="shared" si="126"/>
        <v>No se reportó avance</v>
      </c>
      <c r="EM569" s="83" t="str">
        <f t="shared" si="127"/>
        <v>No se reportó avance</v>
      </c>
      <c r="EN569" s="86" t="s">
        <v>4639</v>
      </c>
      <c r="EO569" s="93" t="str">
        <f t="shared" si="132"/>
        <v>Producto</v>
      </c>
      <c r="EP569" s="93" t="str">
        <f t="shared" si="133"/>
        <v>6</v>
      </c>
    </row>
  </sheetData>
  <sheetProtection algorithmName="SHA-512" hashValue="1Mhtol0666xMTUoTzOEkTME18qzKUp1qo1JzYxbRnKvy/aRtMQRkfx5yPekDODNCPvrTx07SYlKp+jS1f6690A==" saltValue="jWb5THEUWO0phcqGXb/S/Q==" spinCount="100000" sheet="1" autoFilter="0"/>
  <autoFilter ref="A15:EN569" xr:uid="{00000000-0001-0000-0000-000000000000}"/>
  <mergeCells count="88">
    <mergeCell ref="C12:K12"/>
    <mergeCell ref="H11:I11"/>
    <mergeCell ref="B11:F11"/>
    <mergeCell ref="A10:EM10"/>
    <mergeCell ref="EC14:EG14"/>
    <mergeCell ref="EH14:EK14"/>
    <mergeCell ref="R13:R15"/>
    <mergeCell ref="G13:G15"/>
    <mergeCell ref="H13:H15"/>
    <mergeCell ref="I13:I15"/>
    <mergeCell ref="J13:J15"/>
    <mergeCell ref="K13:K15"/>
    <mergeCell ref="L13:L15"/>
    <mergeCell ref="M13:M15"/>
    <mergeCell ref="N13:N15"/>
    <mergeCell ref="A12:B12"/>
    <mergeCell ref="L12:AP12"/>
    <mergeCell ref="CL12:CL15"/>
    <mergeCell ref="CM12:CM15"/>
    <mergeCell ref="CN12:CN15"/>
    <mergeCell ref="F13:F15"/>
    <mergeCell ref="O13:O15"/>
    <mergeCell ref="P13:P15"/>
    <mergeCell ref="Q13:Q15"/>
    <mergeCell ref="S13:S15"/>
    <mergeCell ref="T13:T15"/>
    <mergeCell ref="U13:U15"/>
    <mergeCell ref="AQ12:CK12"/>
    <mergeCell ref="CG14:CG15"/>
    <mergeCell ref="CH14:CH15"/>
    <mergeCell ref="CI14:CI15"/>
    <mergeCell ref="CJ14:CJ15"/>
    <mergeCell ref="A13:A15"/>
    <mergeCell ref="B13:B15"/>
    <mergeCell ref="C13:C15"/>
    <mergeCell ref="D13:D15"/>
    <mergeCell ref="E13:E15"/>
    <mergeCell ref="DN13:EK13"/>
    <mergeCell ref="DN14:DR14"/>
    <mergeCell ref="DS14:DW14"/>
    <mergeCell ref="AF14:AJ14"/>
    <mergeCell ref="AK14:AO14"/>
    <mergeCell ref="CZ13:DD14"/>
    <mergeCell ref="CE14:CE15"/>
    <mergeCell ref="CF14:CF15"/>
    <mergeCell ref="V13:AP13"/>
    <mergeCell ref="AQ13:CF13"/>
    <mergeCell ref="AP14:AP15"/>
    <mergeCell ref="V14:Z14"/>
    <mergeCell ref="AA14:AE14"/>
    <mergeCell ref="DE13:DH14"/>
    <mergeCell ref="DI13:DK14"/>
    <mergeCell ref="CG13:CK13"/>
    <mergeCell ref="EM12:EM15"/>
    <mergeCell ref="EN12:EN15"/>
    <mergeCell ref="CS13:CS15"/>
    <mergeCell ref="CT13:CT15"/>
    <mergeCell ref="CU13:CU15"/>
    <mergeCell ref="CV13:CV15"/>
    <mergeCell ref="CO12:DM12"/>
    <mergeCell ref="DN12:EK12"/>
    <mergeCell ref="EL12:EL15"/>
    <mergeCell ref="CR13:CR15"/>
    <mergeCell ref="DL13:DL15"/>
    <mergeCell ref="DM13:DM15"/>
    <mergeCell ref="CW13:CW15"/>
    <mergeCell ref="DX14:EB14"/>
    <mergeCell ref="CP13:CP15"/>
    <mergeCell ref="CQ13:CQ15"/>
    <mergeCell ref="A1:F8"/>
    <mergeCell ref="G1:L4"/>
    <mergeCell ref="G5:L8"/>
    <mergeCell ref="M1:AT4"/>
    <mergeCell ref="M5:AT8"/>
    <mergeCell ref="AU1:BC3"/>
    <mergeCell ref="AU4:BC6"/>
    <mergeCell ref="AU7:BC8"/>
    <mergeCell ref="BD1:BJ3"/>
    <mergeCell ref="BD4:BJ6"/>
    <mergeCell ref="BD7:BJ8"/>
    <mergeCell ref="CX13:CX15"/>
    <mergeCell ref="CY13:CY15"/>
    <mergeCell ref="CO13:CO15"/>
    <mergeCell ref="CK14:CK15"/>
    <mergeCell ref="AQ14:AZ14"/>
    <mergeCell ref="BA14:BJ14"/>
    <mergeCell ref="BK14:BT14"/>
    <mergeCell ref="BU14:CD14"/>
  </mergeCells>
  <dataValidations count="15">
    <dataValidation type="textLength" allowBlank="1" showInputMessage="1" showErrorMessage="1" sqref="AZ16 AZ73 AZ111 AZ118:AZ119 BL147 BT135 BT121 BT124 BT138 BL121 BL124 BL135 BL138 BL141 BL145 DO145:DO148 BN138 BN141 BN145 BN147 DO121:DO142 AZ24:AZ28 DN165:DR172 AZ329 AZ331 AZ50 AZ55:AZ57 AZ60 AZ48 AZ65 AZ68:AZ69 AZ22 DP121:DR148 AZ149 AZ322:AZ325 DR321:DR324 EK321:EK324 AZ194 AZ190 AZ182" xr:uid="{D6F0D2B5-2C58-412D-981D-7B8433D507E1}">
      <formula1>0</formula1>
      <formula2>350</formula2>
    </dataValidation>
    <dataValidation type="textLength" allowBlank="1" showInputMessage="1" showErrorMessage="1" sqref="AZ21 AR65:AR66 AT65:AT66 AV65:AV66 AX65:AX66 AR68:AR69 AR73 AT68:AT69 AT73 AV68:AV69 AV73 AX68:AX69 AX73 AZ23 BB157:BB160 BD157:BD160 AQ149:AZ149 EN157:EN158 AX236 AR244 AR255:AR258 AV244 AV255:AV258 AX244 AX255:AX258 AR263:AR265 AV263:AV265 AX263:AX265 AR182 AV182 AX182 AR185 AV185 AX185 AR188 AV188 AX188 AR191 AV191 AX191 AR195:AR196 AV195:AV196 AX195:AX196 AR208 AV208 AX208 AR211 AV211:AV212 AX211:AX212 AZ212 AV222 AV225:AV226 AX222 AX225:AX226 AR236 AV232 AV236 AX232" xr:uid="{95696166-D07A-4CBA-948B-43AAF1327C3D}">
      <formula1>0</formula1>
      <formula2>500</formula2>
    </dataValidation>
    <dataValidation type="textLength" allowBlank="1" showInputMessage="1" showErrorMessage="1" sqref="BB103 BD103 AR165 AT165 AV165 AX165 AR168 AT168 AV168 AX168 AR171 AT171 AV171 AX171 AR173:AR177 AT173:AT177 AV173:AV177 AX173:AX177 AR180 AT180 AV180 AX180 AX60 AR48 AR50 AR56 AT48 AT50 AT56 AV48 AX48 AV50 AX50 AV56:AV57 AX56:AX57 AZ518:AZ519 AZ526 AZ532:AZ533 AZ535 AZ537:AZ538 AZ542 AZ544 BB509 BD509 BB518:BB519 BD518:BD519 BB521 BD521 BB523 BD523 BB526 BD526 BB532:BB533 BD532:BD533 BB535 BD535 BB537:BB538 BD537:BD538 BB542 BD542 BB544 BD544 AZ34 AT255:AT258" xr:uid="{BDE81360-2C7E-4DAF-81EF-93B7E41624DE}">
      <formula1>0</formula1>
      <formula2>400</formula2>
    </dataValidation>
    <dataValidation type="list" allowBlank="1" showInputMessage="1" showErrorMessage="1" sqref="Q118:Q119 CU111:CU120 CV175:CV176 Q518 WVY268:WVY275 WMC268:WMC275 WCG268:WCG275 VSK268:VSK275 VIO268:VIO275 UYS268:UYS275 UOW268:UOW275 UFA268:UFA275 TVE268:TVE275 TLI268:TLI275 TBM268:TBM275 SRQ268:SRQ275 SHU268:SHU275 RXY268:RXY275 ROC268:ROC275 REG268:REG275 QUK268:QUK275 QKO268:QKO275 QAS268:QAS275 PQW268:PQW275 PHA268:PHA275 OXE268:OXE275 ONI268:ONI275 ODM268:ODM275 NTQ268:NTQ275 NJU268:NJU275 MZY268:MZY275 MQC268:MQC275 MGG268:MGG275 LWK268:LWK275 LMO268:LMO275 LCS268:LCS275 KSW268:KSW275 KJA268:KJA275 JZE268:JZE275 JPI268:JPI275 JFM268:JFM275 IVQ268:IVQ275 ILU268:ILU275 IBY268:IBY275 HSC268:HSC275 HIG268:HIG275 GYK268:GYK275 GOO268:GOO275 GES268:GES275 FUW268:FUW275 FLA268:FLA275 FBE268:FBE275 ERI268:ERI275 EHM268:EHM275 DXQ268:DXQ275 DNU268:DNU275 DDY268:DDY275 CUC268:CUC275 CKG268:CKG275 CAK268:CAK275 BQO268:BQO275 BGS268:BGS275 AWW268:AWW275 ANA268:ANA275 ADE268:ADE275 TI268:TI275 JM268:JM275 Q268:Q275 Q329:Q332 Q325:Q327 Q523 Q526 CU408 CU436:CU437 CU447:CU449 CU375:CU376 CU380 CU382 CU385 CU387:CU391 CU393 CU395 CU397:CU399 CU401 CU404 CU406 CU416 CU419:CU425 CU427 CU443:CU445 Q35:Q37 CU472:CU474 CU476 CU325:CU332 CU482 CU487 CU489 CU491 CU505 CU429:CU434 CU509:CU558 CV179:CV181 CU195 CU211" xr:uid="{34FD1243-7DD3-40AF-B23C-83E1C7D63168}">
      <formula1>"Mantenimiento,Flujo,Acumulado,Capacidad,Reducción"</formula1>
    </dataValidation>
    <dataValidation type="textLength" operator="lessThanOrEqual" allowBlank="1" showInputMessage="1" showErrorMessage="1" sqref="AZ87:AZ91 AZ76:AZ80 AZ82:AZ85 BJ103:BJ120 AZ103:AZ110 CD103:CD120 CE118:CE119 BT103:BT120 AZ165:AZ172 BJ165:BJ173 BS178:BS179 BJ175 BS173:BS176 BJ180 BJ177 BT181:BT222 BI173:BI181 BJ161 CD325:CD332 BJ330 AZ326:AZ328 BJ325:BJ328 AZ330 BT325:BT332 BJ332 AZ539:AZ541 AZ346:AZ350 AZ352:AZ358 AZ360:AZ367 BJ338:BJ441 AZ339:AZ344 CD338:CD441 BT338:BT441 AZ369:AZ373 CE504:CE505 BJ504:BJ505 AZ441 AZ375:AZ407 AZ409:AZ418 AZ434:AZ439 CE447 BJ457:BJ458 BJ465 BJ467 CE467 BJ473 BJ475 BJ482 BJ485:BJ486 BJ490 BJ493 BJ495 BJ498 CE454:CE455 BJ455 CE457:CE458 CE465 CE470 CE473 CE475 CE482 CE485:CE486 CE490 CE493 CE495 CE498 AZ420:AZ432 AZ545:AZ558 AZ567 AZ565 AZ563 BJ563 AZ560 BJ560 BJ565 BJ567 BJ57:BJ63 CE55 BJ48:BJ55 CD48:CD55 BT48:BT55 BT57:BT63 CD57:CD63 AZ332 CD65:CD91 BT65:BT91 AZ74 AZ70:AZ72 AZ67 BT509:BT569 BJ509:BJ558 CD509:CD569 AZ509:AZ517 AZ543 AZ520 AZ524:AZ525 AZ527:AZ531 AZ536 AZ534 AZ522 BJ65:BJ95 AZ97:AZ101 BJ97:BJ101 BT97:BT101 CD97:CD101 CD173:CD222 BJ266 BJ225:BJ226 BJ232 BJ236 BJ244 BJ255:BJ258 BJ182:BJ222" xr:uid="{7E5F5C65-D69F-4899-94E0-60E1AE3885AA}">
      <formula1>350</formula1>
    </dataValidation>
    <dataValidation type="list" allowBlank="1" showInputMessage="1" showErrorMessage="1" sqref="I81:I91 I48:J74 P564:P565 P559:P560 S559:S561 S568 S564:S565 A92:A94 I95:I96 CW196 CW208:CW210" xr:uid="{0F345477-5279-49C1-A86D-A0937689C85E}">
      <formula1>#REF!</formula1>
    </dataValidation>
    <dataValidation type="list" allowBlank="1" showErrorMessage="1" sqref="CU273:CU275 CU269:CU271 WZC269:WZC275 WPG269:WPG275 WFK269:WFK275 VVO269:VVO275 VLS269:VLS275 VBW269:VBW275 USA269:USA275 UIE269:UIE275 TYI269:TYI275 TOM269:TOM275 TEQ269:TEQ275 SUU269:SUU275 SKY269:SKY275 SBC269:SBC275 RRG269:RRG275 RHK269:RHK275 QXO269:QXO275 QNS269:QNS275 QDW269:QDW275 PUA269:PUA275 PKE269:PKE275 PAI269:PAI275 OQM269:OQM275 OGQ269:OGQ275 NWU269:NWU275 NMY269:NMY275 NDC269:NDC275 MTG269:MTG275 MJK269:MJK275 LZO269:LZO275 LPS269:LPS275 LFW269:LFW275 KWA269:KWA275 KME269:KME275 KCI269:KCI275 JSM269:JSM275 JIQ269:JIQ275 IYU269:IYU275 IOY269:IOY275 IFC269:IFC275 HVG269:HVG275 HLK269:HLK275 HBO269:HBO275 GRS269:GRS275 GHW269:GHW275 FYA269:FYA275 FOE269:FOE275 FEI269:FEI275 EUM269:EUM275 EKQ269:EKQ275 EAU269:EAU275 DQY269:DQY275 DHC269:DHC275 CXG269:CXG275 CNK269:CNK275 CDO269:CDO275 BTS269:BTS275 BJW269:BJW275 BAA269:BAA275 AQE269:AQE275 AGI269:AGI275 WM269:WM275 MQ269:MQ275 Q51:Q56 Q58:Q59 CU53 CU57:CU59 CU50:CU51 Q61:Q64" xr:uid="{4922DB42-C0B1-434F-A2EE-F49F1B23416F}">
      <formula1>"Mantenimiento,Flujo,Acumulado,Capacidad,Reducción"</formula1>
    </dataValidation>
    <dataValidation type="textLength" allowBlank="1" showInputMessage="1" showErrorMessage="1" sqref="BT93" xr:uid="{31BBCE4E-AB43-4F43-94F6-FF872953C420}">
      <formula1>1</formula1>
      <formula2>350</formula2>
    </dataValidation>
    <dataValidation type="textLength" allowBlank="1" showInputMessage="1" showErrorMessage="1" sqref="BB351 BB359 BB368 BB338 BB345 AT182 AT185 AT188 AT191 AT195:AT196 AT208 AT211:AT212 AT222 AT225:AT226 AT232 AT236 AT244 AT263:AT265" xr:uid="{5456A6CD-C7C7-435D-8DF7-A072EDD4BDBA}">
      <formula1>0</formula1>
      <formula2>1000</formula2>
    </dataValidation>
    <dataValidation type="list" allowBlank="1" showErrorMessage="1" sqref="CU272" xr:uid="{C2EF1E35-374B-409D-946C-8937FAE675A0}">
      <formula1>"Mantenimiento,Flujo,Acumulado,Capacidad,Reducción,Stock"</formula1>
    </dataValidation>
    <dataValidation type="list" allowBlank="1" showInputMessage="1" showErrorMessage="1" sqref="CU506 CU374 CU377:CU379 CU381 CU383:CU384 CU386 CU392 CU394 CU396 CU400 CU402:CU403 CU405 CU407 CU409 CU417:CU418 CU426 CU428 CU435 CU439:CU442 CU446 CU450:CU461 CU463:CU471 CU475 CU477:CU478 CU480:CU481 CU483:CU486 CU488 CU490 CU492:CU504 Q559:Q569 CU508 Q544 Q532 Q519:Q522 Q537:Q541" xr:uid="{0B3B8EE9-F968-4FCF-9BA1-B5C453102FF5}">
      <formula1>"Stock,Flujo,Acumulado,Capacidad,Reducción"</formula1>
    </dataValidation>
    <dataValidation type="textLength" operator="lessThan" allowBlank="1" showInputMessage="1" showErrorMessage="1" sqref="AZ521 AZ523" xr:uid="{73FAF49B-876E-4C11-9E75-96C95664FB8A}">
      <formula1>350</formula1>
    </dataValidation>
    <dataValidation type="list" allowBlank="1" showInputMessage="1" showErrorMessage="1" sqref="CU333:CU337" xr:uid="{8EDE9857-8B82-4300-99B2-84DF0E67677F}">
      <formula1>"Flujo, Mantenimiento, Capacidad, Acumulado, Reducciòn"</formula1>
    </dataValidation>
    <dataValidation type="date" allowBlank="1" showInputMessage="1" showErrorMessage="1" sqref="CX23:CY47" xr:uid="{4D7E0A31-E178-4316-AE53-B2117C1055B1}">
      <formula1>46023</formula1>
      <formula2>46387</formula2>
    </dataValidation>
    <dataValidation type="textLength" allowBlank="1" showInputMessage="1" showErrorMessage="1" sqref="AZ191 AZ195:AZ196 AZ185 AZ188 AZ211 AZ222 AZ225:AZ226 AZ232 AZ236 AZ244 AZ255:AZ258 AZ263:AZ265" xr:uid="{095826A7-B8B9-4958-858F-DF740269033A}">
      <formula1>0</formula1>
      <formula2>300</formula2>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41FD-D02A-4513-86C0-BBA11C5CD4C6}">
  <dimension ref="A1:X110"/>
  <sheetViews>
    <sheetView showGridLines="0" topLeftCell="A76" zoomScale="88" zoomScaleNormal="40" workbookViewId="0">
      <pane xSplit="1" topLeftCell="B1" activePane="topRight" state="frozen"/>
      <selection activeCell="A75" sqref="A75"/>
      <selection pane="topRight" activeCell="G97" sqref="G97"/>
    </sheetView>
  </sheetViews>
  <sheetFormatPr baseColWidth="10" defaultColWidth="10" defaultRowHeight="15"/>
  <cols>
    <col min="1" max="1" width="6.625" style="65" bestFit="1" customWidth="1"/>
    <col min="2" max="2" width="49.375" style="51" customWidth="1"/>
    <col min="3" max="8" width="17.375" style="31" customWidth="1"/>
    <col min="9" max="9" width="18.25" style="31" bestFit="1" customWidth="1"/>
    <col min="10" max="18" width="17.375" style="31" customWidth="1"/>
    <col min="19" max="23" width="17.375" style="32" customWidth="1"/>
    <col min="24" max="24" width="7.125" style="32" customWidth="1"/>
    <col min="25" max="25" width="10" style="32"/>
    <col min="26" max="26" width="17.875" style="32" customWidth="1"/>
    <col min="27" max="27" width="8.625" style="32" customWidth="1"/>
    <col min="28" max="16384" width="10" style="32"/>
  </cols>
  <sheetData>
    <row r="1" spans="2:23" ht="15" customHeight="1">
      <c r="B1" s="1020"/>
      <c r="C1" s="1023" t="s">
        <v>94</v>
      </c>
      <c r="D1" s="1024"/>
      <c r="E1" s="1024"/>
      <c r="F1" s="1024"/>
      <c r="G1" s="1024"/>
      <c r="H1" s="1024"/>
      <c r="I1" s="1024"/>
      <c r="J1" s="1025"/>
      <c r="K1" s="1023" t="s">
        <v>96</v>
      </c>
      <c r="L1" s="1024"/>
      <c r="M1" s="1024"/>
      <c r="N1" s="1024"/>
      <c r="O1" s="1024"/>
      <c r="P1" s="1024"/>
      <c r="Q1" s="1024"/>
      <c r="R1" s="1025"/>
      <c r="S1" s="1023" t="s">
        <v>98</v>
      </c>
      <c r="T1" s="1024"/>
      <c r="U1" s="1025"/>
      <c r="V1" s="1023">
        <v>13</v>
      </c>
      <c r="W1" s="1025"/>
    </row>
    <row r="2" spans="2:23" ht="15" customHeight="1">
      <c r="B2" s="1021"/>
      <c r="C2" s="1026"/>
      <c r="D2" s="1027"/>
      <c r="E2" s="1027"/>
      <c r="F2" s="1027"/>
      <c r="G2" s="1027"/>
      <c r="H2" s="1027"/>
      <c r="I2" s="1027"/>
      <c r="J2" s="1028"/>
      <c r="K2" s="1026"/>
      <c r="L2" s="1027"/>
      <c r="M2" s="1027"/>
      <c r="N2" s="1027"/>
      <c r="O2" s="1027"/>
      <c r="P2" s="1027"/>
      <c r="Q2" s="1027"/>
      <c r="R2" s="1028"/>
      <c r="S2" s="1026"/>
      <c r="T2" s="1027"/>
      <c r="U2" s="1028"/>
      <c r="V2" s="1026"/>
      <c r="W2" s="1028"/>
    </row>
    <row r="3" spans="2:23" ht="15" customHeight="1">
      <c r="B3" s="1021"/>
      <c r="C3" s="1026"/>
      <c r="D3" s="1027"/>
      <c r="E3" s="1027"/>
      <c r="F3" s="1027"/>
      <c r="G3" s="1027"/>
      <c r="H3" s="1027"/>
      <c r="I3" s="1027"/>
      <c r="J3" s="1028"/>
      <c r="K3" s="1026"/>
      <c r="L3" s="1027"/>
      <c r="M3" s="1027"/>
      <c r="N3" s="1027"/>
      <c r="O3" s="1027"/>
      <c r="P3" s="1027"/>
      <c r="Q3" s="1027"/>
      <c r="R3" s="1028"/>
      <c r="S3" s="1029"/>
      <c r="T3" s="1030"/>
      <c r="U3" s="1031"/>
      <c r="V3" s="1029"/>
      <c r="W3" s="1031"/>
    </row>
    <row r="4" spans="2:23" ht="15" customHeight="1">
      <c r="B4" s="1021"/>
      <c r="C4" s="1029"/>
      <c r="D4" s="1030"/>
      <c r="E4" s="1030"/>
      <c r="F4" s="1030"/>
      <c r="G4" s="1030"/>
      <c r="H4" s="1030"/>
      <c r="I4" s="1030"/>
      <c r="J4" s="1031"/>
      <c r="K4" s="1029"/>
      <c r="L4" s="1030"/>
      <c r="M4" s="1030"/>
      <c r="N4" s="1030"/>
      <c r="O4" s="1030"/>
      <c r="P4" s="1030"/>
      <c r="Q4" s="1030"/>
      <c r="R4" s="1031"/>
      <c r="S4" s="1023" t="s">
        <v>99</v>
      </c>
      <c r="T4" s="1024"/>
      <c r="U4" s="1025"/>
      <c r="V4" s="1023" t="s">
        <v>115</v>
      </c>
      <c r="W4" s="1025"/>
    </row>
    <row r="5" spans="2:23" ht="15" customHeight="1">
      <c r="B5" s="1021"/>
      <c r="C5" s="1023" t="s">
        <v>95</v>
      </c>
      <c r="D5" s="1024"/>
      <c r="E5" s="1024"/>
      <c r="F5" s="1024"/>
      <c r="G5" s="1024"/>
      <c r="H5" s="1024"/>
      <c r="I5" s="1024"/>
      <c r="J5" s="1025"/>
      <c r="K5" s="1023" t="s">
        <v>97</v>
      </c>
      <c r="L5" s="1024"/>
      <c r="M5" s="1024"/>
      <c r="N5" s="1024"/>
      <c r="O5" s="1024"/>
      <c r="P5" s="1024"/>
      <c r="Q5" s="1024"/>
      <c r="R5" s="1025"/>
      <c r="S5" s="1026"/>
      <c r="T5" s="1027"/>
      <c r="U5" s="1028"/>
      <c r="V5" s="1026"/>
      <c r="W5" s="1028"/>
    </row>
    <row r="6" spans="2:23" ht="15" customHeight="1">
      <c r="B6" s="1021"/>
      <c r="C6" s="1026"/>
      <c r="D6" s="1027"/>
      <c r="E6" s="1027"/>
      <c r="F6" s="1027"/>
      <c r="G6" s="1027"/>
      <c r="H6" s="1027"/>
      <c r="I6" s="1027"/>
      <c r="J6" s="1028"/>
      <c r="K6" s="1026"/>
      <c r="L6" s="1027"/>
      <c r="M6" s="1027"/>
      <c r="N6" s="1027"/>
      <c r="O6" s="1027"/>
      <c r="P6" s="1027"/>
      <c r="Q6" s="1027"/>
      <c r="R6" s="1028"/>
      <c r="S6" s="1029"/>
      <c r="T6" s="1030"/>
      <c r="U6" s="1031"/>
      <c r="V6" s="1029"/>
      <c r="W6" s="1031"/>
    </row>
    <row r="7" spans="2:23" ht="15" customHeight="1">
      <c r="B7" s="1021"/>
      <c r="C7" s="1026"/>
      <c r="D7" s="1027"/>
      <c r="E7" s="1027"/>
      <c r="F7" s="1027"/>
      <c r="G7" s="1027"/>
      <c r="H7" s="1027"/>
      <c r="I7" s="1027"/>
      <c r="J7" s="1028"/>
      <c r="K7" s="1026"/>
      <c r="L7" s="1027"/>
      <c r="M7" s="1027"/>
      <c r="N7" s="1027"/>
      <c r="O7" s="1027"/>
      <c r="P7" s="1027"/>
      <c r="Q7" s="1027"/>
      <c r="R7" s="1028"/>
      <c r="S7" s="1023" t="s">
        <v>100</v>
      </c>
      <c r="T7" s="1024"/>
      <c r="U7" s="1025"/>
      <c r="V7" s="1032">
        <v>45982</v>
      </c>
      <c r="W7" s="1025"/>
    </row>
    <row r="8" spans="2:23" ht="15" customHeight="1">
      <c r="B8" s="1022"/>
      <c r="C8" s="1029"/>
      <c r="D8" s="1030"/>
      <c r="E8" s="1030"/>
      <c r="F8" s="1030"/>
      <c r="G8" s="1030"/>
      <c r="H8" s="1030"/>
      <c r="I8" s="1030"/>
      <c r="J8" s="1031"/>
      <c r="K8" s="1029"/>
      <c r="L8" s="1030"/>
      <c r="M8" s="1030"/>
      <c r="N8" s="1030"/>
      <c r="O8" s="1030"/>
      <c r="P8" s="1030"/>
      <c r="Q8" s="1030"/>
      <c r="R8" s="1031"/>
      <c r="S8" s="1029"/>
      <c r="T8" s="1030"/>
      <c r="U8" s="1031"/>
      <c r="V8" s="1029"/>
      <c r="W8" s="1031"/>
    </row>
    <row r="10" spans="2:23" ht="48" customHeight="1">
      <c r="B10" s="1012" t="s">
        <v>4643</v>
      </c>
      <c r="C10" s="1013"/>
      <c r="D10" s="1013"/>
      <c r="E10" s="1013"/>
      <c r="F10" s="1013"/>
      <c r="G10" s="1013"/>
      <c r="H10" s="1013"/>
      <c r="I10" s="1013"/>
      <c r="J10" s="1013"/>
      <c r="K10" s="1013"/>
      <c r="L10" s="1013"/>
      <c r="M10" s="1013"/>
      <c r="N10" s="1013"/>
      <c r="O10" s="1013"/>
      <c r="P10" s="1013"/>
      <c r="Q10" s="1013"/>
      <c r="R10" s="1013"/>
      <c r="S10" s="1013"/>
      <c r="T10" s="1013"/>
      <c r="U10" s="1013"/>
      <c r="V10" s="33"/>
      <c r="W10" s="33"/>
    </row>
    <row r="12" spans="2:23">
      <c r="B12" s="1014" t="s">
        <v>122</v>
      </c>
      <c r="C12" s="1015"/>
      <c r="D12" s="1015"/>
      <c r="E12" s="1015"/>
      <c r="F12" s="1015"/>
      <c r="G12" s="1015"/>
      <c r="H12" s="1015"/>
      <c r="I12" s="1015"/>
      <c r="J12" s="1015"/>
      <c r="K12" s="1015"/>
      <c r="L12" s="1015"/>
      <c r="M12" s="1015"/>
      <c r="N12" s="1015"/>
      <c r="O12" s="1015"/>
      <c r="P12" s="1015"/>
      <c r="Q12" s="1015"/>
      <c r="R12" s="1015"/>
      <c r="S12" s="1015"/>
      <c r="T12" s="1015"/>
    </row>
    <row r="13" spans="2:23" ht="17.100000000000001" customHeight="1">
      <c r="B13" s="1014" t="s">
        <v>123</v>
      </c>
      <c r="C13" s="1015"/>
      <c r="D13" s="1015"/>
      <c r="E13" s="1015"/>
      <c r="F13" s="1015"/>
      <c r="G13" s="1015"/>
      <c r="H13" s="1015"/>
      <c r="I13" s="1015"/>
      <c r="J13" s="1015"/>
      <c r="K13" s="1015"/>
      <c r="L13" s="1015"/>
      <c r="M13" s="1015"/>
      <c r="N13" s="1015"/>
      <c r="O13" s="1015"/>
      <c r="P13" s="1015"/>
      <c r="Q13" s="1015"/>
      <c r="R13" s="1015"/>
      <c r="S13" s="1015"/>
      <c r="T13" s="1015"/>
    </row>
    <row r="14" spans="2:23" ht="20.25" customHeight="1">
      <c r="B14" s="1014" t="s">
        <v>4645</v>
      </c>
      <c r="C14" s="1015"/>
      <c r="D14" s="1015"/>
      <c r="E14" s="1015"/>
      <c r="F14" s="1015"/>
      <c r="G14" s="1015"/>
      <c r="H14" s="1015"/>
      <c r="I14" s="1015"/>
      <c r="J14" s="1015"/>
      <c r="K14" s="1015"/>
      <c r="L14" s="1015"/>
      <c r="M14" s="1015"/>
      <c r="N14" s="1015"/>
      <c r="O14" s="1015"/>
      <c r="P14" s="1015"/>
      <c r="Q14" s="1015"/>
      <c r="R14" s="1015"/>
      <c r="S14" s="1015"/>
      <c r="T14" s="1015"/>
    </row>
    <row r="15" spans="2:23" ht="14.45" customHeight="1" thickBot="1">
      <c r="B15" s="34"/>
    </row>
    <row r="16" spans="2:23" ht="34.5" customHeight="1" thickBot="1">
      <c r="B16" s="1017" t="s">
        <v>63</v>
      </c>
      <c r="C16" s="1018"/>
      <c r="D16" s="1018"/>
      <c r="E16" s="1018"/>
      <c r="F16" s="1018"/>
      <c r="G16" s="1018"/>
      <c r="H16" s="1018"/>
      <c r="I16" s="1018"/>
      <c r="J16" s="1018"/>
      <c r="K16" s="1018"/>
      <c r="L16" s="1018"/>
      <c r="M16" s="1018"/>
      <c r="N16" s="1018"/>
      <c r="O16" s="1018"/>
      <c r="P16" s="1018"/>
      <c r="Q16" s="1018"/>
      <c r="R16" s="1019"/>
      <c r="T16" s="1016"/>
      <c r="U16" s="1016"/>
      <c r="V16" s="35"/>
      <c r="W16" s="36"/>
    </row>
    <row r="17" spans="1:24" ht="69" customHeight="1">
      <c r="B17" s="1006"/>
      <c r="C17" s="1007"/>
      <c r="D17" s="1007"/>
      <c r="E17" s="1007"/>
      <c r="F17" s="1007"/>
      <c r="G17" s="1007"/>
      <c r="H17" s="1007"/>
      <c r="I17" s="1007"/>
      <c r="J17" s="1007"/>
      <c r="K17" s="1007"/>
      <c r="L17" s="1007"/>
      <c r="M17" s="1007"/>
      <c r="N17" s="1007"/>
      <c r="O17" s="1007"/>
      <c r="P17" s="1007"/>
      <c r="Q17" s="1007"/>
      <c r="R17" s="1008"/>
      <c r="T17" s="37"/>
      <c r="U17" s="38"/>
      <c r="V17" s="37"/>
      <c r="W17" s="36"/>
    </row>
    <row r="18" spans="1:24" ht="49.5" customHeight="1">
      <c r="B18" s="1006"/>
      <c r="C18" s="1007"/>
      <c r="D18" s="1007"/>
      <c r="E18" s="1007"/>
      <c r="F18" s="1007"/>
      <c r="G18" s="1007"/>
      <c r="H18" s="1007"/>
      <c r="I18" s="1007"/>
      <c r="J18" s="1007"/>
      <c r="K18" s="1007"/>
      <c r="L18" s="1007"/>
      <c r="M18" s="1007"/>
      <c r="N18" s="1007"/>
      <c r="O18" s="1007"/>
      <c r="P18" s="1007"/>
      <c r="Q18" s="1007"/>
      <c r="R18" s="1008"/>
      <c r="T18" s="37"/>
      <c r="U18" s="38"/>
      <c r="V18" s="37"/>
      <c r="W18" s="36"/>
    </row>
    <row r="19" spans="1:24" ht="60" customHeight="1">
      <c r="B19" s="1006"/>
      <c r="C19" s="1007"/>
      <c r="D19" s="1007"/>
      <c r="E19" s="1007"/>
      <c r="F19" s="1007"/>
      <c r="G19" s="1007"/>
      <c r="H19" s="1007"/>
      <c r="I19" s="1007"/>
      <c r="J19" s="1007"/>
      <c r="K19" s="1007"/>
      <c r="L19" s="1007"/>
      <c r="M19" s="1007"/>
      <c r="N19" s="1007"/>
      <c r="O19" s="1007"/>
      <c r="P19" s="1007"/>
      <c r="Q19" s="1007"/>
      <c r="R19" s="1008"/>
      <c r="T19" s="37"/>
      <c r="U19" s="38"/>
      <c r="V19" s="37"/>
      <c r="W19" s="36"/>
    </row>
    <row r="20" spans="1:24" ht="89.25" customHeight="1">
      <c r="B20" s="1006"/>
      <c r="C20" s="1007"/>
      <c r="D20" s="1007"/>
      <c r="E20" s="1007"/>
      <c r="F20" s="1007"/>
      <c r="G20" s="1007"/>
      <c r="H20" s="1007"/>
      <c r="I20" s="1007"/>
      <c r="J20" s="1007"/>
      <c r="K20" s="1007"/>
      <c r="L20" s="1007"/>
      <c r="M20" s="1007"/>
      <c r="N20" s="1007"/>
      <c r="O20" s="1007"/>
      <c r="P20" s="1007"/>
      <c r="Q20" s="1007"/>
      <c r="R20" s="1008"/>
      <c r="T20" s="37"/>
      <c r="U20" s="38"/>
      <c r="V20" s="37"/>
      <c r="W20" s="36"/>
    </row>
    <row r="21" spans="1:24" ht="44.25" customHeight="1" thickBot="1">
      <c r="B21" s="1009"/>
      <c r="C21" s="1010"/>
      <c r="D21" s="1010"/>
      <c r="E21" s="1010"/>
      <c r="F21" s="1010"/>
      <c r="G21" s="1010"/>
      <c r="H21" s="1010"/>
      <c r="I21" s="1010"/>
      <c r="J21" s="1010"/>
      <c r="K21" s="1010"/>
      <c r="L21" s="1010"/>
      <c r="M21" s="1010"/>
      <c r="N21" s="1010"/>
      <c r="O21" s="1010"/>
      <c r="P21" s="1010"/>
      <c r="Q21" s="1010"/>
      <c r="R21" s="1011"/>
      <c r="T21" s="37"/>
      <c r="U21" s="38"/>
      <c r="V21" s="37"/>
      <c r="W21" s="38"/>
    </row>
    <row r="22" spans="1:24" ht="12" customHeight="1" thickBot="1">
      <c r="B22" s="34"/>
    </row>
    <row r="23" spans="1:24" ht="30" customHeight="1" thickBot="1">
      <c r="B23" s="35"/>
      <c r="C23" s="1005" t="s">
        <v>104</v>
      </c>
      <c r="D23" s="1005"/>
      <c r="E23" s="1005"/>
      <c r="F23" s="1005"/>
      <c r="G23" s="1005" t="s">
        <v>105</v>
      </c>
      <c r="H23" s="1005"/>
      <c r="I23" s="1005"/>
      <c r="J23" s="1005"/>
      <c r="K23" s="1005" t="s">
        <v>106</v>
      </c>
      <c r="L23" s="1005"/>
      <c r="M23" s="1005"/>
      <c r="N23" s="1005"/>
      <c r="O23" s="1005" t="s">
        <v>107</v>
      </c>
      <c r="P23" s="1005"/>
      <c r="Q23" s="1005"/>
      <c r="R23" s="1005"/>
      <c r="S23" s="1005" t="s">
        <v>108</v>
      </c>
      <c r="T23" s="1005"/>
      <c r="U23" s="1005"/>
      <c r="V23" s="1005"/>
      <c r="W23" s="30" t="s">
        <v>64</v>
      </c>
    </row>
    <row r="24" spans="1:24" ht="73.5" customHeight="1">
      <c r="B24" s="39" t="s">
        <v>109</v>
      </c>
      <c r="C24" s="9" t="s">
        <v>66</v>
      </c>
      <c r="D24" s="10" t="s">
        <v>110</v>
      </c>
      <c r="E24" s="16" t="s">
        <v>111</v>
      </c>
      <c r="F24" s="12" t="s">
        <v>112</v>
      </c>
      <c r="G24" s="9" t="s">
        <v>66</v>
      </c>
      <c r="H24" s="10" t="s">
        <v>110</v>
      </c>
      <c r="I24" s="16" t="s">
        <v>111</v>
      </c>
      <c r="J24" s="12" t="s">
        <v>112</v>
      </c>
      <c r="K24" s="9" t="s">
        <v>66</v>
      </c>
      <c r="L24" s="10" t="s">
        <v>110</v>
      </c>
      <c r="M24" s="16" t="s">
        <v>111</v>
      </c>
      <c r="N24" s="12" t="s">
        <v>112</v>
      </c>
      <c r="O24" s="9" t="s">
        <v>66</v>
      </c>
      <c r="P24" s="10" t="s">
        <v>110</v>
      </c>
      <c r="Q24" s="16" t="s">
        <v>111</v>
      </c>
      <c r="R24" s="12" t="s">
        <v>112</v>
      </c>
      <c r="S24" s="9" t="s">
        <v>66</v>
      </c>
      <c r="T24" s="10" t="s">
        <v>110</v>
      </c>
      <c r="U24" s="16" t="s">
        <v>111</v>
      </c>
      <c r="V24" s="13" t="s">
        <v>112</v>
      </c>
      <c r="W24" s="14" t="s">
        <v>66</v>
      </c>
    </row>
    <row r="25" spans="1:24" s="40" customFormat="1" ht="63.95" customHeight="1">
      <c r="A25" s="65">
        <v>1</v>
      </c>
      <c r="B25" s="70" t="s">
        <v>4641</v>
      </c>
      <c r="C25" s="3"/>
      <c r="D25" s="3"/>
      <c r="E25" s="24"/>
      <c r="F25" s="3"/>
      <c r="G25" s="18"/>
      <c r="H25" s="17"/>
      <c r="I25" s="17"/>
      <c r="J25" s="19"/>
      <c r="K25" s="18"/>
      <c r="L25" s="17"/>
      <c r="M25" s="17"/>
      <c r="N25" s="19"/>
      <c r="O25" s="18"/>
      <c r="P25" s="17"/>
      <c r="Q25" s="17"/>
      <c r="R25" s="19"/>
      <c r="S25" s="3"/>
      <c r="T25" s="3"/>
      <c r="U25" s="3"/>
      <c r="V25" s="4"/>
      <c r="W25" s="20">
        <v>0.81111222222222212</v>
      </c>
    </row>
    <row r="26" spans="1:24" s="45" customFormat="1" ht="64.5" customHeight="1">
      <c r="A26" s="66">
        <v>2</v>
      </c>
      <c r="B26" s="41" t="s">
        <v>729</v>
      </c>
      <c r="C26" s="3"/>
      <c r="D26" s="3"/>
      <c r="E26" s="3"/>
      <c r="F26" s="3"/>
      <c r="G26" s="42"/>
      <c r="H26" s="43"/>
      <c r="I26" s="43"/>
      <c r="J26" s="44"/>
      <c r="K26" s="42"/>
      <c r="L26" s="43"/>
      <c r="M26" s="43"/>
      <c r="N26" s="44"/>
      <c r="O26" s="42"/>
      <c r="P26" s="43"/>
      <c r="Q26" s="43"/>
      <c r="R26" s="44"/>
      <c r="S26" s="3"/>
      <c r="T26" s="3"/>
      <c r="U26" s="3"/>
      <c r="V26" s="3"/>
      <c r="W26" s="20">
        <v>0.8424392905242909</v>
      </c>
    </row>
    <row r="27" spans="1:24" s="45" customFormat="1" ht="69.75" customHeight="1">
      <c r="A27" s="66">
        <v>3</v>
      </c>
      <c r="B27" s="41" t="s">
        <v>2427</v>
      </c>
      <c r="C27" s="3"/>
      <c r="D27" s="3"/>
      <c r="E27" s="3"/>
      <c r="F27" s="3"/>
      <c r="G27" s="42"/>
      <c r="H27" s="43"/>
      <c r="I27" s="43"/>
      <c r="J27" s="44"/>
      <c r="K27" s="42"/>
      <c r="L27" s="43"/>
      <c r="M27" s="43"/>
      <c r="N27" s="44"/>
      <c r="O27" s="42"/>
      <c r="P27" s="43"/>
      <c r="Q27" s="43"/>
      <c r="R27" s="44"/>
      <c r="S27" s="3"/>
      <c r="T27" s="3"/>
      <c r="U27" s="3"/>
      <c r="V27" s="3"/>
      <c r="W27" s="20">
        <v>0.68686247813292234</v>
      </c>
      <c r="X27" s="11"/>
    </row>
    <row r="28" spans="1:24" s="45" customFormat="1" ht="90" customHeight="1">
      <c r="A28" s="66">
        <v>4</v>
      </c>
      <c r="B28" s="41" t="s">
        <v>919</v>
      </c>
      <c r="C28" s="3"/>
      <c r="D28" s="3"/>
      <c r="E28" s="3"/>
      <c r="F28" s="3"/>
      <c r="G28" s="42"/>
      <c r="H28" s="43"/>
      <c r="I28" s="43"/>
      <c r="J28" s="44"/>
      <c r="K28" s="42"/>
      <c r="L28" s="43"/>
      <c r="M28" s="43"/>
      <c r="N28" s="44"/>
      <c r="O28" s="42"/>
      <c r="P28" s="43"/>
      <c r="Q28" s="43"/>
      <c r="R28" s="44"/>
      <c r="S28" s="3"/>
      <c r="T28" s="3"/>
      <c r="U28" s="3"/>
      <c r="V28" s="3"/>
      <c r="W28" s="20">
        <v>0.75745313809343751</v>
      </c>
      <c r="X28" s="11"/>
    </row>
    <row r="29" spans="1:24" s="45" customFormat="1" ht="90" customHeight="1">
      <c r="A29" s="66">
        <v>5</v>
      </c>
      <c r="B29" s="41" t="s">
        <v>4372</v>
      </c>
      <c r="C29" s="3"/>
      <c r="D29" s="3"/>
      <c r="E29" s="3"/>
      <c r="F29" s="3"/>
      <c r="G29" s="42"/>
      <c r="H29" s="43"/>
      <c r="I29" s="43"/>
      <c r="J29" s="44"/>
      <c r="K29" s="42"/>
      <c r="L29" s="43"/>
      <c r="M29" s="43"/>
      <c r="N29" s="44"/>
      <c r="O29" s="42"/>
      <c r="P29" s="43"/>
      <c r="Q29" s="43"/>
      <c r="R29" s="44"/>
      <c r="S29" s="3"/>
      <c r="T29" s="3"/>
      <c r="U29" s="3"/>
      <c r="V29" s="3"/>
      <c r="W29" s="20">
        <v>0.87254354726856687</v>
      </c>
      <c r="X29" s="11"/>
    </row>
    <row r="30" spans="1:24" s="45" customFormat="1" ht="107.25" customHeight="1">
      <c r="A30" s="66">
        <v>6</v>
      </c>
      <c r="B30" s="41" t="s">
        <v>1723</v>
      </c>
      <c r="C30" s="3"/>
      <c r="D30" s="3"/>
      <c r="E30" s="3"/>
      <c r="F30" s="3"/>
      <c r="G30" s="42"/>
      <c r="H30" s="43"/>
      <c r="I30" s="43"/>
      <c r="J30" s="44"/>
      <c r="K30" s="42"/>
      <c r="L30" s="43"/>
      <c r="M30" s="43"/>
      <c r="N30" s="44"/>
      <c r="O30" s="42"/>
      <c r="P30" s="43"/>
      <c r="Q30" s="43"/>
      <c r="R30" s="44"/>
      <c r="S30" s="3"/>
      <c r="T30" s="3"/>
      <c r="U30" s="3"/>
      <c r="V30" s="3"/>
      <c r="W30" s="20">
        <v>0.80868100806995813</v>
      </c>
      <c r="X30" s="11"/>
    </row>
    <row r="31" spans="1:24" s="45" customFormat="1" ht="80.099999999999994" customHeight="1">
      <c r="A31" s="66">
        <v>7</v>
      </c>
      <c r="B31" s="41" t="s">
        <v>4642</v>
      </c>
      <c r="C31" s="3"/>
      <c r="D31" s="3"/>
      <c r="E31" s="3"/>
      <c r="F31" s="3"/>
      <c r="G31" s="42"/>
      <c r="H31" s="43"/>
      <c r="I31" s="43"/>
      <c r="J31" s="44"/>
      <c r="K31" s="42"/>
      <c r="L31" s="43"/>
      <c r="M31" s="43"/>
      <c r="N31" s="44"/>
      <c r="O31" s="42"/>
      <c r="P31" s="43"/>
      <c r="Q31" s="43"/>
      <c r="R31" s="44"/>
      <c r="S31" s="3"/>
      <c r="T31" s="3"/>
      <c r="U31" s="3"/>
      <c r="V31" s="3"/>
      <c r="W31" s="20">
        <v>0.96939304762859424</v>
      </c>
      <c r="X31" s="11"/>
    </row>
    <row r="32" spans="1:24" ht="16.5" thickBot="1">
      <c r="B32" s="46" t="s">
        <v>62</v>
      </c>
      <c r="C32" s="47" t="str">
        <f>IFERROR(AVERAGE(C25:C31),"No aplica")</f>
        <v>No aplica</v>
      </c>
      <c r="D32" s="48" t="str">
        <f t="shared" ref="D32:V32" si="0">IFERROR(AVERAGE(D25:D31),"No aplica")</f>
        <v>No aplica</v>
      </c>
      <c r="E32" s="48" t="str">
        <f t="shared" si="0"/>
        <v>No aplica</v>
      </c>
      <c r="F32" s="48" t="str">
        <f t="shared" si="0"/>
        <v>No aplica</v>
      </c>
      <c r="G32" s="48" t="str">
        <f t="shared" si="0"/>
        <v>No aplica</v>
      </c>
      <c r="H32" s="48" t="str">
        <f t="shared" si="0"/>
        <v>No aplica</v>
      </c>
      <c r="I32" s="48" t="str">
        <f t="shared" si="0"/>
        <v>No aplica</v>
      </c>
      <c r="J32" s="48" t="str">
        <f t="shared" si="0"/>
        <v>No aplica</v>
      </c>
      <c r="K32" s="48" t="str">
        <f t="shared" si="0"/>
        <v>No aplica</v>
      </c>
      <c r="L32" s="48" t="str">
        <f t="shared" si="0"/>
        <v>No aplica</v>
      </c>
      <c r="M32" s="48" t="str">
        <f t="shared" si="0"/>
        <v>No aplica</v>
      </c>
      <c r="N32" s="48" t="str">
        <f t="shared" si="0"/>
        <v>No aplica</v>
      </c>
      <c r="O32" s="48" t="str">
        <f t="shared" si="0"/>
        <v>No aplica</v>
      </c>
      <c r="P32" s="48" t="str">
        <f t="shared" si="0"/>
        <v>No aplica</v>
      </c>
      <c r="Q32" s="48" t="str">
        <f t="shared" si="0"/>
        <v>No aplica</v>
      </c>
      <c r="R32" s="48" t="str">
        <f t="shared" si="0"/>
        <v>No aplica</v>
      </c>
      <c r="S32" s="48" t="str">
        <f t="shared" si="0"/>
        <v>No aplica</v>
      </c>
      <c r="T32" s="48" t="str">
        <f t="shared" si="0"/>
        <v>No aplica</v>
      </c>
      <c r="U32" s="48" t="str">
        <f t="shared" si="0"/>
        <v>No aplica</v>
      </c>
      <c r="V32" s="49" t="str">
        <f t="shared" si="0"/>
        <v>No aplica</v>
      </c>
      <c r="W32" s="50">
        <v>0.82121210456285609</v>
      </c>
    </row>
    <row r="33" spans="1:24">
      <c r="A33" s="67"/>
      <c r="B33" s="35"/>
      <c r="C33" s="32"/>
      <c r="D33" s="32"/>
      <c r="E33" s="32"/>
      <c r="F33" s="32"/>
      <c r="G33" s="32"/>
      <c r="H33" s="32"/>
      <c r="I33" s="32"/>
      <c r="J33" s="32"/>
      <c r="K33" s="32"/>
      <c r="L33" s="32"/>
      <c r="M33" s="32"/>
      <c r="N33" s="32"/>
      <c r="O33" s="32"/>
      <c r="P33" s="32"/>
      <c r="Q33" s="32"/>
      <c r="R33" s="32"/>
    </row>
    <row r="34" spans="1:24" ht="15.75" thickBot="1">
      <c r="B34" s="35"/>
    </row>
    <row r="35" spans="1:24" ht="39.950000000000003" customHeight="1" thickBot="1">
      <c r="C35" s="1005" t="s">
        <v>104</v>
      </c>
      <c r="D35" s="1005"/>
      <c r="E35" s="1005"/>
      <c r="F35" s="1005"/>
      <c r="G35" s="1005" t="s">
        <v>105</v>
      </c>
      <c r="H35" s="1005"/>
      <c r="I35" s="1005"/>
      <c r="J35" s="1005"/>
      <c r="K35" s="1005" t="s">
        <v>106</v>
      </c>
      <c r="L35" s="1005"/>
      <c r="M35" s="1005"/>
      <c r="N35" s="1005"/>
      <c r="O35" s="1005" t="s">
        <v>107</v>
      </c>
      <c r="P35" s="1005"/>
      <c r="Q35" s="1005"/>
      <c r="R35" s="1005"/>
      <c r="S35" s="1005" t="s">
        <v>108</v>
      </c>
      <c r="T35" s="1005"/>
      <c r="U35" s="1005"/>
      <c r="V35" s="1005"/>
      <c r="W35" s="30" t="s">
        <v>64</v>
      </c>
    </row>
    <row r="36" spans="1:24" ht="75" customHeight="1">
      <c r="B36" s="39" t="s">
        <v>65</v>
      </c>
      <c r="C36" s="9" t="s">
        <v>66</v>
      </c>
      <c r="D36" s="10" t="s">
        <v>110</v>
      </c>
      <c r="E36" s="16" t="s">
        <v>111</v>
      </c>
      <c r="F36" s="12" t="s">
        <v>112</v>
      </c>
      <c r="G36" s="9" t="s">
        <v>66</v>
      </c>
      <c r="H36" s="10" t="s">
        <v>110</v>
      </c>
      <c r="I36" s="16" t="s">
        <v>111</v>
      </c>
      <c r="J36" s="12" t="s">
        <v>112</v>
      </c>
      <c r="K36" s="9" t="s">
        <v>66</v>
      </c>
      <c r="L36" s="10" t="s">
        <v>110</v>
      </c>
      <c r="M36" s="16" t="s">
        <v>111</v>
      </c>
      <c r="N36" s="12" t="s">
        <v>112</v>
      </c>
      <c r="O36" s="9" t="s">
        <v>66</v>
      </c>
      <c r="P36" s="10" t="s">
        <v>110</v>
      </c>
      <c r="Q36" s="16" t="s">
        <v>111</v>
      </c>
      <c r="R36" s="12" t="s">
        <v>112</v>
      </c>
      <c r="S36" s="9" t="s">
        <v>66</v>
      </c>
      <c r="T36" s="10" t="s">
        <v>110</v>
      </c>
      <c r="U36" s="16" t="s">
        <v>111</v>
      </c>
      <c r="V36" s="12" t="s">
        <v>112</v>
      </c>
      <c r="W36" s="15" t="s">
        <v>66</v>
      </c>
    </row>
    <row r="37" spans="1:24" s="40" customFormat="1" ht="33" customHeight="1">
      <c r="A37" s="71" t="s">
        <v>125</v>
      </c>
      <c r="B37" s="52" t="s">
        <v>149</v>
      </c>
      <c r="C37" s="21"/>
      <c r="D37" s="21"/>
      <c r="E37" s="21"/>
      <c r="F37" s="21"/>
      <c r="G37" s="18"/>
      <c r="H37" s="17"/>
      <c r="I37" s="17"/>
      <c r="J37" s="19"/>
      <c r="K37" s="18"/>
      <c r="L37" s="17"/>
      <c r="M37" s="17"/>
      <c r="N37" s="19"/>
      <c r="O37" s="18"/>
      <c r="P37" s="17"/>
      <c r="Q37" s="17"/>
      <c r="R37" s="19"/>
      <c r="S37" s="3"/>
      <c r="T37" s="3"/>
      <c r="U37" s="3"/>
      <c r="V37" s="22"/>
      <c r="W37" s="20">
        <v>0.83333333333333337</v>
      </c>
    </row>
    <row r="38" spans="1:24" s="45" customFormat="1" ht="27" customHeight="1">
      <c r="A38" s="72" t="s">
        <v>126</v>
      </c>
      <c r="B38" s="52" t="s">
        <v>241</v>
      </c>
      <c r="C38" s="21"/>
      <c r="D38" s="21"/>
      <c r="E38" s="21"/>
      <c r="F38" s="21"/>
      <c r="G38" s="42"/>
      <c r="H38" s="43"/>
      <c r="I38" s="43"/>
      <c r="J38" s="44"/>
      <c r="K38" s="42"/>
      <c r="L38" s="43"/>
      <c r="M38" s="43"/>
      <c r="N38" s="44"/>
      <c r="O38" s="42"/>
      <c r="P38" s="43"/>
      <c r="Q38" s="43"/>
      <c r="R38" s="44"/>
      <c r="S38" s="3"/>
      <c r="T38" s="3"/>
      <c r="U38" s="3"/>
      <c r="V38" s="22"/>
      <c r="W38" s="20">
        <v>0.97573260073260082</v>
      </c>
    </row>
    <row r="39" spans="1:24" s="45" customFormat="1" ht="27" customHeight="1">
      <c r="A39" s="72" t="s">
        <v>131</v>
      </c>
      <c r="B39" s="52" t="s">
        <v>449</v>
      </c>
      <c r="C39" s="21"/>
      <c r="D39" s="21"/>
      <c r="E39" s="21"/>
      <c r="F39" s="21"/>
      <c r="G39" s="42"/>
      <c r="H39" s="43"/>
      <c r="I39" s="43"/>
      <c r="J39" s="44"/>
      <c r="K39" s="42"/>
      <c r="L39" s="43"/>
      <c r="M39" s="43"/>
      <c r="N39" s="44"/>
      <c r="O39" s="42"/>
      <c r="P39" s="43"/>
      <c r="Q39" s="43"/>
      <c r="R39" s="44"/>
      <c r="S39" s="3"/>
      <c r="T39" s="3"/>
      <c r="U39" s="3"/>
      <c r="V39" s="22"/>
      <c r="W39" s="20">
        <v>0.8</v>
      </c>
      <c r="X39" s="11"/>
    </row>
    <row r="40" spans="1:24" s="45" customFormat="1" ht="27" customHeight="1">
      <c r="A40" s="72" t="s">
        <v>132</v>
      </c>
      <c r="B40" s="52" t="s">
        <v>605</v>
      </c>
      <c r="C40" s="21"/>
      <c r="D40" s="21"/>
      <c r="E40" s="21"/>
      <c r="F40" s="21"/>
      <c r="G40" s="42"/>
      <c r="H40" s="43"/>
      <c r="I40" s="43"/>
      <c r="J40" s="44"/>
      <c r="K40" s="42"/>
      <c r="L40" s="43"/>
      <c r="M40" s="43"/>
      <c r="N40" s="44"/>
      <c r="O40" s="42"/>
      <c r="P40" s="43"/>
      <c r="Q40" s="43"/>
      <c r="R40" s="44"/>
      <c r="S40" s="3"/>
      <c r="T40" s="3"/>
      <c r="U40" s="3"/>
      <c r="V40" s="22"/>
      <c r="W40" s="20">
        <v>0.85</v>
      </c>
      <c r="X40" s="11"/>
    </row>
    <row r="41" spans="1:24" s="45" customFormat="1" ht="27" customHeight="1">
      <c r="A41" s="72" t="s">
        <v>145</v>
      </c>
      <c r="B41" s="52" t="s">
        <v>722</v>
      </c>
      <c r="C41" s="21"/>
      <c r="D41" s="21"/>
      <c r="E41" s="21"/>
      <c r="F41" s="21"/>
      <c r="G41" s="42"/>
      <c r="H41" s="43"/>
      <c r="I41" s="43"/>
      <c r="J41" s="44"/>
      <c r="K41" s="42"/>
      <c r="L41" s="43"/>
      <c r="M41" s="43"/>
      <c r="N41" s="44"/>
      <c r="O41" s="42"/>
      <c r="P41" s="43"/>
      <c r="Q41" s="43"/>
      <c r="R41" s="44"/>
      <c r="S41" s="3"/>
      <c r="T41" s="3"/>
      <c r="U41" s="3"/>
      <c r="V41" s="22"/>
      <c r="W41" s="20">
        <v>0.69331502729560979</v>
      </c>
      <c r="X41" s="11"/>
    </row>
    <row r="42" spans="1:24" s="45" customFormat="1" ht="27" customHeight="1">
      <c r="A42" s="72" t="s">
        <v>146</v>
      </c>
      <c r="B42" s="52" t="s">
        <v>865</v>
      </c>
      <c r="C42" s="21"/>
      <c r="D42" s="21"/>
      <c r="E42" s="21"/>
      <c r="F42" s="21"/>
      <c r="G42" s="42"/>
      <c r="H42" s="43"/>
      <c r="I42" s="43"/>
      <c r="J42" s="44"/>
      <c r="K42" s="42"/>
      <c r="L42" s="43"/>
      <c r="M42" s="43"/>
      <c r="N42" s="44"/>
      <c r="O42" s="42"/>
      <c r="P42" s="43"/>
      <c r="Q42" s="43"/>
      <c r="R42" s="44"/>
      <c r="S42" s="3"/>
      <c r="T42" s="3"/>
      <c r="U42" s="3"/>
      <c r="V42" s="22"/>
      <c r="W42" s="20">
        <v>0.625</v>
      </c>
      <c r="X42" s="11"/>
    </row>
    <row r="43" spans="1:24" s="45" customFormat="1" ht="27" customHeight="1">
      <c r="A43" s="72" t="s">
        <v>147</v>
      </c>
      <c r="B43" s="52" t="s">
        <v>911</v>
      </c>
      <c r="C43" s="21"/>
      <c r="D43" s="21"/>
      <c r="E43" s="21"/>
      <c r="F43" s="21"/>
      <c r="G43" s="42"/>
      <c r="H43" s="43"/>
      <c r="I43" s="43"/>
      <c r="J43" s="44"/>
      <c r="K43" s="42"/>
      <c r="L43" s="43"/>
      <c r="M43" s="43"/>
      <c r="N43" s="44"/>
      <c r="O43" s="42"/>
      <c r="P43" s="43"/>
      <c r="Q43" s="43"/>
      <c r="R43" s="44"/>
      <c r="S43" s="3"/>
      <c r="T43" s="3"/>
      <c r="U43" s="3"/>
      <c r="V43" s="22"/>
      <c r="W43" s="20">
        <v>0.71698446540880501</v>
      </c>
      <c r="X43" s="11"/>
    </row>
    <row r="44" spans="1:24" s="45" customFormat="1" ht="27" customHeight="1">
      <c r="A44" s="72" t="s">
        <v>133</v>
      </c>
      <c r="B44" s="52" t="s">
        <v>995</v>
      </c>
      <c r="C44" s="21"/>
      <c r="D44" s="21"/>
      <c r="E44" s="21"/>
      <c r="F44" s="21"/>
      <c r="G44" s="42"/>
      <c r="H44" s="43"/>
      <c r="I44" s="43"/>
      <c r="J44" s="44"/>
      <c r="K44" s="42"/>
      <c r="L44" s="43"/>
      <c r="M44" s="43"/>
      <c r="N44" s="44"/>
      <c r="O44" s="42"/>
      <c r="P44" s="43"/>
      <c r="Q44" s="43"/>
      <c r="R44" s="44"/>
      <c r="S44" s="3"/>
      <c r="T44" s="3"/>
      <c r="U44" s="3"/>
      <c r="V44" s="22"/>
      <c r="W44" s="20">
        <v>0.83218750000000008</v>
      </c>
      <c r="X44" s="11"/>
    </row>
    <row r="45" spans="1:24" s="45" customFormat="1" ht="27" customHeight="1">
      <c r="A45" s="72" t="s">
        <v>148</v>
      </c>
      <c r="B45" s="52" t="s">
        <v>1044</v>
      </c>
      <c r="C45" s="21"/>
      <c r="D45" s="21"/>
      <c r="E45" s="21"/>
      <c r="F45" s="21"/>
      <c r="G45" s="42"/>
      <c r="H45" s="43"/>
      <c r="I45" s="43"/>
      <c r="J45" s="44"/>
      <c r="K45" s="42"/>
      <c r="L45" s="43"/>
      <c r="M45" s="43"/>
      <c r="N45" s="44"/>
      <c r="O45" s="42"/>
      <c r="P45" s="43"/>
      <c r="Q45" s="43"/>
      <c r="R45" s="44"/>
      <c r="S45" s="3"/>
      <c r="T45" s="3"/>
      <c r="U45" s="3"/>
      <c r="V45" s="22"/>
      <c r="W45" s="20">
        <v>0.83333333333333337</v>
      </c>
      <c r="X45" s="11"/>
    </row>
    <row r="46" spans="1:24" ht="19.5" thickBot="1">
      <c r="A46" s="73"/>
      <c r="B46" s="53" t="s">
        <v>62</v>
      </c>
      <c r="C46" s="47" t="str">
        <f>IFERROR(AVERAGE(C37:C45),"No aplica")</f>
        <v>No aplica</v>
      </c>
      <c r="D46" s="47" t="str">
        <f t="shared" ref="D46:V46" si="1">IFERROR(AVERAGE(D37:D45),"No aplica")</f>
        <v>No aplica</v>
      </c>
      <c r="E46" s="47" t="str">
        <f t="shared" si="1"/>
        <v>No aplica</v>
      </c>
      <c r="F46" s="47" t="str">
        <f t="shared" si="1"/>
        <v>No aplica</v>
      </c>
      <c r="G46" s="47" t="str">
        <f t="shared" si="1"/>
        <v>No aplica</v>
      </c>
      <c r="H46" s="47" t="str">
        <f t="shared" si="1"/>
        <v>No aplica</v>
      </c>
      <c r="I46" s="47" t="str">
        <f t="shared" si="1"/>
        <v>No aplica</v>
      </c>
      <c r="J46" s="47" t="str">
        <f t="shared" si="1"/>
        <v>No aplica</v>
      </c>
      <c r="K46" s="47" t="str">
        <f t="shared" si="1"/>
        <v>No aplica</v>
      </c>
      <c r="L46" s="47" t="str">
        <f t="shared" si="1"/>
        <v>No aplica</v>
      </c>
      <c r="M46" s="47" t="str">
        <f t="shared" si="1"/>
        <v>No aplica</v>
      </c>
      <c r="N46" s="47" t="str">
        <f t="shared" si="1"/>
        <v>No aplica</v>
      </c>
      <c r="O46" s="47" t="str">
        <f t="shared" si="1"/>
        <v>No aplica</v>
      </c>
      <c r="P46" s="47" t="str">
        <f t="shared" si="1"/>
        <v>No aplica</v>
      </c>
      <c r="Q46" s="47" t="str">
        <f t="shared" si="1"/>
        <v>No aplica</v>
      </c>
      <c r="R46" s="47" t="str">
        <f t="shared" si="1"/>
        <v>No aplica</v>
      </c>
      <c r="S46" s="47" t="str">
        <f t="shared" si="1"/>
        <v>No aplica</v>
      </c>
      <c r="T46" s="47" t="str">
        <f t="shared" si="1"/>
        <v>No aplica</v>
      </c>
      <c r="U46" s="47" t="str">
        <f t="shared" si="1"/>
        <v>No aplica</v>
      </c>
      <c r="V46" s="47" t="str">
        <f t="shared" si="1"/>
        <v>No aplica</v>
      </c>
      <c r="W46" s="54">
        <v>0.79554291778929798</v>
      </c>
    </row>
    <row r="47" spans="1:24">
      <c r="A47" s="73"/>
    </row>
    <row r="48" spans="1:24" ht="15.75" thickBot="1">
      <c r="A48" s="73"/>
    </row>
    <row r="49" spans="1:23" ht="39.950000000000003" customHeight="1" thickBot="1">
      <c r="A49" s="73"/>
      <c r="C49" s="1005" t="s">
        <v>104</v>
      </c>
      <c r="D49" s="1005"/>
      <c r="E49" s="1005"/>
      <c r="F49" s="1005"/>
      <c r="G49" s="1005" t="s">
        <v>105</v>
      </c>
      <c r="H49" s="1005"/>
      <c r="I49" s="1005"/>
      <c r="J49" s="1005"/>
      <c r="K49" s="1005" t="s">
        <v>106</v>
      </c>
      <c r="L49" s="1005"/>
      <c r="M49" s="1005"/>
      <c r="N49" s="1005"/>
      <c r="O49" s="1005" t="s">
        <v>107</v>
      </c>
      <c r="P49" s="1005"/>
      <c r="Q49" s="1005"/>
      <c r="R49" s="1005"/>
      <c r="S49" s="1005" t="s">
        <v>108</v>
      </c>
      <c r="T49" s="1005"/>
      <c r="U49" s="1005"/>
      <c r="V49" s="1005"/>
      <c r="W49" s="30" t="s">
        <v>64</v>
      </c>
    </row>
    <row r="50" spans="1:23" ht="60">
      <c r="A50" s="73"/>
      <c r="B50" s="39" t="s">
        <v>113</v>
      </c>
      <c r="C50" s="9" t="s">
        <v>66</v>
      </c>
      <c r="D50" s="10" t="s">
        <v>110</v>
      </c>
      <c r="E50" s="16" t="s">
        <v>111</v>
      </c>
      <c r="F50" s="12" t="s">
        <v>112</v>
      </c>
      <c r="G50" s="9" t="s">
        <v>66</v>
      </c>
      <c r="H50" s="10" t="s">
        <v>110</v>
      </c>
      <c r="I50" s="16" t="s">
        <v>111</v>
      </c>
      <c r="J50" s="12" t="s">
        <v>112</v>
      </c>
      <c r="K50" s="9" t="s">
        <v>66</v>
      </c>
      <c r="L50" s="10" t="s">
        <v>110</v>
      </c>
      <c r="M50" s="16" t="s">
        <v>111</v>
      </c>
      <c r="N50" s="12" t="s">
        <v>112</v>
      </c>
      <c r="O50" s="9" t="s">
        <v>66</v>
      </c>
      <c r="P50" s="10" t="s">
        <v>110</v>
      </c>
      <c r="Q50" s="16" t="s">
        <v>111</v>
      </c>
      <c r="R50" s="12" t="s">
        <v>112</v>
      </c>
      <c r="S50" s="9" t="s">
        <v>66</v>
      </c>
      <c r="T50" s="10" t="s">
        <v>110</v>
      </c>
      <c r="U50" s="16" t="s">
        <v>111</v>
      </c>
      <c r="V50" s="12" t="s">
        <v>112</v>
      </c>
      <c r="W50" s="15" t="s">
        <v>66</v>
      </c>
    </row>
    <row r="51" spans="1:23">
      <c r="A51" s="71" t="s">
        <v>127</v>
      </c>
      <c r="B51" s="52" t="s">
        <v>1152</v>
      </c>
      <c r="C51" s="21"/>
      <c r="D51" s="21"/>
      <c r="E51" s="21"/>
      <c r="F51" s="21"/>
      <c r="G51" s="42"/>
      <c r="H51" s="43"/>
      <c r="I51" s="43"/>
      <c r="J51" s="44"/>
      <c r="K51" s="42"/>
      <c r="L51" s="43"/>
      <c r="M51" s="43"/>
      <c r="N51" s="44"/>
      <c r="O51" s="42"/>
      <c r="P51" s="43"/>
      <c r="Q51" s="43"/>
      <c r="R51" s="44"/>
      <c r="S51" s="3"/>
      <c r="T51" s="3"/>
      <c r="U51" s="3"/>
      <c r="V51" s="22"/>
      <c r="W51" s="20">
        <v>0.65621375747268595</v>
      </c>
    </row>
    <row r="52" spans="1:23">
      <c r="A52" s="71" t="s">
        <v>128</v>
      </c>
      <c r="B52" s="52" t="s">
        <v>1396</v>
      </c>
      <c r="C52" s="21"/>
      <c r="D52" s="21"/>
      <c r="E52" s="21"/>
      <c r="F52" s="21"/>
      <c r="G52" s="42"/>
      <c r="H52" s="43"/>
      <c r="I52" s="43"/>
      <c r="J52" s="44"/>
      <c r="K52" s="42"/>
      <c r="L52" s="43"/>
      <c r="M52" s="43"/>
      <c r="N52" s="44"/>
      <c r="O52" s="42"/>
      <c r="P52" s="43"/>
      <c r="Q52" s="43"/>
      <c r="R52" s="44"/>
      <c r="S52" s="3"/>
      <c r="T52" s="3"/>
      <c r="U52" s="3"/>
      <c r="V52" s="22"/>
      <c r="W52" s="20">
        <v>0.86091686436663573</v>
      </c>
    </row>
    <row r="53" spans="1:23">
      <c r="A53" s="71" t="s">
        <v>129</v>
      </c>
      <c r="B53" s="52" t="s">
        <v>1520</v>
      </c>
      <c r="C53" s="21"/>
      <c r="D53" s="21"/>
      <c r="E53" s="21"/>
      <c r="F53" s="21"/>
      <c r="G53" s="42"/>
      <c r="H53" s="43"/>
      <c r="I53" s="43"/>
      <c r="J53" s="44"/>
      <c r="K53" s="42"/>
      <c r="L53" s="43"/>
      <c r="M53" s="43"/>
      <c r="N53" s="44"/>
      <c r="O53" s="42"/>
      <c r="P53" s="43"/>
      <c r="Q53" s="43"/>
      <c r="R53" s="44"/>
      <c r="S53" s="3"/>
      <c r="T53" s="3"/>
      <c r="U53" s="3"/>
      <c r="V53" s="22"/>
      <c r="W53" s="20">
        <v>0.83333666666666673</v>
      </c>
    </row>
    <row r="54" spans="1:23" hidden="1">
      <c r="A54" s="73"/>
      <c r="B54" s="41"/>
      <c r="C54" s="42"/>
      <c r="D54" s="43"/>
      <c r="E54" s="43"/>
      <c r="F54" s="44"/>
      <c r="G54" s="42"/>
      <c r="H54" s="43"/>
      <c r="I54" s="43"/>
      <c r="J54" s="44"/>
      <c r="K54" s="42"/>
      <c r="L54" s="43"/>
      <c r="M54" s="43"/>
      <c r="N54" s="44"/>
      <c r="O54" s="42"/>
      <c r="P54" s="43"/>
      <c r="Q54" s="43"/>
      <c r="R54" s="44"/>
      <c r="S54" s="42"/>
      <c r="T54" s="43"/>
      <c r="U54" s="43"/>
      <c r="V54" s="44"/>
      <c r="W54" s="55"/>
    </row>
    <row r="55" spans="1:23" hidden="1">
      <c r="A55" s="73"/>
      <c r="B55" s="41"/>
      <c r="C55" s="42"/>
      <c r="D55" s="43"/>
      <c r="E55" s="43"/>
      <c r="F55" s="44"/>
      <c r="G55" s="42"/>
      <c r="H55" s="43"/>
      <c r="I55" s="43"/>
      <c r="J55" s="44"/>
      <c r="K55" s="42"/>
      <c r="L55" s="43"/>
      <c r="M55" s="43"/>
      <c r="N55" s="44"/>
      <c r="O55" s="42"/>
      <c r="P55" s="43"/>
      <c r="Q55" s="43"/>
      <c r="R55" s="44"/>
      <c r="S55" s="42"/>
      <c r="T55" s="43"/>
      <c r="U55" s="43"/>
      <c r="V55" s="44"/>
      <c r="W55" s="55"/>
    </row>
    <row r="56" spans="1:23" hidden="1">
      <c r="A56" s="73"/>
      <c r="B56" s="41"/>
      <c r="C56" s="42"/>
      <c r="D56" s="43"/>
      <c r="E56" s="43"/>
      <c r="F56" s="44"/>
      <c r="G56" s="42"/>
      <c r="H56" s="43"/>
      <c r="I56" s="43"/>
      <c r="J56" s="44"/>
      <c r="K56" s="42"/>
      <c r="L56" s="43"/>
      <c r="M56" s="43"/>
      <c r="N56" s="44"/>
      <c r="O56" s="42"/>
      <c r="P56" s="43"/>
      <c r="Q56" s="43"/>
      <c r="R56" s="44"/>
      <c r="S56" s="42"/>
      <c r="T56" s="43"/>
      <c r="U56" s="43"/>
      <c r="V56" s="44"/>
      <c r="W56" s="55"/>
    </row>
    <row r="57" spans="1:23" ht="19.5" thickBot="1">
      <c r="A57" s="73"/>
      <c r="B57" s="53" t="s">
        <v>62</v>
      </c>
      <c r="C57" s="47" t="str">
        <f>IFERROR(AVERAGE(C51:C56),"No aplica")</f>
        <v>No aplica</v>
      </c>
      <c r="D57" s="47" t="str">
        <f t="shared" ref="D57:V57" si="2">IFERROR(AVERAGE(D51:D56),"No aplica")</f>
        <v>No aplica</v>
      </c>
      <c r="E57" s="47" t="str">
        <f t="shared" si="2"/>
        <v>No aplica</v>
      </c>
      <c r="F57" s="47" t="str">
        <f t="shared" si="2"/>
        <v>No aplica</v>
      </c>
      <c r="G57" s="47" t="str">
        <f t="shared" si="2"/>
        <v>No aplica</v>
      </c>
      <c r="H57" s="47" t="str">
        <f t="shared" si="2"/>
        <v>No aplica</v>
      </c>
      <c r="I57" s="47" t="str">
        <f t="shared" si="2"/>
        <v>No aplica</v>
      </c>
      <c r="J57" s="47" t="str">
        <f t="shared" si="2"/>
        <v>No aplica</v>
      </c>
      <c r="K57" s="47" t="str">
        <f t="shared" si="2"/>
        <v>No aplica</v>
      </c>
      <c r="L57" s="47" t="str">
        <f t="shared" si="2"/>
        <v>No aplica</v>
      </c>
      <c r="M57" s="47" t="str">
        <f t="shared" si="2"/>
        <v>No aplica</v>
      </c>
      <c r="N57" s="47" t="str">
        <f t="shared" si="2"/>
        <v>No aplica</v>
      </c>
      <c r="O57" s="47" t="str">
        <f t="shared" si="2"/>
        <v>No aplica</v>
      </c>
      <c r="P57" s="47" t="str">
        <f t="shared" si="2"/>
        <v>No aplica</v>
      </c>
      <c r="Q57" s="47" t="str">
        <f t="shared" si="2"/>
        <v>No aplica</v>
      </c>
      <c r="R57" s="47" t="str">
        <f t="shared" si="2"/>
        <v>No aplica</v>
      </c>
      <c r="S57" s="47" t="str">
        <f t="shared" si="2"/>
        <v>No aplica</v>
      </c>
      <c r="T57" s="47" t="str">
        <f t="shared" si="2"/>
        <v>No aplica</v>
      </c>
      <c r="U57" s="47" t="str">
        <f t="shared" si="2"/>
        <v>No aplica</v>
      </c>
      <c r="V57" s="47" t="str">
        <f t="shared" si="2"/>
        <v>No aplica</v>
      </c>
      <c r="W57" s="50">
        <v>0.7834890961686628</v>
      </c>
    </row>
    <row r="58" spans="1:23">
      <c r="A58" s="73"/>
    </row>
    <row r="59" spans="1:23" ht="15.75" thickBot="1">
      <c r="A59" s="73"/>
    </row>
    <row r="60" spans="1:23" ht="39.950000000000003" customHeight="1" thickBot="1">
      <c r="A60" s="73"/>
      <c r="C60" s="1005" t="s">
        <v>104</v>
      </c>
      <c r="D60" s="1005"/>
      <c r="E60" s="1005"/>
      <c r="F60" s="1005"/>
      <c r="G60" s="1005" t="s">
        <v>105</v>
      </c>
      <c r="H60" s="1005"/>
      <c r="I60" s="1005"/>
      <c r="J60" s="1005"/>
      <c r="K60" s="1005" t="s">
        <v>106</v>
      </c>
      <c r="L60" s="1005"/>
      <c r="M60" s="1005"/>
      <c r="N60" s="1005"/>
      <c r="O60" s="1005" t="s">
        <v>107</v>
      </c>
      <c r="P60" s="1005"/>
      <c r="Q60" s="1005"/>
      <c r="R60" s="1005"/>
      <c r="S60" s="1005" t="s">
        <v>108</v>
      </c>
      <c r="T60" s="1005"/>
      <c r="U60" s="1005"/>
      <c r="V60" s="1005"/>
      <c r="W60" s="30" t="s">
        <v>64</v>
      </c>
    </row>
    <row r="61" spans="1:23" ht="60">
      <c r="A61" s="73"/>
      <c r="B61" s="39" t="s">
        <v>67</v>
      </c>
      <c r="C61" s="9" t="s">
        <v>66</v>
      </c>
      <c r="D61" s="10" t="s">
        <v>110</v>
      </c>
      <c r="E61" s="16" t="s">
        <v>111</v>
      </c>
      <c r="F61" s="12" t="s">
        <v>112</v>
      </c>
      <c r="G61" s="9" t="s">
        <v>66</v>
      </c>
      <c r="H61" s="10" t="s">
        <v>110</v>
      </c>
      <c r="I61" s="16" t="s">
        <v>111</v>
      </c>
      <c r="J61" s="12" t="s">
        <v>112</v>
      </c>
      <c r="K61" s="9" t="s">
        <v>66</v>
      </c>
      <c r="L61" s="10" t="s">
        <v>110</v>
      </c>
      <c r="M61" s="16" t="s">
        <v>111</v>
      </c>
      <c r="N61" s="12" t="s">
        <v>112</v>
      </c>
      <c r="O61" s="9" t="s">
        <v>66</v>
      </c>
      <c r="P61" s="10" t="s">
        <v>110</v>
      </c>
      <c r="Q61" s="16" t="s">
        <v>111</v>
      </c>
      <c r="R61" s="12" t="s">
        <v>112</v>
      </c>
      <c r="S61" s="9" t="s">
        <v>66</v>
      </c>
      <c r="T61" s="10" t="s">
        <v>110</v>
      </c>
      <c r="U61" s="16" t="s">
        <v>111</v>
      </c>
      <c r="V61" s="12" t="s">
        <v>112</v>
      </c>
      <c r="W61" s="15" t="s">
        <v>66</v>
      </c>
    </row>
    <row r="62" spans="1:23">
      <c r="A62" s="71" t="s">
        <v>130</v>
      </c>
      <c r="B62" s="52" t="s">
        <v>1602</v>
      </c>
      <c r="C62" s="21"/>
      <c r="D62" s="21"/>
      <c r="E62" s="21"/>
      <c r="F62" s="21"/>
      <c r="G62" s="42"/>
      <c r="H62" s="43"/>
      <c r="I62" s="43"/>
      <c r="J62" s="44"/>
      <c r="K62" s="42"/>
      <c r="L62" s="43"/>
      <c r="M62" s="43"/>
      <c r="N62" s="44"/>
      <c r="O62" s="42"/>
      <c r="P62" s="43"/>
      <c r="Q62" s="43"/>
      <c r="R62" s="44"/>
      <c r="S62" s="3"/>
      <c r="T62" s="3"/>
      <c r="U62" s="3"/>
      <c r="V62" s="22"/>
      <c r="W62" s="20">
        <v>0.73108358108108107</v>
      </c>
    </row>
    <row r="63" spans="1:23" ht="30">
      <c r="A63" s="71" t="s">
        <v>134</v>
      </c>
      <c r="B63" s="52" t="s">
        <v>1718</v>
      </c>
      <c r="C63" s="21"/>
      <c r="D63" s="21"/>
      <c r="E63" s="21"/>
      <c r="F63" s="21"/>
      <c r="G63" s="42"/>
      <c r="H63" s="43"/>
      <c r="I63" s="43"/>
      <c r="J63" s="44"/>
      <c r="K63" s="42"/>
      <c r="L63" s="43"/>
      <c r="M63" s="43"/>
      <c r="N63" s="44"/>
      <c r="O63" s="42"/>
      <c r="P63" s="43"/>
      <c r="Q63" s="43"/>
      <c r="R63" s="44"/>
      <c r="S63" s="3"/>
      <c r="T63" s="3"/>
      <c r="U63" s="3"/>
      <c r="V63" s="22"/>
      <c r="W63" s="20">
        <v>0.67023392906394774</v>
      </c>
    </row>
    <row r="64" spans="1:23">
      <c r="A64" s="71" t="s">
        <v>135</v>
      </c>
      <c r="B64" s="52" t="s">
        <v>2420</v>
      </c>
      <c r="C64" s="21"/>
      <c r="D64" s="21"/>
      <c r="E64" s="21"/>
      <c r="F64" s="21"/>
      <c r="G64" s="42"/>
      <c r="H64" s="43"/>
      <c r="I64" s="43"/>
      <c r="J64" s="44"/>
      <c r="K64" s="42"/>
      <c r="L64" s="43"/>
      <c r="M64" s="43"/>
      <c r="N64" s="44"/>
      <c r="O64" s="42"/>
      <c r="P64" s="43"/>
      <c r="Q64" s="43"/>
      <c r="R64" s="44"/>
      <c r="S64" s="3"/>
      <c r="T64" s="3"/>
      <c r="U64" s="3"/>
      <c r="V64" s="22"/>
      <c r="W64" s="20">
        <v>0.66549999999999998</v>
      </c>
    </row>
    <row r="65" spans="1:23" ht="30">
      <c r="A65" s="71" t="s">
        <v>136</v>
      </c>
      <c r="B65" s="52" t="s">
        <v>2548</v>
      </c>
      <c r="C65" s="21"/>
      <c r="D65" s="21"/>
      <c r="E65" s="21"/>
      <c r="F65" s="21"/>
      <c r="G65" s="42"/>
      <c r="H65" s="43"/>
      <c r="I65" s="43"/>
      <c r="J65" s="44"/>
      <c r="K65" s="42"/>
      <c r="L65" s="43"/>
      <c r="M65" s="43"/>
      <c r="N65" s="44"/>
      <c r="O65" s="42"/>
      <c r="P65" s="43"/>
      <c r="Q65" s="43"/>
      <c r="R65" s="44"/>
      <c r="S65" s="3"/>
      <c r="T65" s="3"/>
      <c r="U65" s="3"/>
      <c r="V65" s="22"/>
      <c r="W65" s="20">
        <v>0.57024817753641799</v>
      </c>
    </row>
    <row r="66" spans="1:23" ht="30">
      <c r="A66" s="71" t="s">
        <v>137</v>
      </c>
      <c r="B66" s="52" t="s">
        <v>2925</v>
      </c>
      <c r="C66" s="21"/>
      <c r="D66" s="21"/>
      <c r="E66" s="21"/>
      <c r="F66" s="21"/>
      <c r="G66" s="42"/>
      <c r="H66" s="43"/>
      <c r="I66" s="43"/>
      <c r="J66" s="44"/>
      <c r="K66" s="42"/>
      <c r="L66" s="43"/>
      <c r="M66" s="43"/>
      <c r="N66" s="44"/>
      <c r="O66" s="42"/>
      <c r="P66" s="43"/>
      <c r="Q66" s="43"/>
      <c r="R66" s="44"/>
      <c r="S66" s="3"/>
      <c r="T66" s="3"/>
      <c r="U66" s="3"/>
      <c r="V66" s="22"/>
      <c r="W66" s="20">
        <v>0.9489829251700681</v>
      </c>
    </row>
    <row r="67" spans="1:23" hidden="1">
      <c r="A67" s="73"/>
      <c r="B67" s="41"/>
      <c r="C67" s="42"/>
      <c r="D67" s="43"/>
      <c r="E67" s="43"/>
      <c r="F67" s="44"/>
      <c r="G67" s="42"/>
      <c r="H67" s="43"/>
      <c r="I67" s="43"/>
      <c r="J67" s="44"/>
      <c r="K67" s="42"/>
      <c r="L67" s="43"/>
      <c r="M67" s="43"/>
      <c r="N67" s="44"/>
      <c r="O67" s="42"/>
      <c r="P67" s="43"/>
      <c r="Q67" s="43"/>
      <c r="R67" s="44"/>
      <c r="S67" s="42"/>
      <c r="T67" s="43"/>
      <c r="U67" s="43"/>
      <c r="V67" s="44"/>
      <c r="W67" s="55"/>
    </row>
    <row r="68" spans="1:23" ht="19.5" thickBot="1">
      <c r="A68" s="73"/>
      <c r="B68" s="53" t="s">
        <v>62</v>
      </c>
      <c r="C68" s="47" t="str">
        <f>IFERROR(AVERAGE(C62:C67),"No aplica")</f>
        <v>No aplica</v>
      </c>
      <c r="D68" s="47" t="str">
        <f t="shared" ref="D68:V68" si="3">IFERROR(AVERAGE(D62:D67),"No aplica")</f>
        <v>No aplica</v>
      </c>
      <c r="E68" s="47" t="str">
        <f t="shared" si="3"/>
        <v>No aplica</v>
      </c>
      <c r="F68" s="47" t="str">
        <f t="shared" si="3"/>
        <v>No aplica</v>
      </c>
      <c r="G68" s="47" t="str">
        <f t="shared" si="3"/>
        <v>No aplica</v>
      </c>
      <c r="H68" s="47" t="str">
        <f t="shared" si="3"/>
        <v>No aplica</v>
      </c>
      <c r="I68" s="47" t="str">
        <f t="shared" si="3"/>
        <v>No aplica</v>
      </c>
      <c r="J68" s="47" t="str">
        <f t="shared" si="3"/>
        <v>No aplica</v>
      </c>
      <c r="K68" s="47" t="str">
        <f t="shared" si="3"/>
        <v>No aplica</v>
      </c>
      <c r="L68" s="47" t="str">
        <f t="shared" si="3"/>
        <v>No aplica</v>
      </c>
      <c r="M68" s="47" t="str">
        <f t="shared" si="3"/>
        <v>No aplica</v>
      </c>
      <c r="N68" s="47" t="str">
        <f t="shared" si="3"/>
        <v>No aplica</v>
      </c>
      <c r="O68" s="47" t="str">
        <f t="shared" si="3"/>
        <v>No aplica</v>
      </c>
      <c r="P68" s="47" t="str">
        <f t="shared" si="3"/>
        <v>No aplica</v>
      </c>
      <c r="Q68" s="47" t="str">
        <f t="shared" si="3"/>
        <v>No aplica</v>
      </c>
      <c r="R68" s="47" t="str">
        <f t="shared" si="3"/>
        <v>No aplica</v>
      </c>
      <c r="S68" s="47" t="str">
        <f t="shared" si="3"/>
        <v>No aplica</v>
      </c>
      <c r="T68" s="47" t="str">
        <f t="shared" si="3"/>
        <v>No aplica</v>
      </c>
      <c r="U68" s="47" t="str">
        <f t="shared" si="3"/>
        <v>No aplica</v>
      </c>
      <c r="V68" s="47" t="str">
        <f t="shared" si="3"/>
        <v>No aplica</v>
      </c>
      <c r="W68" s="50">
        <v>0.71720972257030291</v>
      </c>
    </row>
    <row r="69" spans="1:23">
      <c r="A69" s="73"/>
    </row>
    <row r="70" spans="1:23" ht="15.75" thickBot="1">
      <c r="A70" s="73"/>
    </row>
    <row r="71" spans="1:23" ht="39.950000000000003" customHeight="1" thickBot="1">
      <c r="A71" s="73"/>
      <c r="C71" s="1005" t="s">
        <v>104</v>
      </c>
      <c r="D71" s="1005"/>
      <c r="E71" s="1005"/>
      <c r="F71" s="1005"/>
      <c r="G71" s="1005" t="s">
        <v>105</v>
      </c>
      <c r="H71" s="1005"/>
      <c r="I71" s="1005"/>
      <c r="J71" s="1005"/>
      <c r="K71" s="1005" t="s">
        <v>106</v>
      </c>
      <c r="L71" s="1005"/>
      <c r="M71" s="1005"/>
      <c r="N71" s="1005"/>
      <c r="O71" s="1005" t="s">
        <v>107</v>
      </c>
      <c r="P71" s="1005"/>
      <c r="Q71" s="1005"/>
      <c r="R71" s="1005"/>
      <c r="S71" s="1005" t="s">
        <v>108</v>
      </c>
      <c r="T71" s="1005"/>
      <c r="U71" s="1005"/>
      <c r="V71" s="1005"/>
      <c r="W71" s="30" t="s">
        <v>64</v>
      </c>
    </row>
    <row r="72" spans="1:23" ht="60">
      <c r="A72" s="73"/>
      <c r="B72" s="39" t="s">
        <v>114</v>
      </c>
      <c r="C72" s="9" t="s">
        <v>66</v>
      </c>
      <c r="D72" s="10" t="s">
        <v>110</v>
      </c>
      <c r="E72" s="16" t="s">
        <v>111</v>
      </c>
      <c r="F72" s="12" t="s">
        <v>112</v>
      </c>
      <c r="G72" s="9" t="s">
        <v>66</v>
      </c>
      <c r="H72" s="10" t="s">
        <v>110</v>
      </c>
      <c r="I72" s="16" t="s">
        <v>111</v>
      </c>
      <c r="J72" s="12" t="s">
        <v>112</v>
      </c>
      <c r="K72" s="9" t="s">
        <v>66</v>
      </c>
      <c r="L72" s="10" t="s">
        <v>110</v>
      </c>
      <c r="M72" s="16" t="s">
        <v>111</v>
      </c>
      <c r="N72" s="12" t="s">
        <v>112</v>
      </c>
      <c r="O72" s="9" t="s">
        <v>66</v>
      </c>
      <c r="P72" s="10" t="s">
        <v>110</v>
      </c>
      <c r="Q72" s="16" t="s">
        <v>111</v>
      </c>
      <c r="R72" s="12" t="s">
        <v>112</v>
      </c>
      <c r="S72" s="9" t="s">
        <v>66</v>
      </c>
      <c r="T72" s="10" t="s">
        <v>110</v>
      </c>
      <c r="U72" s="16" t="s">
        <v>111</v>
      </c>
      <c r="V72" s="12" t="s">
        <v>112</v>
      </c>
      <c r="W72" s="15" t="s">
        <v>66</v>
      </c>
    </row>
    <row r="73" spans="1:23">
      <c r="A73" s="71" t="s">
        <v>138</v>
      </c>
      <c r="B73" s="52" t="s">
        <v>3017</v>
      </c>
      <c r="C73" s="21"/>
      <c r="D73" s="21"/>
      <c r="E73" s="21"/>
      <c r="F73" s="21"/>
      <c r="G73" s="42"/>
      <c r="H73" s="43"/>
      <c r="I73" s="43"/>
      <c r="J73" s="44"/>
      <c r="K73" s="42"/>
      <c r="L73" s="43"/>
      <c r="M73" s="43"/>
      <c r="N73" s="44"/>
      <c r="O73" s="42"/>
      <c r="P73" s="43"/>
      <c r="Q73" s="43"/>
      <c r="R73" s="44"/>
      <c r="S73" s="3"/>
      <c r="T73" s="3"/>
      <c r="U73" s="3"/>
      <c r="V73" s="22"/>
      <c r="W73" s="20">
        <v>0.27753448715015633</v>
      </c>
    </row>
    <row r="74" spans="1:23" ht="30">
      <c r="A74" s="71" t="s">
        <v>140</v>
      </c>
      <c r="B74" s="52" t="s">
        <v>3048</v>
      </c>
      <c r="C74" s="21"/>
      <c r="D74" s="21"/>
      <c r="E74" s="21"/>
      <c r="F74" s="21"/>
      <c r="G74" s="42"/>
      <c r="H74" s="43"/>
      <c r="I74" s="43"/>
      <c r="J74" s="44"/>
      <c r="K74" s="42"/>
      <c r="L74" s="43"/>
      <c r="M74" s="43"/>
      <c r="N74" s="44"/>
      <c r="O74" s="42"/>
      <c r="P74" s="43"/>
      <c r="Q74" s="43"/>
      <c r="R74" s="44"/>
      <c r="S74" s="3"/>
      <c r="T74" s="3"/>
      <c r="U74" s="3"/>
      <c r="V74" s="22"/>
      <c r="W74" s="20">
        <v>0.83399999999999996</v>
      </c>
    </row>
    <row r="75" spans="1:23">
      <c r="A75" s="71" t="s">
        <v>139</v>
      </c>
      <c r="B75" s="52" t="s">
        <v>4671</v>
      </c>
      <c r="C75" s="21"/>
      <c r="D75" s="21"/>
      <c r="E75" s="21"/>
      <c r="F75" s="21"/>
      <c r="G75" s="42"/>
      <c r="H75" s="43"/>
      <c r="I75" s="43"/>
      <c r="J75" s="44"/>
      <c r="K75" s="42"/>
      <c r="L75" s="43"/>
      <c r="M75" s="43"/>
      <c r="N75" s="44"/>
      <c r="O75" s="42"/>
      <c r="P75" s="43"/>
      <c r="Q75" s="43"/>
      <c r="R75" s="44"/>
      <c r="S75" s="3"/>
      <c r="T75" s="3"/>
      <c r="U75" s="3"/>
      <c r="V75" s="22"/>
      <c r="W75" s="20">
        <v>0.10048333333333333</v>
      </c>
    </row>
    <row r="76" spans="1:23">
      <c r="A76" s="71" t="s">
        <v>141</v>
      </c>
      <c r="B76" s="52" t="s">
        <v>4042</v>
      </c>
      <c r="C76" s="21"/>
      <c r="D76" s="21"/>
      <c r="E76" s="21"/>
      <c r="F76" s="21"/>
      <c r="G76" s="42"/>
      <c r="H76" s="43"/>
      <c r="I76" s="43"/>
      <c r="J76" s="44"/>
      <c r="K76" s="42"/>
      <c r="L76" s="43"/>
      <c r="M76" s="43"/>
      <c r="N76" s="44"/>
      <c r="O76" s="42"/>
      <c r="P76" s="43"/>
      <c r="Q76" s="43"/>
      <c r="R76" s="44"/>
      <c r="S76" s="3"/>
      <c r="T76" s="3"/>
      <c r="U76" s="3"/>
      <c r="V76" s="22"/>
      <c r="W76" s="20">
        <v>0.80083459169396654</v>
      </c>
    </row>
    <row r="77" spans="1:23">
      <c r="A77" s="71" t="s">
        <v>142</v>
      </c>
      <c r="B77" s="52" t="s">
        <v>4366</v>
      </c>
      <c r="C77" s="21"/>
      <c r="D77" s="21"/>
      <c r="E77" s="21"/>
      <c r="F77" s="21"/>
      <c r="G77" s="42"/>
      <c r="H77" s="43"/>
      <c r="I77" s="43"/>
      <c r="J77" s="44"/>
      <c r="K77" s="42"/>
      <c r="L77" s="43"/>
      <c r="M77" s="43"/>
      <c r="N77" s="44"/>
      <c r="O77" s="42"/>
      <c r="P77" s="43"/>
      <c r="Q77" s="43"/>
      <c r="R77" s="44"/>
      <c r="S77" s="3"/>
      <c r="T77" s="3"/>
      <c r="U77" s="3"/>
      <c r="V77" s="22"/>
      <c r="W77" s="20">
        <v>0.75</v>
      </c>
    </row>
    <row r="78" spans="1:23">
      <c r="A78" s="71" t="s">
        <v>143</v>
      </c>
      <c r="B78" s="52" t="s">
        <v>4477</v>
      </c>
      <c r="C78" s="21"/>
      <c r="D78" s="21"/>
      <c r="E78" s="21"/>
      <c r="F78" s="21"/>
      <c r="G78" s="42"/>
      <c r="H78" s="43"/>
      <c r="I78" s="43"/>
      <c r="J78" s="44"/>
      <c r="K78" s="42"/>
      <c r="L78" s="43"/>
      <c r="M78" s="43"/>
      <c r="N78" s="44"/>
      <c r="O78" s="42"/>
      <c r="P78" s="43"/>
      <c r="Q78" s="43"/>
      <c r="R78" s="44"/>
      <c r="S78" s="3"/>
      <c r="T78" s="3"/>
      <c r="U78" s="3"/>
      <c r="V78" s="22"/>
      <c r="W78" s="20">
        <v>0.84401870129870127</v>
      </c>
    </row>
    <row r="79" spans="1:23" ht="19.5" thickBot="1">
      <c r="B79" s="53" t="s">
        <v>62</v>
      </c>
      <c r="C79" s="47" t="str">
        <f>IFERROR(AVERAGE(C73:C78),"No aplica")</f>
        <v>No aplica</v>
      </c>
      <c r="D79" s="47" t="str">
        <f t="shared" ref="D79:V79" si="4">IFERROR(AVERAGE(D73:D78),"No aplica")</f>
        <v>No aplica</v>
      </c>
      <c r="E79" s="47" t="str">
        <f t="shared" si="4"/>
        <v>No aplica</v>
      </c>
      <c r="F79" s="47" t="str">
        <f t="shared" si="4"/>
        <v>No aplica</v>
      </c>
      <c r="G79" s="47" t="str">
        <f t="shared" si="4"/>
        <v>No aplica</v>
      </c>
      <c r="H79" s="47" t="str">
        <f t="shared" si="4"/>
        <v>No aplica</v>
      </c>
      <c r="I79" s="47" t="str">
        <f t="shared" si="4"/>
        <v>No aplica</v>
      </c>
      <c r="J79" s="47" t="str">
        <f t="shared" si="4"/>
        <v>No aplica</v>
      </c>
      <c r="K79" s="47" t="str">
        <f t="shared" si="4"/>
        <v>No aplica</v>
      </c>
      <c r="L79" s="47" t="str">
        <f t="shared" si="4"/>
        <v>No aplica</v>
      </c>
      <c r="M79" s="47" t="str">
        <f t="shared" si="4"/>
        <v>No aplica</v>
      </c>
      <c r="N79" s="47" t="str">
        <f t="shared" si="4"/>
        <v>No aplica</v>
      </c>
      <c r="O79" s="47" t="str">
        <f t="shared" si="4"/>
        <v>No aplica</v>
      </c>
      <c r="P79" s="47" t="str">
        <f t="shared" si="4"/>
        <v>No aplica</v>
      </c>
      <c r="Q79" s="47" t="str">
        <f t="shared" si="4"/>
        <v>No aplica</v>
      </c>
      <c r="R79" s="47" t="str">
        <f t="shared" si="4"/>
        <v>No aplica</v>
      </c>
      <c r="S79" s="47" t="str">
        <f t="shared" si="4"/>
        <v>No aplica</v>
      </c>
      <c r="T79" s="47" t="str">
        <f t="shared" si="4"/>
        <v>No aplica</v>
      </c>
      <c r="U79" s="47" t="str">
        <f t="shared" si="4"/>
        <v>No aplica</v>
      </c>
      <c r="V79" s="47" t="str">
        <f t="shared" si="4"/>
        <v>No aplica</v>
      </c>
      <c r="W79" s="50">
        <v>0.60114518557935959</v>
      </c>
    </row>
    <row r="81" spans="1:10" ht="15.75" thickBot="1"/>
    <row r="82" spans="1:10" ht="39.950000000000003" customHeight="1" thickBot="1">
      <c r="B82" s="998" t="s">
        <v>4644</v>
      </c>
      <c r="C82" s="999"/>
      <c r="D82" s="999"/>
      <c r="E82" s="999"/>
      <c r="F82" s="999"/>
      <c r="G82" s="999"/>
      <c r="H82" s="999"/>
      <c r="I82" s="999"/>
      <c r="J82" s="1000"/>
    </row>
    <row r="83" spans="1:10" ht="30" customHeight="1">
      <c r="B83" s="1002" t="s">
        <v>11</v>
      </c>
      <c r="C83" s="1001" t="s">
        <v>118</v>
      </c>
      <c r="D83" s="1001"/>
      <c r="E83" s="1001" t="s">
        <v>119</v>
      </c>
      <c r="F83" s="1001"/>
      <c r="G83" s="1001" t="s">
        <v>120</v>
      </c>
      <c r="H83" s="1001"/>
      <c r="I83" s="1001" t="s">
        <v>121</v>
      </c>
      <c r="J83" s="1004"/>
    </row>
    <row r="84" spans="1:10" ht="50.1" customHeight="1" thickBot="1">
      <c r="B84" s="1003"/>
      <c r="C84" s="607" t="s">
        <v>116</v>
      </c>
      <c r="D84" s="607" t="s">
        <v>117</v>
      </c>
      <c r="E84" s="607" t="s">
        <v>116</v>
      </c>
      <c r="F84" s="607" t="s">
        <v>117</v>
      </c>
      <c r="G84" s="607" t="s">
        <v>116</v>
      </c>
      <c r="H84" s="607" t="s">
        <v>117</v>
      </c>
      <c r="I84" s="607" t="s">
        <v>116</v>
      </c>
      <c r="J84" s="608" t="s">
        <v>117</v>
      </c>
    </row>
    <row r="85" spans="1:10">
      <c r="A85" s="71" t="s">
        <v>125</v>
      </c>
      <c r="B85" s="609" t="s">
        <v>149</v>
      </c>
      <c r="C85" s="610"/>
      <c r="D85" s="610"/>
      <c r="E85" s="611">
        <f>+S37</f>
        <v>0</v>
      </c>
      <c r="F85" s="612"/>
      <c r="G85" s="612"/>
      <c r="H85" s="612"/>
      <c r="I85" s="698"/>
      <c r="J85" s="699"/>
    </row>
    <row r="86" spans="1:10">
      <c r="A86" s="72" t="s">
        <v>126</v>
      </c>
      <c r="B86" s="56" t="s">
        <v>241</v>
      </c>
      <c r="C86" s="3"/>
      <c r="D86" s="3"/>
      <c r="E86" s="63">
        <f t="shared" ref="E86:E93" si="5">+S38</f>
        <v>0</v>
      </c>
      <c r="F86" s="64"/>
      <c r="G86" s="64"/>
      <c r="H86" s="64"/>
      <c r="I86" s="703"/>
      <c r="J86" s="700"/>
    </row>
    <row r="87" spans="1:10">
      <c r="A87" s="72" t="s">
        <v>131</v>
      </c>
      <c r="B87" s="56" t="s">
        <v>449</v>
      </c>
      <c r="C87" s="3"/>
      <c r="D87" s="3"/>
      <c r="E87" s="63">
        <f t="shared" si="5"/>
        <v>0</v>
      </c>
      <c r="F87" s="64"/>
      <c r="G87" s="64"/>
      <c r="H87" s="64"/>
      <c r="I87" s="703"/>
      <c r="J87" s="700"/>
    </row>
    <row r="88" spans="1:10">
      <c r="A88" s="72" t="s">
        <v>132</v>
      </c>
      <c r="B88" s="56" t="s">
        <v>605</v>
      </c>
      <c r="C88" s="3"/>
      <c r="D88" s="3"/>
      <c r="E88" s="63">
        <f t="shared" si="5"/>
        <v>0</v>
      </c>
      <c r="F88" s="64"/>
      <c r="G88" s="64"/>
      <c r="H88" s="64"/>
      <c r="I88" s="703"/>
      <c r="J88" s="700"/>
    </row>
    <row r="89" spans="1:10" ht="30">
      <c r="A89" s="72" t="s">
        <v>145</v>
      </c>
      <c r="B89" s="56" t="s">
        <v>722</v>
      </c>
      <c r="C89" s="3"/>
      <c r="D89" s="3"/>
      <c r="E89" s="63">
        <f t="shared" si="5"/>
        <v>0</v>
      </c>
      <c r="F89" s="64"/>
      <c r="G89" s="64"/>
      <c r="H89" s="64"/>
      <c r="I89" s="703"/>
      <c r="J89" s="700"/>
    </row>
    <row r="90" spans="1:10" ht="30">
      <c r="A90" s="72" t="s">
        <v>146</v>
      </c>
      <c r="B90" s="56" t="s">
        <v>865</v>
      </c>
      <c r="C90" s="3"/>
      <c r="D90" s="3"/>
      <c r="E90" s="63">
        <f t="shared" si="5"/>
        <v>0</v>
      </c>
      <c r="F90" s="64"/>
      <c r="G90" s="64"/>
      <c r="H90" s="64"/>
      <c r="I90" s="703"/>
      <c r="J90" s="700"/>
    </row>
    <row r="91" spans="1:10">
      <c r="A91" s="72" t="s">
        <v>147</v>
      </c>
      <c r="B91" s="56" t="s">
        <v>911</v>
      </c>
      <c r="C91" s="3"/>
      <c r="D91" s="3"/>
      <c r="E91" s="63">
        <f t="shared" si="5"/>
        <v>0</v>
      </c>
      <c r="F91" s="64"/>
      <c r="G91" s="64"/>
      <c r="H91" s="64"/>
      <c r="I91" s="703"/>
      <c r="J91" s="700"/>
    </row>
    <row r="92" spans="1:10" ht="30">
      <c r="A92" s="72" t="s">
        <v>133</v>
      </c>
      <c r="B92" s="56" t="s">
        <v>995</v>
      </c>
      <c r="C92" s="3"/>
      <c r="D92" s="3"/>
      <c r="E92" s="63">
        <f t="shared" si="5"/>
        <v>0</v>
      </c>
      <c r="F92" s="64"/>
      <c r="G92" s="64"/>
      <c r="H92" s="64"/>
      <c r="I92" s="703"/>
      <c r="J92" s="700"/>
    </row>
    <row r="93" spans="1:10">
      <c r="A93" s="72" t="s">
        <v>148</v>
      </c>
      <c r="B93" s="56" t="s">
        <v>1044</v>
      </c>
      <c r="C93" s="3"/>
      <c r="D93" s="3"/>
      <c r="E93" s="63">
        <f t="shared" si="5"/>
        <v>0</v>
      </c>
      <c r="F93" s="64"/>
      <c r="G93" s="64"/>
      <c r="H93" s="64"/>
      <c r="I93" s="703"/>
      <c r="J93" s="700"/>
    </row>
    <row r="94" spans="1:10">
      <c r="A94" s="71" t="s">
        <v>127</v>
      </c>
      <c r="B94" s="56" t="s">
        <v>1152</v>
      </c>
      <c r="C94" s="3"/>
      <c r="D94" s="3"/>
      <c r="E94" s="63">
        <f>+S51</f>
        <v>0</v>
      </c>
      <c r="F94" s="64"/>
      <c r="G94" s="64"/>
      <c r="H94" s="64"/>
      <c r="I94" s="703"/>
      <c r="J94" s="700"/>
    </row>
    <row r="95" spans="1:10">
      <c r="A95" s="71" t="s">
        <v>128</v>
      </c>
      <c r="B95" s="56" t="s">
        <v>1396</v>
      </c>
      <c r="C95" s="3"/>
      <c r="D95" s="3"/>
      <c r="E95" s="63">
        <f t="shared" ref="E95:E96" si="6">+S52</f>
        <v>0</v>
      </c>
      <c r="F95" s="64"/>
      <c r="G95" s="64"/>
      <c r="H95" s="64"/>
      <c r="I95" s="703"/>
      <c r="J95" s="700"/>
    </row>
    <row r="96" spans="1:10">
      <c r="A96" s="71" t="s">
        <v>129</v>
      </c>
      <c r="B96" s="56" t="s">
        <v>1520</v>
      </c>
      <c r="C96" s="3"/>
      <c r="D96" s="3"/>
      <c r="E96" s="63">
        <f t="shared" si="6"/>
        <v>0</v>
      </c>
      <c r="F96" s="64"/>
      <c r="G96" s="64"/>
      <c r="H96" s="64"/>
      <c r="I96" s="703"/>
      <c r="J96" s="700"/>
    </row>
    <row r="97" spans="1:10">
      <c r="A97" s="71" t="s">
        <v>130</v>
      </c>
      <c r="B97" s="56" t="s">
        <v>1602</v>
      </c>
      <c r="C97" s="3"/>
      <c r="D97" s="3"/>
      <c r="E97" s="63">
        <f>+S62</f>
        <v>0</v>
      </c>
      <c r="F97" s="64"/>
      <c r="G97" s="64"/>
      <c r="H97" s="64"/>
      <c r="I97" s="703"/>
      <c r="J97" s="700"/>
    </row>
    <row r="98" spans="1:10" ht="30">
      <c r="A98" s="71" t="s">
        <v>134</v>
      </c>
      <c r="B98" s="56" t="s">
        <v>1718</v>
      </c>
      <c r="C98" s="3"/>
      <c r="D98" s="3"/>
      <c r="E98" s="63">
        <f t="shared" ref="E98:E101" si="7">+S63</f>
        <v>0</v>
      </c>
      <c r="F98" s="64"/>
      <c r="G98" s="64"/>
      <c r="H98" s="64"/>
      <c r="I98" s="703"/>
      <c r="J98" s="700"/>
    </row>
    <row r="99" spans="1:10">
      <c r="A99" s="71" t="s">
        <v>135</v>
      </c>
      <c r="B99" s="56" t="s">
        <v>2420</v>
      </c>
      <c r="C99" s="3"/>
      <c r="D99" s="3"/>
      <c r="E99" s="63">
        <f t="shared" si="7"/>
        <v>0</v>
      </c>
      <c r="F99" s="64"/>
      <c r="G99" s="64"/>
      <c r="H99" s="64"/>
      <c r="I99" s="703"/>
      <c r="J99" s="700"/>
    </row>
    <row r="100" spans="1:10" ht="30">
      <c r="A100" s="71" t="s">
        <v>136</v>
      </c>
      <c r="B100" s="56" t="s">
        <v>2548</v>
      </c>
      <c r="C100" s="3"/>
      <c r="D100" s="3"/>
      <c r="E100" s="63">
        <f t="shared" si="7"/>
        <v>0</v>
      </c>
      <c r="F100" s="64"/>
      <c r="G100" s="64"/>
      <c r="H100" s="64"/>
      <c r="I100" s="703"/>
      <c r="J100" s="700"/>
    </row>
    <row r="101" spans="1:10" ht="30">
      <c r="A101" s="71" t="s">
        <v>137</v>
      </c>
      <c r="B101" s="56" t="s">
        <v>2925</v>
      </c>
      <c r="C101" s="3"/>
      <c r="D101" s="3"/>
      <c r="E101" s="63">
        <f t="shared" si="7"/>
        <v>0</v>
      </c>
      <c r="F101" s="64"/>
      <c r="G101" s="64"/>
      <c r="H101" s="64"/>
      <c r="I101" s="703"/>
      <c r="J101" s="700"/>
    </row>
    <row r="102" spans="1:10">
      <c r="A102" s="71" t="s">
        <v>138</v>
      </c>
      <c r="B102" s="56" t="s">
        <v>3017</v>
      </c>
      <c r="C102" s="3"/>
      <c r="D102" s="3"/>
      <c r="E102" s="63">
        <f>+S73</f>
        <v>0</v>
      </c>
      <c r="F102" s="64"/>
      <c r="G102" s="64"/>
      <c r="H102" s="64"/>
      <c r="I102" s="703"/>
      <c r="J102" s="700"/>
    </row>
    <row r="103" spans="1:10" ht="30">
      <c r="A103" s="71" t="s">
        <v>140</v>
      </c>
      <c r="B103" s="56" t="s">
        <v>3048</v>
      </c>
      <c r="C103" s="3"/>
      <c r="D103" s="3"/>
      <c r="E103" s="63">
        <f t="shared" ref="E103:E107" si="8">+S74</f>
        <v>0</v>
      </c>
      <c r="F103" s="64"/>
      <c r="G103" s="64"/>
      <c r="H103" s="64"/>
      <c r="I103" s="703"/>
      <c r="J103" s="700"/>
    </row>
    <row r="104" spans="1:10">
      <c r="A104" s="71" t="s">
        <v>139</v>
      </c>
      <c r="B104" s="56" t="s">
        <v>4671</v>
      </c>
      <c r="C104" s="3"/>
      <c r="D104" s="3"/>
      <c r="E104" s="63">
        <f t="shared" si="8"/>
        <v>0</v>
      </c>
      <c r="F104" s="64"/>
      <c r="G104" s="64"/>
      <c r="H104" s="64"/>
      <c r="I104" s="703"/>
      <c r="J104" s="700"/>
    </row>
    <row r="105" spans="1:10">
      <c r="A105" s="71" t="s">
        <v>141</v>
      </c>
      <c r="B105" s="56" t="s">
        <v>4042</v>
      </c>
      <c r="C105" s="3"/>
      <c r="D105" s="3"/>
      <c r="E105" s="63">
        <f t="shared" si="8"/>
        <v>0</v>
      </c>
      <c r="F105" s="64"/>
      <c r="G105" s="64"/>
      <c r="H105" s="64"/>
      <c r="I105" s="703"/>
      <c r="J105" s="701"/>
    </row>
    <row r="106" spans="1:10">
      <c r="A106" s="71" t="s">
        <v>142</v>
      </c>
      <c r="B106" s="56" t="s">
        <v>4366</v>
      </c>
      <c r="C106" s="3"/>
      <c r="D106" s="3"/>
      <c r="E106" s="63">
        <f t="shared" si="8"/>
        <v>0</v>
      </c>
      <c r="F106" s="64"/>
      <c r="G106" s="64"/>
      <c r="H106" s="64"/>
      <c r="I106" s="703"/>
      <c r="J106" s="700"/>
    </row>
    <row r="107" spans="1:10" ht="15.75" thickBot="1">
      <c r="A107" s="71" t="s">
        <v>143</v>
      </c>
      <c r="B107" s="57" t="s">
        <v>4477</v>
      </c>
      <c r="C107" s="613"/>
      <c r="D107" s="613"/>
      <c r="E107" s="58">
        <f t="shared" si="8"/>
        <v>0</v>
      </c>
      <c r="F107" s="59"/>
      <c r="G107" s="59"/>
      <c r="H107" s="59"/>
      <c r="I107" s="704"/>
      <c r="J107" s="702"/>
    </row>
    <row r="108" spans="1:10" ht="15.75" thickBot="1">
      <c r="B108" s="60" t="s">
        <v>124</v>
      </c>
      <c r="C108" s="61" t="str">
        <f>+IFERROR(AVERAGE(C85:C107),"0%")</f>
        <v>0%</v>
      </c>
      <c r="D108" s="61" t="str">
        <f>+IFERROR(AVERAGE(D85:D107),"0%")</f>
        <v>0%</v>
      </c>
      <c r="E108" s="61">
        <f t="shared" ref="E108:J108" si="9">+IFERROR(AVERAGE(E85:E107),"0%")</f>
        <v>0</v>
      </c>
      <c r="F108" s="61" t="str">
        <f t="shared" si="9"/>
        <v>0%</v>
      </c>
      <c r="G108" s="61" t="str">
        <f t="shared" si="9"/>
        <v>0%</v>
      </c>
      <c r="H108" s="61" t="str">
        <f t="shared" si="9"/>
        <v>0%</v>
      </c>
      <c r="I108" s="61" t="str">
        <f t="shared" si="9"/>
        <v>0%</v>
      </c>
      <c r="J108" s="62" t="str">
        <f t="shared" si="9"/>
        <v>0%</v>
      </c>
    </row>
    <row r="110" spans="1:10" ht="63.75">
      <c r="B110" s="51" t="s">
        <v>144</v>
      </c>
    </row>
  </sheetData>
  <sheetProtection formatRows="0" autoFilter="0"/>
  <mergeCells count="49">
    <mergeCell ref="S1:U3"/>
    <mergeCell ref="S4:U6"/>
    <mergeCell ref="S7:U8"/>
    <mergeCell ref="V1:W3"/>
    <mergeCell ref="V4:W6"/>
    <mergeCell ref="V7:W8"/>
    <mergeCell ref="B1:B8"/>
    <mergeCell ref="C1:J4"/>
    <mergeCell ref="C5:J8"/>
    <mergeCell ref="K1:R4"/>
    <mergeCell ref="K5:R8"/>
    <mergeCell ref="B17:R21"/>
    <mergeCell ref="B10:U10"/>
    <mergeCell ref="B12:T12"/>
    <mergeCell ref="B13:T13"/>
    <mergeCell ref="B14:T14"/>
    <mergeCell ref="T16:U16"/>
    <mergeCell ref="B16:R16"/>
    <mergeCell ref="C23:F23"/>
    <mergeCell ref="K23:N23"/>
    <mergeCell ref="O23:R23"/>
    <mergeCell ref="S23:V23"/>
    <mergeCell ref="G23:J23"/>
    <mergeCell ref="C35:F35"/>
    <mergeCell ref="G35:J35"/>
    <mergeCell ref="K35:N35"/>
    <mergeCell ref="O35:R35"/>
    <mergeCell ref="S35:V35"/>
    <mergeCell ref="S71:V71"/>
    <mergeCell ref="C49:F49"/>
    <mergeCell ref="G49:J49"/>
    <mergeCell ref="K49:N49"/>
    <mergeCell ref="O49:R49"/>
    <mergeCell ref="S49:V49"/>
    <mergeCell ref="C60:F60"/>
    <mergeCell ref="G60:J60"/>
    <mergeCell ref="K60:N60"/>
    <mergeCell ref="O60:R60"/>
    <mergeCell ref="S60:V60"/>
    <mergeCell ref="C71:F71"/>
    <mergeCell ref="G71:J71"/>
    <mergeCell ref="K71:N71"/>
    <mergeCell ref="O71:R71"/>
    <mergeCell ref="B82:J82"/>
    <mergeCell ref="C83:D83"/>
    <mergeCell ref="B83:B84"/>
    <mergeCell ref="E83:F83"/>
    <mergeCell ref="G83:H83"/>
    <mergeCell ref="I83:J83"/>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44" max="6" man="1"/>
  </rowBreaks>
  <drawing r:id="rId2"/>
  <extLst>
    <ext xmlns:x14="http://schemas.microsoft.com/office/spreadsheetml/2009/9/main" uri="{78C0D931-6437-407d-A8EE-F0AAD7539E65}">
      <x14:conditionalFormattings>
        <x14:conditionalFormatting xmlns:xm="http://schemas.microsoft.com/office/excel/2006/main">
          <x14:cfRule type="iconSet" priority="94" id="{6EE9E320-4F5D-4986-AA73-1A91D6A78A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C37</xm:sqref>
        </x14:conditionalFormatting>
        <x14:conditionalFormatting xmlns:xm="http://schemas.microsoft.com/office/excel/2006/main">
          <x14:cfRule type="iconSet" priority="92" id="{2C9C389E-B31D-4A04-9E13-B63CBB9FBEE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C38:C45</xm:sqref>
        </x14:conditionalFormatting>
        <x14:conditionalFormatting xmlns:xm="http://schemas.microsoft.com/office/excel/2006/main">
          <x14:cfRule type="iconSet" priority="74" id="{315A627D-6898-4C92-8BF3-230042B0E83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C51</xm:sqref>
        </x14:conditionalFormatting>
        <x14:conditionalFormatting xmlns:xm="http://schemas.microsoft.com/office/excel/2006/main">
          <x14:cfRule type="iconSet" priority="71" id="{2254D477-D603-4A11-B885-83604D3E854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C52:C53</xm:sqref>
        </x14:conditionalFormatting>
        <x14:conditionalFormatting xmlns:xm="http://schemas.microsoft.com/office/excel/2006/main">
          <x14:cfRule type="iconSet" priority="73" id="{A26346C4-FF8C-47BD-AFF9-2D12674472E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C62</xm:sqref>
        </x14:conditionalFormatting>
        <x14:conditionalFormatting xmlns:xm="http://schemas.microsoft.com/office/excel/2006/main">
          <x14:cfRule type="iconSet" priority="70" id="{6695E96C-6D31-4857-9B34-F474D9D5BC7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C63:C66</xm:sqref>
        </x14:conditionalFormatting>
        <x14:conditionalFormatting xmlns:xm="http://schemas.microsoft.com/office/excel/2006/main">
          <x14:cfRule type="iconSet" priority="72" id="{FCC30A3E-367C-410C-B369-3BA2E9ACE6A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C73</xm:sqref>
        </x14:conditionalFormatting>
        <x14:conditionalFormatting xmlns:xm="http://schemas.microsoft.com/office/excel/2006/main">
          <x14:cfRule type="iconSet" priority="69" id="{E41F4E41-C002-4402-B53B-D48E04CD9E4B}">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C74:C78</xm:sqref>
        </x14:conditionalFormatting>
        <x14:conditionalFormatting xmlns:xm="http://schemas.microsoft.com/office/excel/2006/main">
          <x14:cfRule type="iconSet" priority="157" id="{7A10FBF7-B204-4C58-AA7F-812E1F05B6E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C54:F56</xm:sqref>
        </x14:conditionalFormatting>
        <x14:conditionalFormatting xmlns:xm="http://schemas.microsoft.com/office/excel/2006/main">
          <x14:cfRule type="iconSet" priority="148" id="{2AE75141-2057-4C96-9B47-B7A7C49324F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C67:F67</xm:sqref>
        </x14:conditionalFormatting>
        <x14:conditionalFormatting xmlns:xm="http://schemas.microsoft.com/office/excel/2006/main">
          <x14:cfRule type="iconSet" priority="11" id="{6A2D9931-04C4-40ED-8F60-AFF2805EE5DC}">
            <x14:iconSet iconSet="5Arrows" custom="1">
              <x14:cfvo type="percent">
                <xm:f>0</xm:f>
              </x14:cfvo>
              <x14:cfvo type="percent">
                <xm:f>1</xm:f>
              </x14:cfvo>
              <x14:cfvo type="percent">
                <xm:f>60</xm:f>
              </x14:cfvo>
              <x14:cfvo type="percent">
                <xm:f>80</xm:f>
              </x14:cfvo>
              <x14:cfvo type="percent">
                <xm:f>99.9</xm:f>
              </x14:cfvo>
              <x14:cfIcon iconSet="3TrafficLights1" iconId="0"/>
              <x14:cfIcon iconSet="4RedToBlack" iconId="2"/>
              <x14:cfIcon iconSet="3TrafficLights1" iconId="1"/>
              <x14:cfIcon iconSet="5Boxes" iconId="4"/>
              <x14:cfIcon iconSet="3TrafficLights1" iconId="2"/>
            </x14:iconSet>
          </x14:cfRule>
          <xm:sqref>C25:W32 C37:W46 C51:W57 C62:W68 C73:W79</xm:sqref>
        </x14:conditionalFormatting>
        <x14:conditionalFormatting xmlns:xm="http://schemas.microsoft.com/office/excel/2006/main">
          <x14:cfRule type="iconSet" priority="177" id="{15FB118C-EEB4-4B6B-9317-554CEB7DF72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C46:W46</xm:sqref>
        </x14:conditionalFormatting>
        <x14:conditionalFormatting xmlns:xm="http://schemas.microsoft.com/office/excel/2006/main">
          <x14:cfRule type="iconSet" priority="158" id="{B63C8C2D-8140-4609-BC42-5C52DEF00A4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C57:W57</xm:sqref>
        </x14:conditionalFormatting>
        <x14:conditionalFormatting xmlns:xm="http://schemas.microsoft.com/office/excel/2006/main">
          <x14:cfRule type="iconSet" priority="149" id="{C0DCBDA9-8694-4748-B077-D245650BD36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C68:W68</xm:sqref>
        </x14:conditionalFormatting>
        <x14:conditionalFormatting xmlns:xm="http://schemas.microsoft.com/office/excel/2006/main">
          <x14:cfRule type="iconSet" priority="140" id="{68DA8B3C-EE87-4B71-BB39-2178BC2B3BB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C79:W79</xm:sqref>
        </x14:conditionalFormatting>
        <x14:conditionalFormatting xmlns:xm="http://schemas.microsoft.com/office/excel/2006/main">
          <x14:cfRule type="iconSet" priority="91" id="{94015047-54B9-4292-9650-9F8548AC09A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D37</xm:sqref>
        </x14:conditionalFormatting>
        <x14:conditionalFormatting xmlns:xm="http://schemas.microsoft.com/office/excel/2006/main">
          <x14:cfRule type="iconSet" priority="90" id="{CDDD1FAD-CD09-42D6-8253-04FC9410013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D38:D43 D45</xm:sqref>
        </x14:conditionalFormatting>
        <x14:conditionalFormatting xmlns:xm="http://schemas.microsoft.com/office/excel/2006/main">
          <x14:cfRule type="iconSet" priority="21" id="{2503BB1D-D50C-4B96-8497-25E3CC77891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D44</xm:sqref>
        </x14:conditionalFormatting>
        <x14:conditionalFormatting xmlns:xm="http://schemas.microsoft.com/office/excel/2006/main">
          <x14:cfRule type="iconSet" priority="68" id="{78A4D685-AA47-4773-8FA7-6AE7BDE12FE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D51</xm:sqref>
        </x14:conditionalFormatting>
        <x14:conditionalFormatting xmlns:xm="http://schemas.microsoft.com/office/excel/2006/main">
          <x14:cfRule type="iconSet" priority="67" id="{681B86E6-30FF-4A76-BBA1-92F5A8E4E1F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D52</xm:sqref>
        </x14:conditionalFormatting>
        <x14:conditionalFormatting xmlns:xm="http://schemas.microsoft.com/office/excel/2006/main">
          <x14:cfRule type="iconSet" priority="66" id="{EDEBF473-C700-4860-A81E-A9B809411F7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D53</xm:sqref>
        </x14:conditionalFormatting>
        <x14:conditionalFormatting xmlns:xm="http://schemas.microsoft.com/office/excel/2006/main">
          <x14:cfRule type="iconSet" priority="65" id="{A7526D55-0A41-4D08-9A4C-17C479D78CC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D62</xm:sqref>
        </x14:conditionalFormatting>
        <x14:conditionalFormatting xmlns:xm="http://schemas.microsoft.com/office/excel/2006/main">
          <x14:cfRule type="iconSet" priority="64" id="{D201DCBF-B1AC-424C-85A8-4814C78565D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D63:D66</xm:sqref>
        </x14:conditionalFormatting>
        <x14:conditionalFormatting xmlns:xm="http://schemas.microsoft.com/office/excel/2006/main">
          <x14:cfRule type="iconSet" priority="63" id="{A485C129-FEEF-443B-96CA-80D33ED69B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D73</xm:sqref>
        </x14:conditionalFormatting>
        <x14:conditionalFormatting xmlns:xm="http://schemas.microsoft.com/office/excel/2006/main">
          <x14:cfRule type="iconSet" priority="62" id="{ACF643E8-2245-4C35-A156-E7BD52B185C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D74:D78</xm:sqref>
        </x14:conditionalFormatting>
        <x14:conditionalFormatting xmlns:xm="http://schemas.microsoft.com/office/excel/2006/main">
          <x14:cfRule type="iconSet" priority="89" id="{5ABA4373-D3ED-455C-8D47-B7B19E9A9E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E37</xm:sqref>
        </x14:conditionalFormatting>
        <x14:conditionalFormatting xmlns:xm="http://schemas.microsoft.com/office/excel/2006/main">
          <x14:cfRule type="iconSet" priority="88" id="{02B6F54B-8E2A-447F-82D8-AF07829C535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E38:E43 E45</xm:sqref>
        </x14:conditionalFormatting>
        <x14:conditionalFormatting xmlns:xm="http://schemas.microsoft.com/office/excel/2006/main">
          <x14:cfRule type="iconSet" priority="20" id="{B057F814-12F0-4BDB-BB0D-20AEBF7194A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E44</xm:sqref>
        </x14:conditionalFormatting>
        <x14:conditionalFormatting xmlns:xm="http://schemas.microsoft.com/office/excel/2006/main">
          <x14:cfRule type="iconSet" priority="61" id="{08AD16BE-81F6-4250-955C-05EB8393914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E51</xm:sqref>
        </x14:conditionalFormatting>
        <x14:conditionalFormatting xmlns:xm="http://schemas.microsoft.com/office/excel/2006/main">
          <x14:cfRule type="iconSet" priority="60" id="{965FF931-22EC-4087-9B82-116F1A3D05C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E52</xm:sqref>
        </x14:conditionalFormatting>
        <x14:conditionalFormatting xmlns:xm="http://schemas.microsoft.com/office/excel/2006/main">
          <x14:cfRule type="iconSet" priority="59" id="{A7A4A671-F7DE-45C9-9431-0C4454464AC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E53</xm:sqref>
        </x14:conditionalFormatting>
        <x14:conditionalFormatting xmlns:xm="http://schemas.microsoft.com/office/excel/2006/main">
          <x14:cfRule type="iconSet" priority="58" id="{BBDEE94D-19E4-498F-89BD-22A3B282A5C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E62</xm:sqref>
        </x14:conditionalFormatting>
        <x14:conditionalFormatting xmlns:xm="http://schemas.microsoft.com/office/excel/2006/main">
          <x14:cfRule type="iconSet" priority="57" id="{243861E0-E569-4B37-8D68-43F289FBD4F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E63:E66</xm:sqref>
        </x14:conditionalFormatting>
        <x14:conditionalFormatting xmlns:xm="http://schemas.microsoft.com/office/excel/2006/main">
          <x14:cfRule type="iconSet" priority="56" id="{AEC2C94D-C73F-4F7F-847F-79EAEF71917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E73:E78</xm:sqref>
        </x14:conditionalFormatting>
        <x14:conditionalFormatting xmlns:xm="http://schemas.microsoft.com/office/excel/2006/main">
          <x14:cfRule type="iconSet" priority="87" id="{AEE0E503-9538-4D13-9580-F32CF3D2F99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F37</xm:sqref>
        </x14:conditionalFormatting>
        <x14:conditionalFormatting xmlns:xm="http://schemas.microsoft.com/office/excel/2006/main">
          <x14:cfRule type="iconSet" priority="86" id="{08175E04-F915-456C-9F61-B295E993CD97}">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F38:F43 F45</xm:sqref>
        </x14:conditionalFormatting>
        <x14:conditionalFormatting xmlns:xm="http://schemas.microsoft.com/office/excel/2006/main">
          <x14:cfRule type="iconSet" priority="19" id="{6D8D8E76-367B-444D-8BC5-103C8463828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F44</xm:sqref>
        </x14:conditionalFormatting>
        <x14:conditionalFormatting xmlns:xm="http://schemas.microsoft.com/office/excel/2006/main">
          <x14:cfRule type="iconSet" priority="55" id="{89ED88E2-2910-48AF-A0FF-DC08245F21E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F51</xm:sqref>
        </x14:conditionalFormatting>
        <x14:conditionalFormatting xmlns:xm="http://schemas.microsoft.com/office/excel/2006/main">
          <x14:cfRule type="iconSet" priority="54" id="{B3A3274C-5DC1-4FED-9022-05BB0FEDFD1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F52</xm:sqref>
        </x14:conditionalFormatting>
        <x14:conditionalFormatting xmlns:xm="http://schemas.microsoft.com/office/excel/2006/main">
          <x14:cfRule type="iconSet" priority="53" id="{16D1600D-E35C-46B3-B470-D644D9D247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F53</xm:sqref>
        </x14:conditionalFormatting>
        <x14:conditionalFormatting xmlns:xm="http://schemas.microsoft.com/office/excel/2006/main">
          <x14:cfRule type="iconSet" priority="52" id="{ED461051-395F-4F56-9BA7-FE7F4221203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F62</xm:sqref>
        </x14:conditionalFormatting>
        <x14:conditionalFormatting xmlns:xm="http://schemas.microsoft.com/office/excel/2006/main">
          <x14:cfRule type="iconSet" priority="51" id="{F2DC482C-9D3B-4F2E-A278-7821BE34FD8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F63:F66</xm:sqref>
        </x14:conditionalFormatting>
        <x14:conditionalFormatting xmlns:xm="http://schemas.microsoft.com/office/excel/2006/main">
          <x14:cfRule type="iconSet" priority="50" id="{0F3580FE-CACD-41BC-A5C7-46A07281594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F73</xm:sqref>
        </x14:conditionalFormatting>
        <x14:conditionalFormatting xmlns:xm="http://schemas.microsoft.com/office/excel/2006/main">
          <x14:cfRule type="iconSet" priority="49" id="{0B355C39-AF1E-4FA0-AC74-D7936DABC23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F74:F78</xm:sqref>
        </x14:conditionalFormatting>
        <x14:conditionalFormatting xmlns:xm="http://schemas.microsoft.com/office/excel/2006/main">
          <x14:cfRule type="iconSet" priority="170" id="{4998665F-9976-4A4B-BC6F-42972774894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G38:J45</xm:sqref>
        </x14:conditionalFormatting>
        <x14:conditionalFormatting xmlns:xm="http://schemas.microsoft.com/office/excel/2006/main">
          <x14:cfRule type="iconSet" priority="127" id="{C71A9230-E2FA-45D0-ABEA-4F31132847F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G46:J46</xm:sqref>
        </x14:conditionalFormatting>
        <x14:conditionalFormatting xmlns:xm="http://schemas.microsoft.com/office/excel/2006/main">
          <x14:cfRule type="iconSet" priority="154" id="{0C1315FA-4F41-4ABE-8197-70CE547FDF4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G51:J56</xm:sqref>
        </x14:conditionalFormatting>
        <x14:conditionalFormatting xmlns:xm="http://schemas.microsoft.com/office/excel/2006/main">
          <x14:cfRule type="iconSet" priority="155" id="{6BA35A46-F84F-4C4D-9E87-E2A1479780A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G57:J57</xm:sqref>
        </x14:conditionalFormatting>
        <x14:conditionalFormatting xmlns:xm="http://schemas.microsoft.com/office/excel/2006/main">
          <x14:cfRule type="iconSet" priority="145" id="{0EBFEA14-826D-4AB7-AD14-046239BC41F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G62:J67</xm:sqref>
        </x14:conditionalFormatting>
        <x14:conditionalFormatting xmlns:xm="http://schemas.microsoft.com/office/excel/2006/main">
          <x14:cfRule type="iconSet" priority="146" id="{B1DE3FF7-4729-4919-93D4-27D2C296882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G68:J68</xm:sqref>
        </x14:conditionalFormatting>
        <x14:conditionalFormatting xmlns:xm="http://schemas.microsoft.com/office/excel/2006/main">
          <x14:cfRule type="iconSet" priority="136" id="{0BBED701-8060-40A8-8E2C-EDFA071DD2A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G73:J78</xm:sqref>
        </x14:conditionalFormatting>
        <x14:conditionalFormatting xmlns:xm="http://schemas.microsoft.com/office/excel/2006/main">
          <x14:cfRule type="iconSet" priority="137" id="{C19B3723-EDBB-49AC-8BB0-D8C02CDEC75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G79:J79</xm:sqref>
        </x14:conditionalFormatting>
        <x14:conditionalFormatting xmlns:xm="http://schemas.microsoft.com/office/excel/2006/main">
          <x14:cfRule type="iconSet" priority="166" id="{DE88E2F1-EEF3-43CF-8C91-75CF8C2F31A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K38:N45</xm:sqref>
        </x14:conditionalFormatting>
        <x14:conditionalFormatting xmlns:xm="http://schemas.microsoft.com/office/excel/2006/main">
          <x14:cfRule type="iconSet" priority="152" id="{9B7145DE-2C38-4617-B792-8C825654E2E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K51:N56</xm:sqref>
        </x14:conditionalFormatting>
        <x14:conditionalFormatting xmlns:xm="http://schemas.microsoft.com/office/excel/2006/main">
          <x14:cfRule type="iconSet" priority="27" id="{9D1421A9-56AB-4DA4-A5A5-F55BDEC4978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K57:N57</xm:sqref>
        </x14:conditionalFormatting>
        <x14:conditionalFormatting xmlns:xm="http://schemas.microsoft.com/office/excel/2006/main">
          <x14:cfRule type="iconSet" priority="143" id="{8809FB75-4029-4621-A6CC-AF8BB13C341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K62:N67</xm:sqref>
        </x14:conditionalFormatting>
        <x14:conditionalFormatting xmlns:xm="http://schemas.microsoft.com/office/excel/2006/main">
          <x14:cfRule type="iconSet" priority="25" id="{D194DE1F-4665-4B89-961F-AA1DFAB97DA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K68:N68</xm:sqref>
        </x14:conditionalFormatting>
        <x14:conditionalFormatting xmlns:xm="http://schemas.microsoft.com/office/excel/2006/main">
          <x14:cfRule type="iconSet" priority="134" id="{66581A00-B653-4210-AD9D-A5487726284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K73:N78</xm:sqref>
        </x14:conditionalFormatting>
        <x14:conditionalFormatting xmlns:xm="http://schemas.microsoft.com/office/excel/2006/main">
          <x14:cfRule type="iconSet" priority="23" id="{9AA53243-9F82-47C7-8086-BF89EE7F365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K79:N79</xm:sqref>
        </x14:conditionalFormatting>
        <x14:conditionalFormatting xmlns:xm="http://schemas.microsoft.com/office/excel/2006/main">
          <x14:cfRule type="iconSet" priority="85" id="{86C01DF9-9455-426C-890F-D02CC790EFE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K46:W46</xm:sqref>
        </x14:conditionalFormatting>
        <x14:conditionalFormatting xmlns:xm="http://schemas.microsoft.com/office/excel/2006/main">
          <x14:cfRule type="iconSet" priority="162" id="{E3639D1E-FC9A-4B3A-B9B1-1E343E5F532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O38:R45</xm:sqref>
        </x14:conditionalFormatting>
        <x14:conditionalFormatting xmlns:xm="http://schemas.microsoft.com/office/excel/2006/main">
          <x14:cfRule type="iconSet" priority="150" id="{4684993A-A8EE-4CD8-93E7-4020858A724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O51:R56</xm:sqref>
        </x14:conditionalFormatting>
        <x14:conditionalFormatting xmlns:xm="http://schemas.microsoft.com/office/excel/2006/main">
          <x14:cfRule type="iconSet" priority="26" id="{E6E602A7-81C6-45C7-A4D4-E7A1BA075F8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O57:R57</xm:sqref>
        </x14:conditionalFormatting>
        <x14:conditionalFormatting xmlns:xm="http://schemas.microsoft.com/office/excel/2006/main">
          <x14:cfRule type="iconSet" priority="141" id="{46C8B190-B3CA-45A2-B8DE-E0654FFD7D2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O62:R67</xm:sqref>
        </x14:conditionalFormatting>
        <x14:conditionalFormatting xmlns:xm="http://schemas.microsoft.com/office/excel/2006/main">
          <x14:cfRule type="iconSet" priority="24" id="{AD79A132-91C3-4708-B488-97540EF4D03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O68:R68</xm:sqref>
        </x14:conditionalFormatting>
        <x14:conditionalFormatting xmlns:xm="http://schemas.microsoft.com/office/excel/2006/main">
          <x14:cfRule type="iconSet" priority="132" id="{7B222B7F-3888-47ED-82D3-8DE1140807B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O73:R78</xm:sqref>
        </x14:conditionalFormatting>
        <x14:conditionalFormatting xmlns:xm="http://schemas.microsoft.com/office/excel/2006/main">
          <x14:cfRule type="iconSet" priority="22" id="{283FB207-F11C-46A5-9E8D-A67C4733E17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O79:R79</xm:sqref>
        </x14:conditionalFormatting>
        <x14:conditionalFormatting xmlns:xm="http://schemas.microsoft.com/office/excel/2006/main">
          <x14:cfRule type="iconSet" priority="84" id="{969051C5-F9EB-4CCB-B579-9A849C94F724}">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S37</xm:sqref>
        </x14:conditionalFormatting>
        <x14:conditionalFormatting xmlns:xm="http://schemas.microsoft.com/office/excel/2006/main">
          <x14:cfRule type="iconSet" priority="83" id="{B8F7F54B-41C6-414F-A166-04E071E01A3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S38:S43 S45</xm:sqref>
        </x14:conditionalFormatting>
        <x14:conditionalFormatting xmlns:xm="http://schemas.microsoft.com/office/excel/2006/main">
          <x14:cfRule type="iconSet" priority="18" id="{1555FEE2-6326-4108-85E3-E6E65B0DBD9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S44</xm:sqref>
        </x14:conditionalFormatting>
        <x14:conditionalFormatting xmlns:xm="http://schemas.microsoft.com/office/excel/2006/main">
          <x14:cfRule type="iconSet" priority="48" id="{8EDA3C93-2162-4A03-AF3E-A91F5CE446D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S51</xm:sqref>
        </x14:conditionalFormatting>
        <x14:conditionalFormatting xmlns:xm="http://schemas.microsoft.com/office/excel/2006/main">
          <x14:cfRule type="iconSet" priority="47" id="{CA450261-F2B5-4F09-A1EB-C0140F930AA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S52</xm:sqref>
        </x14:conditionalFormatting>
        <x14:conditionalFormatting xmlns:xm="http://schemas.microsoft.com/office/excel/2006/main">
          <x14:cfRule type="iconSet" priority="46" id="{0D8947C4-3D7A-402D-97D7-4CB6D6C7470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S53</xm:sqref>
        </x14:conditionalFormatting>
        <x14:conditionalFormatting xmlns:xm="http://schemas.microsoft.com/office/excel/2006/main">
          <x14:cfRule type="iconSet" priority="45" id="{E5E5647A-E455-4041-A161-2AE1679B40A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S62</xm:sqref>
        </x14:conditionalFormatting>
        <x14:conditionalFormatting xmlns:xm="http://schemas.microsoft.com/office/excel/2006/main">
          <x14:cfRule type="iconSet" priority="44" id="{C53A7203-0EB4-4B98-B81C-A14F424F7185}">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S63:S66</xm:sqref>
        </x14:conditionalFormatting>
        <x14:conditionalFormatting xmlns:xm="http://schemas.microsoft.com/office/excel/2006/main">
          <x14:cfRule type="iconSet" priority="43" id="{0F5B24FD-C58B-48D7-B5E1-D03ADED5F81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S73:S78</xm:sqref>
        </x14:conditionalFormatting>
        <x14:conditionalFormatting xmlns:xm="http://schemas.microsoft.com/office/excel/2006/main">
          <x14:cfRule type="iconSet" priority="156" id="{77D318D2-E46A-47F1-960B-8B0E0F4D008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S54:W56</xm:sqref>
        </x14:conditionalFormatting>
        <x14:conditionalFormatting xmlns:xm="http://schemas.microsoft.com/office/excel/2006/main">
          <x14:cfRule type="iconSet" priority="147" id="{F65858C0-EE8F-4597-AE44-4887FB0D76D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S67:W67</xm:sqref>
        </x14:conditionalFormatting>
        <x14:conditionalFormatting xmlns:xm="http://schemas.microsoft.com/office/excel/2006/main">
          <x14:cfRule type="iconSet" priority="82" id="{9C5910C1-EB57-4439-86F0-1ABEADC008A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T37</xm:sqref>
        </x14:conditionalFormatting>
        <x14:conditionalFormatting xmlns:xm="http://schemas.microsoft.com/office/excel/2006/main">
          <x14:cfRule type="iconSet" priority="17" id="{FB8A98BA-7D07-4987-8CFF-BE653F15A5B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T44</xm:sqref>
        </x14:conditionalFormatting>
        <x14:conditionalFormatting xmlns:xm="http://schemas.microsoft.com/office/excel/2006/main">
          <x14:cfRule type="iconSet" priority="42" id="{A0DB78DA-D4DD-4A77-A424-3E7A3A957E2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T51:T53</xm:sqref>
        </x14:conditionalFormatting>
        <x14:conditionalFormatting xmlns:xm="http://schemas.microsoft.com/office/excel/2006/main">
          <x14:cfRule type="iconSet" priority="41" id="{6FA5ED48-4408-4A82-ACDB-1028A23E37F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T62:T66</xm:sqref>
        </x14:conditionalFormatting>
        <x14:conditionalFormatting xmlns:xm="http://schemas.microsoft.com/office/excel/2006/main">
          <x14:cfRule type="iconSet" priority="40" id="{98BC0DDA-E879-4688-BF49-E97BEAAF5179}">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T73:T78</xm:sqref>
        </x14:conditionalFormatting>
        <x14:conditionalFormatting xmlns:xm="http://schemas.microsoft.com/office/excel/2006/main">
          <x14:cfRule type="iconSet" priority="80" id="{CC4ED89B-7D64-44EE-89CB-E2867435311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U37</xm:sqref>
        </x14:conditionalFormatting>
        <x14:conditionalFormatting xmlns:xm="http://schemas.microsoft.com/office/excel/2006/main">
          <x14:cfRule type="iconSet" priority="79" id="{0B494168-3A62-4F96-8068-38B90F9D7483}">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U38:U43 U45</xm:sqref>
        </x14:conditionalFormatting>
        <x14:conditionalFormatting xmlns:xm="http://schemas.microsoft.com/office/excel/2006/main">
          <x14:cfRule type="iconSet" priority="16" id="{FA26C93E-0513-4918-B918-BB3AD7051C4D}">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U44</xm:sqref>
        </x14:conditionalFormatting>
        <x14:conditionalFormatting xmlns:xm="http://schemas.microsoft.com/office/excel/2006/main">
          <x14:cfRule type="iconSet" priority="39" id="{62724AFB-E501-4CC3-AA64-A0B3EDD2328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U51:U53</xm:sqref>
        </x14:conditionalFormatting>
        <x14:conditionalFormatting xmlns:xm="http://schemas.microsoft.com/office/excel/2006/main">
          <x14:cfRule type="iconSet" priority="38" id="{4EA349B1-E30B-4377-B8B3-161933DBA39A}">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U62:U66</xm:sqref>
        </x14:conditionalFormatting>
        <x14:conditionalFormatting xmlns:xm="http://schemas.microsoft.com/office/excel/2006/main">
          <x14:cfRule type="iconSet" priority="37" id="{D76FB067-4A15-48A1-ACF8-7080EE36780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U73:U78</xm:sqref>
        </x14:conditionalFormatting>
        <x14:conditionalFormatting xmlns:xm="http://schemas.microsoft.com/office/excel/2006/main">
          <x14:cfRule type="iconSet" priority="78" id="{B96044A9-63B3-4A82-BA15-1438CC803C8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V37</xm:sqref>
        </x14:conditionalFormatting>
        <x14:conditionalFormatting xmlns:xm="http://schemas.microsoft.com/office/excel/2006/main">
          <x14:cfRule type="iconSet" priority="77" id="{D5632D43-1AAB-477B-BCC6-5D2A6D72CF4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V38:V43 V45</xm:sqref>
        </x14:conditionalFormatting>
        <x14:conditionalFormatting xmlns:xm="http://schemas.microsoft.com/office/excel/2006/main">
          <x14:cfRule type="iconSet" priority="15" id="{0F68C854-9E97-4754-96D1-2C276565350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V44</xm:sqref>
        </x14:conditionalFormatting>
        <x14:conditionalFormatting xmlns:xm="http://schemas.microsoft.com/office/excel/2006/main">
          <x14:cfRule type="iconSet" priority="36" id="{4820E41C-D66A-4466-BD5F-A8992E6C2FF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V51</xm:sqref>
        </x14:conditionalFormatting>
        <x14:conditionalFormatting xmlns:xm="http://schemas.microsoft.com/office/excel/2006/main">
          <x14:cfRule type="iconSet" priority="35" id="{588B67CB-DAB6-43DD-9FA6-ED308EDFD5C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V52:V53</xm:sqref>
        </x14:conditionalFormatting>
        <x14:conditionalFormatting xmlns:xm="http://schemas.microsoft.com/office/excel/2006/main">
          <x14:cfRule type="iconSet" priority="34" id="{AE6FD801-16B9-4982-8B0F-CF8727C4791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V62:V66</xm:sqref>
        </x14:conditionalFormatting>
        <x14:conditionalFormatting xmlns:xm="http://schemas.microsoft.com/office/excel/2006/main">
          <x14:cfRule type="iconSet" priority="33" id="{E9349432-0E06-4878-BF3B-648761FD2EF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V73:V78</xm:sqref>
        </x14:conditionalFormatting>
        <x14:conditionalFormatting xmlns:xm="http://schemas.microsoft.com/office/excel/2006/main">
          <x14:cfRule type="iconSet" priority="76" id="{2606E651-B23B-43D3-9415-A61B4F751278}">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W37</xm:sqref>
        </x14:conditionalFormatting>
        <x14:conditionalFormatting xmlns:xm="http://schemas.microsoft.com/office/excel/2006/main">
          <x14:cfRule type="iconSet" priority="75" id="{3D0EBABB-5FC3-4E75-B701-FE160FF64E76}">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W38:W43 W45</xm:sqref>
        </x14:conditionalFormatting>
        <x14:conditionalFormatting xmlns:xm="http://schemas.microsoft.com/office/excel/2006/main">
          <x14:cfRule type="iconSet" priority="14" id="{E3EE6A37-B36C-426F-9490-BE7835159C1E}">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W44</xm:sqref>
        </x14:conditionalFormatting>
        <x14:conditionalFormatting xmlns:xm="http://schemas.microsoft.com/office/excel/2006/main">
          <x14:cfRule type="iconSet" priority="32" id="{C9D7B238-7FF1-4D43-9878-9B4303520630}">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W51</xm:sqref>
        </x14:conditionalFormatting>
        <x14:conditionalFormatting xmlns:xm="http://schemas.microsoft.com/office/excel/2006/main">
          <x14:cfRule type="iconSet" priority="31" id="{82D9C290-E527-467A-AAAD-5C030EE16931}">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W52:W53</xm:sqref>
        </x14:conditionalFormatting>
        <x14:conditionalFormatting xmlns:xm="http://schemas.microsoft.com/office/excel/2006/main">
          <x14:cfRule type="iconSet" priority="30" id="{79DEB1FB-795E-4944-A31E-018F703A642C}">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W62</xm:sqref>
        </x14:conditionalFormatting>
        <x14:conditionalFormatting xmlns:xm="http://schemas.microsoft.com/office/excel/2006/main">
          <x14:cfRule type="iconSet" priority="29" id="{CEB08E77-1377-4B84-B855-FEF096F1D202}">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W63:W66</xm:sqref>
        </x14:conditionalFormatting>
        <x14:conditionalFormatting xmlns:xm="http://schemas.microsoft.com/office/excel/2006/main">
          <x14:cfRule type="iconSet" priority="28" id="{7A583981-84FD-46EE-925C-372AE1F8C80F}">
            <x14:iconSet iconSet="4TrafficLights" custom="1">
              <x14:cfvo type="percent">
                <xm:f>0</xm:f>
              </x14:cfvo>
              <x14:cfvo type="num">
                <xm:f>0.25</xm:f>
              </x14:cfvo>
              <x14:cfvo type="num">
                <xm:f>0.5</xm:f>
              </x14:cfvo>
              <x14:cfvo type="num">
                <xm:f>0.75</xm:f>
              </x14:cfvo>
              <x14:cfIcon iconSet="3TrafficLights1" iconId="0"/>
              <x14:cfIcon iconSet="3Symbols" iconId="1"/>
              <x14:cfIcon iconSet="3TrafficLights1" iconId="1"/>
              <x14:cfIcon iconSet="3TrafficLights1" iconId="2"/>
            </x14:iconSet>
          </x14:cfRule>
          <xm:sqref>W73:W78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8" ma:contentTypeDescription="Crear nuevo documento." ma:contentTypeScope="" ma:versionID="8e6992f1d5b2544a3ac751ec6f4e0f44">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bb64f3f80fd60893d04c5c4517d57d19"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AutoKeyPoints" minOccurs="0"/>
                <xsd:element ref="ns4:MediaServiceKeyPoints" minOccurs="0"/>
                <xsd:element ref="ns4:MediaServiceGenerationTime" minOccurs="0"/>
                <xsd:element ref="ns4:MediaServiceEventHashCode" minOccurs="0"/>
                <xsd:element ref="ns4:_activity" minOccurs="0"/>
                <xsd:element ref="ns4:MediaServiceOCR" minOccurs="0"/>
                <xsd:element ref="ns4:MediaServiceObjectDetectorVersions" minOccurs="0"/>
                <xsd:element ref="ns4:MediaServiceSearchProperties" minOccurs="0"/>
                <xsd:element ref="ns4:MediaServiceSystemTag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Props1.xml><?xml version="1.0" encoding="utf-8"?>
<ds:datastoreItem xmlns:ds="http://schemas.openxmlformats.org/officeDocument/2006/customXml" ds:itemID="{6399DBCA-31BF-4C43-B66C-9819CAFE3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990BC4-8FB7-4993-9832-C6D07A0A21A9}">
  <ds:schemaRefs>
    <ds:schemaRef ds:uri="http://schemas.microsoft.com/sharepoint/v3/contenttype/forms"/>
  </ds:schemaRefs>
</ds:datastoreItem>
</file>

<file path=customXml/itemProps3.xml><?xml version="1.0" encoding="utf-8"?>
<ds:datastoreItem xmlns:ds="http://schemas.openxmlformats.org/officeDocument/2006/customXml" ds:itemID="{01D809A1-6581-4950-83F5-0AE80FBBAA0C}">
  <ds:schemaRefs>
    <ds:schemaRef ds:uri="http://schemas.openxmlformats.org/package/2006/metadata/core-properties"/>
    <ds:schemaRef ds:uri="http://schemas.microsoft.com/office/infopath/2007/PartnerControls"/>
    <ds:schemaRef ds:uri="c5d639e7-08af-42bc-b232-172a9ace2326"/>
    <ds:schemaRef ds:uri="http://purl.org/dc/dcmitype/"/>
    <ds:schemaRef ds:uri="http://schemas.microsoft.com/office/2006/documentManagement/types"/>
    <ds:schemaRef ds:uri="http://schemas.microsoft.com/office/2006/metadata/properties"/>
    <ds:schemaRef ds:uri="http://purl.org/dc/terms/"/>
    <ds:schemaRef ds:uri="http://www.w3.org/XML/1998/namespace"/>
    <ds:schemaRef ds:uri="8757c181-039b-4fd3-b5b4-f193ecef8269"/>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Consolidado</vt:lpstr>
      <vt:lpstr>Avances</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Escandon Lopez</dc:creator>
  <cp:keywords/>
  <dc:description/>
  <cp:lastModifiedBy>Diana Vitalia Vivas Perez</cp:lastModifiedBy>
  <cp:revision/>
  <dcterms:created xsi:type="dcterms:W3CDTF">2024-09-19T15:48:21Z</dcterms:created>
  <dcterms:modified xsi:type="dcterms:W3CDTF">2026-01-30T18:01:17Z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