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d.docs.live.net/0f1794a160567c76/Desktop/"/>
    </mc:Choice>
  </mc:AlternateContent>
  <xr:revisionPtr revIDLastSave="140" documentId="13_ncr:1_{484D0738-CFFC-4358-9162-6C0ED7A33C32}" xr6:coauthVersionLast="47" xr6:coauthVersionMax="47" xr10:uidLastSave="{1A3C3D50-7017-4825-B0E7-C42408C503B2}"/>
  <bookViews>
    <workbookView xWindow="-120" yWindow="-120" windowWidth="29040" windowHeight="15720" firstSheet="1" activeTab="6" xr2:uid="{00000000-000D-0000-FFFF-FFFF00000000}"/>
  </bookViews>
  <sheets>
    <sheet name="Distribución" sheetId="15" state="hidden" r:id="rId1"/>
    <sheet name="Fichas Técnicas" sheetId="8" r:id="rId2"/>
    <sheet name="Hoja1" sheetId="16" state="hidden" r:id="rId3"/>
    <sheet name="Bateria indicadores proceso" sheetId="2" state="hidden" r:id="rId4"/>
    <sheet name="Sheet1" sheetId="17" state="hidden" r:id="rId5"/>
    <sheet name="Hoja2" sheetId="18" state="hidden" r:id="rId6"/>
    <sheet name="Informe Avance Indi de proceso" sheetId="4" r:id="rId7"/>
    <sheet name="Tablero de Control" sheetId="5" r:id="rId8"/>
  </sheets>
  <definedNames>
    <definedName name="_xlnm._FilterDatabase" localSheetId="3" hidden="1">'Bateria indicadores proceso'!$A$3:$AT$87</definedName>
    <definedName name="_xlnm._FilterDatabase" localSheetId="6" hidden="1">'Informe Avance Indi de proceso'!$A$4:$AD$87</definedName>
    <definedName name="_xlnm.Print_Area" localSheetId="3">'Bateria indicadores proceso'!$B$3:$X$3</definedName>
    <definedName name="_xlnm.Print_Titles" localSheetId="3">'Bateria indicadores proceso'!$3:$3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4" l="1"/>
  <c r="Y56" i="4"/>
  <c r="AC69" i="2"/>
  <c r="AC67" i="2"/>
  <c r="AF32" i="2"/>
  <c r="AS87" i="2"/>
  <c r="AT87" i="2"/>
  <c r="AF87" i="2"/>
  <c r="AF83" i="2"/>
  <c r="AF69" i="2"/>
  <c r="AF67" i="2"/>
  <c r="AF4" i="2"/>
  <c r="AF9" i="2"/>
  <c r="AF8" i="2"/>
  <c r="AC9" i="2"/>
  <c r="AC8" i="2"/>
  <c r="S5" i="4"/>
  <c r="Y14" i="4"/>
  <c r="AF45" i="2"/>
  <c r="AF46" i="2"/>
  <c r="AS60" i="2"/>
  <c r="AS51" i="2"/>
  <c r="AS27" i="2"/>
  <c r="AT4" i="2"/>
  <c r="AS5" i="2"/>
  <c r="AS6" i="2"/>
  <c r="AS7" i="2"/>
  <c r="AS8" i="2"/>
  <c r="AS9" i="2"/>
  <c r="AS13" i="2"/>
  <c r="AS14" i="2"/>
  <c r="AS15" i="2"/>
  <c r="AS16" i="2"/>
  <c r="AS17" i="2"/>
  <c r="AS18" i="2"/>
  <c r="AS19" i="2"/>
  <c r="AS20" i="2"/>
  <c r="AS21" i="2"/>
  <c r="AS22" i="2"/>
  <c r="AS23" i="2"/>
  <c r="AS24" i="2"/>
  <c r="AS25" i="2"/>
  <c r="AS26" i="2"/>
  <c r="AS28" i="2"/>
  <c r="AS29" i="2"/>
  <c r="AS30" i="2"/>
  <c r="AS31" i="2"/>
  <c r="AS32" i="2"/>
  <c r="AS33" i="2"/>
  <c r="AS35" i="2"/>
  <c r="AS36" i="2"/>
  <c r="AS37" i="2"/>
  <c r="AS38" i="2"/>
  <c r="AS39" i="2"/>
  <c r="AS40" i="2"/>
  <c r="AS41" i="2"/>
  <c r="AS42" i="2"/>
  <c r="AS43" i="2"/>
  <c r="AS45" i="2"/>
  <c r="AS46" i="2"/>
  <c r="AS47" i="2"/>
  <c r="AS48" i="2"/>
  <c r="AS49" i="2"/>
  <c r="AS50" i="2"/>
  <c r="AS52" i="2"/>
  <c r="AS56" i="2"/>
  <c r="AS57" i="2"/>
  <c r="AS58" i="2"/>
  <c r="AS59" i="2"/>
  <c r="AS62" i="2"/>
  <c r="AS66" i="2"/>
  <c r="AS68" i="2"/>
  <c r="AS71" i="2"/>
  <c r="AS72" i="2"/>
  <c r="AS74" i="2"/>
  <c r="AS75" i="2"/>
  <c r="AS78" i="2"/>
  <c r="AS80" i="2"/>
  <c r="AS81" i="2"/>
  <c r="AS84" i="2"/>
  <c r="AS85" i="2"/>
  <c r="AS86" i="2"/>
  <c r="AF72" i="2"/>
  <c r="AF30" i="2" l="1"/>
  <c r="AF38" i="2"/>
  <c r="AF33" i="2"/>
  <c r="AF52" i="2"/>
  <c r="AF43" i="2"/>
  <c r="AD55" i="2"/>
  <c r="AE55" i="2"/>
  <c r="AF55" i="2"/>
  <c r="AD54" i="2"/>
  <c r="AE54" i="2"/>
  <c r="AF54" i="2"/>
  <c r="AC54" i="2"/>
  <c r="AS54" i="2" s="1"/>
  <c r="AD53" i="2"/>
  <c r="AE53" i="2"/>
  <c r="AF53" i="2"/>
  <c r="AF79" i="2"/>
  <c r="AF77" i="2"/>
  <c r="AF76" i="2"/>
  <c r="AF75" i="2"/>
  <c r="AC83" i="2"/>
  <c r="AS83" i="2" s="1"/>
  <c r="AC79" i="2"/>
  <c r="AS79" i="2" s="1"/>
  <c r="AC77" i="2"/>
  <c r="AS77" i="2" s="1"/>
  <c r="AC76" i="2"/>
  <c r="AS76" i="2" s="1"/>
  <c r="AF13" i="2"/>
  <c r="AF60" i="2"/>
  <c r="AC4" i="2"/>
  <c r="AS4" i="2" s="1"/>
  <c r="AC70" i="2" l="1"/>
  <c r="AS70" i="2" s="1"/>
  <c r="AF70" i="2"/>
  <c r="AF73" i="2"/>
  <c r="AC73" i="2"/>
  <c r="AS73" i="2" s="1"/>
  <c r="AB73" i="2"/>
  <c r="AF29" i="2"/>
  <c r="AF28" i="2"/>
  <c r="AF26" i="2"/>
  <c r="AF24" i="2"/>
  <c r="AD24" i="2"/>
  <c r="AF22" i="2"/>
  <c r="AF36" i="2"/>
  <c r="AC34" i="2"/>
  <c r="AS34" i="2" s="1"/>
  <c r="AS69" i="2"/>
  <c r="AS67" i="2"/>
  <c r="T57" i="4"/>
  <c r="T6" i="4"/>
  <c r="T7" i="4"/>
  <c r="T8" i="4"/>
  <c r="T9" i="4"/>
  <c r="T10" i="4"/>
  <c r="T14" i="4"/>
  <c r="T15" i="4"/>
  <c r="T16" i="4"/>
  <c r="T17" i="4"/>
  <c r="T18" i="4"/>
  <c r="T19" i="4"/>
  <c r="T20" i="4"/>
  <c r="T21" i="4"/>
  <c r="T22" i="4"/>
  <c r="T23" i="4"/>
  <c r="T24" i="4"/>
  <c r="T25" i="4"/>
  <c r="T27" i="4"/>
  <c r="T29" i="4"/>
  <c r="T30" i="4"/>
  <c r="T31" i="4"/>
  <c r="T33" i="4"/>
  <c r="T34" i="4"/>
  <c r="T35" i="4"/>
  <c r="T36" i="4"/>
  <c r="T37" i="4"/>
  <c r="T38" i="4"/>
  <c r="T39" i="4"/>
  <c r="T40" i="4"/>
  <c r="T41" i="4"/>
  <c r="T42" i="4"/>
  <c r="T43" i="4"/>
  <c r="T44" i="4"/>
  <c r="T46" i="4"/>
  <c r="T47" i="4"/>
  <c r="T48" i="4"/>
  <c r="T49" i="4"/>
  <c r="T50" i="4"/>
  <c r="T51" i="4"/>
  <c r="T52" i="4"/>
  <c r="T53" i="4"/>
  <c r="T58" i="4"/>
  <c r="T59" i="4"/>
  <c r="T60" i="4"/>
  <c r="T61" i="4"/>
  <c r="T63" i="4"/>
  <c r="AA6"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AA54" i="4"/>
  <c r="AA55" i="4"/>
  <c r="AA56" i="4"/>
  <c r="AA57" i="4"/>
  <c r="AA58" i="4"/>
  <c r="AA59" i="4"/>
  <c r="AA60" i="4"/>
  <c r="AA61" i="4"/>
  <c r="AA62" i="4"/>
  <c r="AA63" i="4"/>
  <c r="AA64" i="4"/>
  <c r="AA65" i="4"/>
  <c r="AA66" i="4"/>
  <c r="AA67" i="4"/>
  <c r="AA68" i="4"/>
  <c r="AA69" i="4"/>
  <c r="AA70" i="4"/>
  <c r="AA71" i="4"/>
  <c r="AA72" i="4"/>
  <c r="AA73" i="4"/>
  <c r="AA74" i="4"/>
  <c r="AA75" i="4"/>
  <c r="AA76" i="4"/>
  <c r="AA77" i="4"/>
  <c r="AA78" i="4"/>
  <c r="AA79" i="4"/>
  <c r="AA80" i="4"/>
  <c r="AA81" i="4"/>
  <c r="AA82" i="4"/>
  <c r="AA83" i="4"/>
  <c r="AA84" i="4"/>
  <c r="AA85" i="4"/>
  <c r="AA86" i="4"/>
  <c r="AA87" i="4"/>
  <c r="AA5" i="4"/>
  <c r="Y6" i="4"/>
  <c r="Y7" i="4"/>
  <c r="Y8" i="4"/>
  <c r="Y9" i="4"/>
  <c r="Y10" i="4"/>
  <c r="Y11" i="4"/>
  <c r="Y12" i="4"/>
  <c r="Y13" i="4"/>
  <c r="Y15" i="4"/>
  <c r="Y16" i="4"/>
  <c r="Y17" i="4"/>
  <c r="Y18" i="4"/>
  <c r="Y19" i="4"/>
  <c r="Y20" i="4"/>
  <c r="Y21" i="4"/>
  <c r="Y22" i="4"/>
  <c r="Y23" i="4"/>
  <c r="Y24" i="4"/>
  <c r="Y25" i="4"/>
  <c r="Y26" i="4"/>
  <c r="Y27" i="4"/>
  <c r="Y28" i="4"/>
  <c r="Y29" i="4"/>
  <c r="Y30" i="4"/>
  <c r="Y31" i="4"/>
  <c r="Y32" i="4"/>
  <c r="Y33" i="4"/>
  <c r="Y34" i="4"/>
  <c r="Y35" i="4"/>
  <c r="Y36" i="4"/>
  <c r="Y37" i="4"/>
  <c r="Y38" i="4"/>
  <c r="Y39" i="4"/>
  <c r="Y40" i="4"/>
  <c r="Y41" i="4"/>
  <c r="Y42" i="4"/>
  <c r="Y43" i="4"/>
  <c r="Y44" i="4"/>
  <c r="Y45" i="4"/>
  <c r="Y46" i="4"/>
  <c r="Y47" i="4"/>
  <c r="Y48" i="4"/>
  <c r="Y49" i="4"/>
  <c r="Y50" i="4"/>
  <c r="Y51" i="4"/>
  <c r="Y52" i="4"/>
  <c r="Y53" i="4"/>
  <c r="Y54" i="4"/>
  <c r="Y55" i="4"/>
  <c r="Y57" i="4"/>
  <c r="Y58" i="4"/>
  <c r="Y59" i="4"/>
  <c r="Y60" i="4"/>
  <c r="Y61" i="4"/>
  <c r="Y62" i="4"/>
  <c r="Y63" i="4"/>
  <c r="Y64" i="4"/>
  <c r="Y65" i="4"/>
  <c r="Y66" i="4"/>
  <c r="Y67" i="4"/>
  <c r="Y68" i="4"/>
  <c r="Y69" i="4"/>
  <c r="Y70" i="4"/>
  <c r="Y71" i="4"/>
  <c r="Y72" i="4"/>
  <c r="Y73" i="4"/>
  <c r="Y74" i="4"/>
  <c r="Y75" i="4"/>
  <c r="Y76" i="4"/>
  <c r="Y77" i="4"/>
  <c r="Y78" i="4"/>
  <c r="Y79" i="4"/>
  <c r="Y80" i="4"/>
  <c r="Y81" i="4"/>
  <c r="Y82" i="4"/>
  <c r="Y83" i="4"/>
  <c r="Y84" i="4"/>
  <c r="Y85" i="4"/>
  <c r="Y86" i="4"/>
  <c r="Y87" i="4"/>
  <c r="Y5" i="4"/>
  <c r="C2119" i="8" l="1"/>
  <c r="AC63" i="2"/>
  <c r="AS63" i="2" s="1"/>
  <c r="AB63" i="2"/>
  <c r="AB61" i="2"/>
  <c r="AC65" i="2"/>
  <c r="AS65" i="2" s="1"/>
  <c r="AC64" i="2"/>
  <c r="AF63" i="2"/>
  <c r="AT63" i="2" s="1"/>
  <c r="U64" i="4" s="1"/>
  <c r="AF80" i="2"/>
  <c r="S81" i="4" s="1"/>
  <c r="AF81" i="2"/>
  <c r="AT81" i="2" s="1"/>
  <c r="U82" i="4" s="1"/>
  <c r="AF62" i="2"/>
  <c r="S63" i="4" s="1"/>
  <c r="AF61" i="2"/>
  <c r="AC61" i="2"/>
  <c r="AC44" i="2"/>
  <c r="AC10" i="2"/>
  <c r="AC12" i="2"/>
  <c r="AC11" i="2"/>
  <c r="AC55" i="2"/>
  <c r="AS55" i="2" s="1"/>
  <c r="AC53" i="2"/>
  <c r="AS53" i="2" s="1"/>
  <c r="AT40" i="2"/>
  <c r="U41" i="4" s="1"/>
  <c r="AB9" i="2"/>
  <c r="AB8" i="2"/>
  <c r="O9" i="4" s="1"/>
  <c r="AB12" i="2"/>
  <c r="AB31" i="2"/>
  <c r="O32" i="4" s="1"/>
  <c r="AB58" i="2"/>
  <c r="AB83" i="2"/>
  <c r="T83" i="4" s="1"/>
  <c r="AB11" i="2"/>
  <c r="AB78" i="2"/>
  <c r="AB77" i="2"/>
  <c r="AB76" i="2"/>
  <c r="AB75" i="2"/>
  <c r="T76" i="4" s="1"/>
  <c r="AB27" i="2"/>
  <c r="AB25" i="2"/>
  <c r="AB57" i="2"/>
  <c r="AB56" i="2"/>
  <c r="AB55" i="2"/>
  <c r="O56" i="4" s="1"/>
  <c r="AB54" i="2"/>
  <c r="AB53" i="2"/>
  <c r="O54" i="4" s="1"/>
  <c r="AT5" i="2"/>
  <c r="U6" i="4" s="1"/>
  <c r="AT6" i="2"/>
  <c r="U7" i="4" s="1"/>
  <c r="AT7" i="2"/>
  <c r="U8" i="4" s="1"/>
  <c r="AT8" i="2"/>
  <c r="U9" i="4" s="1"/>
  <c r="AT9" i="2"/>
  <c r="U10" i="4" s="1"/>
  <c r="AT10" i="2"/>
  <c r="U11" i="4" s="1"/>
  <c r="AT13" i="2"/>
  <c r="U14" i="4" s="1"/>
  <c r="AT14" i="2"/>
  <c r="U15" i="4" s="1"/>
  <c r="AT15" i="2"/>
  <c r="U16" i="4" s="1"/>
  <c r="AT16" i="2"/>
  <c r="U17" i="4" s="1"/>
  <c r="AT17" i="2"/>
  <c r="U18" i="4" s="1"/>
  <c r="AT18" i="2"/>
  <c r="U19" i="4" s="1"/>
  <c r="AT19" i="2"/>
  <c r="U20" i="4" s="1"/>
  <c r="AT20" i="2"/>
  <c r="U21" i="4" s="1"/>
  <c r="AT21" i="2"/>
  <c r="U22" i="4" s="1"/>
  <c r="AT27" i="2"/>
  <c r="AT28" i="2"/>
  <c r="U29" i="4" s="1"/>
  <c r="AT29" i="2"/>
  <c r="U30" i="4" s="1"/>
  <c r="AT30" i="2"/>
  <c r="U31" i="4" s="1"/>
  <c r="AT31" i="2"/>
  <c r="AT33" i="2"/>
  <c r="U34" i="4" s="1"/>
  <c r="AT34" i="2"/>
  <c r="U35" i="4" s="1"/>
  <c r="AT35" i="2"/>
  <c r="U36" i="4" s="1"/>
  <c r="AT36" i="2"/>
  <c r="U37" i="4" s="1"/>
  <c r="AT37" i="2"/>
  <c r="U38" i="4" s="1"/>
  <c r="AT38" i="2"/>
  <c r="U39" i="4" s="1"/>
  <c r="AT39" i="2"/>
  <c r="U40" i="4" s="1"/>
  <c r="AT41" i="2"/>
  <c r="U42" i="4" s="1"/>
  <c r="AT42" i="2"/>
  <c r="U43" i="4" s="1"/>
  <c r="AT43" i="2"/>
  <c r="U44" i="4" s="1"/>
  <c r="AT44" i="2"/>
  <c r="U45" i="4" s="1"/>
  <c r="AT45" i="2"/>
  <c r="U46" i="4" s="1"/>
  <c r="AT46" i="2"/>
  <c r="U47" i="4" s="1"/>
  <c r="AT51" i="2"/>
  <c r="U52" i="4" s="1"/>
  <c r="AT52" i="2"/>
  <c r="U53" i="4" s="1"/>
  <c r="AT53" i="2"/>
  <c r="U54" i="4" s="1"/>
  <c r="AT54" i="2"/>
  <c r="U55" i="4" s="1"/>
  <c r="AT55" i="2"/>
  <c r="U56" i="4" s="1"/>
  <c r="AT57" i="2"/>
  <c r="U58" i="4" s="1"/>
  <c r="AT58" i="2"/>
  <c r="U59" i="4" s="1"/>
  <c r="AT59" i="2"/>
  <c r="U60" i="4" s="1"/>
  <c r="AT60" i="2"/>
  <c r="U61" i="4" s="1"/>
  <c r="AT61" i="2"/>
  <c r="U62" i="4" s="1"/>
  <c r="AT64" i="2"/>
  <c r="U65" i="4" s="1"/>
  <c r="T67" i="4"/>
  <c r="T68" i="4"/>
  <c r="T69" i="4"/>
  <c r="T71" i="4"/>
  <c r="AT70" i="2"/>
  <c r="U71" i="4" s="1"/>
  <c r="T72" i="4"/>
  <c r="AT71" i="2"/>
  <c r="U72" i="4" s="1"/>
  <c r="T73" i="4"/>
  <c r="AT72" i="2"/>
  <c r="U73" i="4" s="1"/>
  <c r="T74" i="4"/>
  <c r="AT73" i="2"/>
  <c r="U74" i="4" s="1"/>
  <c r="T75" i="4"/>
  <c r="AT74" i="2"/>
  <c r="U75" i="4" s="1"/>
  <c r="AT75" i="2"/>
  <c r="U76" i="4" s="1"/>
  <c r="T77" i="4"/>
  <c r="AT76" i="2"/>
  <c r="U77" i="4" s="1"/>
  <c r="T78" i="4"/>
  <c r="AT77" i="2"/>
  <c r="U78" i="4" s="1"/>
  <c r="T79" i="4"/>
  <c r="AT78" i="2"/>
  <c r="U79" i="4" s="1"/>
  <c r="T80" i="4"/>
  <c r="AT79" i="2"/>
  <c r="U80" i="4" s="1"/>
  <c r="T81" i="4"/>
  <c r="T82" i="4"/>
  <c r="AT83" i="2"/>
  <c r="U83" i="4" s="1"/>
  <c r="T84" i="4"/>
  <c r="AT84" i="2"/>
  <c r="U84" i="4" s="1"/>
  <c r="T85" i="4"/>
  <c r="AT85" i="2"/>
  <c r="U85" i="4" s="1"/>
  <c r="T86" i="4"/>
  <c r="AT86" i="2"/>
  <c r="U86" i="4" s="1"/>
  <c r="T87" i="4"/>
  <c r="U87" i="4"/>
  <c r="O87" i="4"/>
  <c r="P87" i="4"/>
  <c r="Q87" i="4"/>
  <c r="R87" i="4"/>
  <c r="S87" i="4"/>
  <c r="O6" i="4"/>
  <c r="P6" i="4"/>
  <c r="Q6" i="4"/>
  <c r="R6" i="4"/>
  <c r="S6" i="4"/>
  <c r="O7" i="4"/>
  <c r="P7" i="4"/>
  <c r="Q7" i="4"/>
  <c r="R7" i="4"/>
  <c r="S7" i="4"/>
  <c r="O8" i="4"/>
  <c r="P8" i="4"/>
  <c r="Q8" i="4"/>
  <c r="R8" i="4"/>
  <c r="S8" i="4"/>
  <c r="P9" i="4"/>
  <c r="Q9" i="4"/>
  <c r="R9" i="4"/>
  <c r="S9" i="4"/>
  <c r="O10" i="4"/>
  <c r="P10" i="4"/>
  <c r="Q10" i="4"/>
  <c r="R10" i="4"/>
  <c r="S10" i="4"/>
  <c r="O11" i="4"/>
  <c r="P11" i="4"/>
  <c r="Q11" i="4"/>
  <c r="R11" i="4"/>
  <c r="S11" i="4"/>
  <c r="O12" i="4"/>
  <c r="Q12" i="4"/>
  <c r="R12" i="4"/>
  <c r="O13" i="4"/>
  <c r="P13" i="4"/>
  <c r="Q13" i="4"/>
  <c r="R13" i="4"/>
  <c r="O14" i="4"/>
  <c r="P14" i="4"/>
  <c r="Q14" i="4"/>
  <c r="R14" i="4"/>
  <c r="S14" i="4"/>
  <c r="O15" i="4"/>
  <c r="P15" i="4"/>
  <c r="Q15" i="4"/>
  <c r="R15" i="4"/>
  <c r="S15" i="4"/>
  <c r="O16" i="4"/>
  <c r="P16" i="4"/>
  <c r="Q16" i="4"/>
  <c r="R16" i="4"/>
  <c r="S16" i="4"/>
  <c r="O17" i="4"/>
  <c r="P17" i="4"/>
  <c r="Q17" i="4"/>
  <c r="R17" i="4"/>
  <c r="S17" i="4"/>
  <c r="O18" i="4"/>
  <c r="P18" i="4"/>
  <c r="Q18" i="4"/>
  <c r="R18" i="4"/>
  <c r="S18" i="4"/>
  <c r="O19" i="4"/>
  <c r="P19" i="4"/>
  <c r="Q19" i="4"/>
  <c r="R19" i="4"/>
  <c r="S19" i="4"/>
  <c r="O20" i="4"/>
  <c r="P20" i="4"/>
  <c r="Q20" i="4"/>
  <c r="R20" i="4"/>
  <c r="S20" i="4"/>
  <c r="O21" i="4"/>
  <c r="P21" i="4"/>
  <c r="Q21" i="4"/>
  <c r="R21" i="4"/>
  <c r="S21" i="4"/>
  <c r="O22" i="4"/>
  <c r="P22" i="4"/>
  <c r="Q22" i="4"/>
  <c r="R22" i="4"/>
  <c r="S22" i="4"/>
  <c r="O23" i="4"/>
  <c r="P23" i="4"/>
  <c r="Q23" i="4"/>
  <c r="R23" i="4"/>
  <c r="O24" i="4"/>
  <c r="P24" i="4"/>
  <c r="Q24" i="4"/>
  <c r="R24" i="4"/>
  <c r="O25" i="4"/>
  <c r="P25" i="4"/>
  <c r="Q25" i="4"/>
  <c r="R25" i="4"/>
  <c r="O26" i="4"/>
  <c r="P26" i="4"/>
  <c r="Q26" i="4"/>
  <c r="R26" i="4"/>
  <c r="O27" i="4"/>
  <c r="P27" i="4"/>
  <c r="Q27" i="4"/>
  <c r="R27" i="4"/>
  <c r="S27" i="4"/>
  <c r="P28" i="4"/>
  <c r="Q28" i="4"/>
  <c r="R28" i="4"/>
  <c r="S28" i="4"/>
  <c r="O29" i="4"/>
  <c r="P29" i="4"/>
  <c r="Q29" i="4"/>
  <c r="R29" i="4"/>
  <c r="S29" i="4"/>
  <c r="O30" i="4"/>
  <c r="P30" i="4"/>
  <c r="Q30" i="4"/>
  <c r="R30" i="4"/>
  <c r="S30" i="4"/>
  <c r="O31" i="4"/>
  <c r="P31" i="4"/>
  <c r="Q31" i="4"/>
  <c r="R31" i="4"/>
  <c r="S31" i="4"/>
  <c r="P32" i="4"/>
  <c r="Q32" i="4"/>
  <c r="R32" i="4"/>
  <c r="O33" i="4"/>
  <c r="P33" i="4"/>
  <c r="Q33" i="4"/>
  <c r="R33" i="4"/>
  <c r="O34" i="4"/>
  <c r="P34" i="4"/>
  <c r="Q34" i="4"/>
  <c r="R34" i="4"/>
  <c r="S34" i="4"/>
  <c r="O35" i="4"/>
  <c r="P35" i="4"/>
  <c r="Q35" i="4"/>
  <c r="R35" i="4"/>
  <c r="S35" i="4"/>
  <c r="O36" i="4"/>
  <c r="P36" i="4"/>
  <c r="Q36" i="4"/>
  <c r="R36" i="4"/>
  <c r="S36" i="4"/>
  <c r="O37" i="4"/>
  <c r="P37" i="4"/>
  <c r="Q37" i="4"/>
  <c r="R37" i="4"/>
  <c r="S37" i="4"/>
  <c r="O38" i="4"/>
  <c r="P38" i="4"/>
  <c r="Q38" i="4"/>
  <c r="R38" i="4"/>
  <c r="S38" i="4"/>
  <c r="O39" i="4"/>
  <c r="P39" i="4"/>
  <c r="Q39" i="4"/>
  <c r="R39" i="4"/>
  <c r="S39" i="4"/>
  <c r="O40" i="4"/>
  <c r="P40" i="4"/>
  <c r="Q40" i="4"/>
  <c r="R40" i="4"/>
  <c r="S40" i="4"/>
  <c r="O41" i="4"/>
  <c r="P41" i="4"/>
  <c r="Q41" i="4"/>
  <c r="R41" i="4"/>
  <c r="S41" i="4"/>
  <c r="O42" i="4"/>
  <c r="P42" i="4"/>
  <c r="Q42" i="4"/>
  <c r="R42" i="4"/>
  <c r="S42" i="4"/>
  <c r="O43" i="4"/>
  <c r="P43" i="4"/>
  <c r="Q43" i="4"/>
  <c r="R43" i="4"/>
  <c r="S43" i="4"/>
  <c r="O44" i="4"/>
  <c r="P44" i="4"/>
  <c r="Q44" i="4"/>
  <c r="R44" i="4"/>
  <c r="S44" i="4"/>
  <c r="O45" i="4"/>
  <c r="P45" i="4"/>
  <c r="Q45" i="4"/>
  <c r="R45" i="4"/>
  <c r="S45" i="4"/>
  <c r="O46" i="4"/>
  <c r="P46" i="4"/>
  <c r="Q46" i="4"/>
  <c r="R46" i="4"/>
  <c r="S46" i="4"/>
  <c r="O47" i="4"/>
  <c r="P47" i="4"/>
  <c r="Q47" i="4"/>
  <c r="R47" i="4"/>
  <c r="S47" i="4"/>
  <c r="O48" i="4"/>
  <c r="P48" i="4"/>
  <c r="Q48" i="4"/>
  <c r="R48" i="4"/>
  <c r="S48" i="4"/>
  <c r="O49" i="4"/>
  <c r="P49" i="4"/>
  <c r="Q49" i="4"/>
  <c r="R49" i="4"/>
  <c r="S49" i="4"/>
  <c r="O50" i="4"/>
  <c r="P50" i="4"/>
  <c r="Q50" i="4"/>
  <c r="R50" i="4"/>
  <c r="S50" i="4"/>
  <c r="O51" i="4"/>
  <c r="P51" i="4"/>
  <c r="Q51" i="4"/>
  <c r="R51" i="4"/>
  <c r="S51" i="4"/>
  <c r="O52" i="4"/>
  <c r="P52" i="4"/>
  <c r="Q52" i="4"/>
  <c r="R52" i="4"/>
  <c r="S52" i="4"/>
  <c r="O53" i="4"/>
  <c r="P53" i="4"/>
  <c r="Q53" i="4"/>
  <c r="R53" i="4"/>
  <c r="S53" i="4"/>
  <c r="Q54" i="4"/>
  <c r="R54" i="4"/>
  <c r="S54" i="4"/>
  <c r="O55" i="4"/>
  <c r="P55" i="4"/>
  <c r="Q55" i="4"/>
  <c r="R55" i="4"/>
  <c r="S55" i="4"/>
  <c r="Q56" i="4"/>
  <c r="R56" i="4"/>
  <c r="S56" i="4"/>
  <c r="O57" i="4"/>
  <c r="P57" i="4"/>
  <c r="Q57" i="4"/>
  <c r="R57" i="4"/>
  <c r="S57" i="4"/>
  <c r="O58" i="4"/>
  <c r="P58" i="4"/>
  <c r="Q58" i="4"/>
  <c r="R58" i="4"/>
  <c r="S58" i="4"/>
  <c r="O59" i="4"/>
  <c r="P59" i="4"/>
  <c r="Q59" i="4"/>
  <c r="R59" i="4"/>
  <c r="S59" i="4"/>
  <c r="O60" i="4"/>
  <c r="P60" i="4"/>
  <c r="Q60" i="4"/>
  <c r="R60" i="4"/>
  <c r="S60" i="4"/>
  <c r="O61" i="4"/>
  <c r="P61" i="4"/>
  <c r="Q61" i="4"/>
  <c r="R61" i="4"/>
  <c r="S61" i="4"/>
  <c r="O62" i="4"/>
  <c r="P62" i="4"/>
  <c r="Q62" i="4"/>
  <c r="R62" i="4"/>
  <c r="S62" i="4"/>
  <c r="O63" i="4"/>
  <c r="P63" i="4"/>
  <c r="Q63" i="4"/>
  <c r="R63" i="4"/>
  <c r="O64" i="4"/>
  <c r="P64" i="4"/>
  <c r="Q64" i="4"/>
  <c r="R64" i="4"/>
  <c r="O65" i="4"/>
  <c r="P65" i="4"/>
  <c r="Q65" i="4"/>
  <c r="R65" i="4"/>
  <c r="S65" i="4"/>
  <c r="O66" i="4"/>
  <c r="P66" i="4"/>
  <c r="Q66" i="4"/>
  <c r="R66" i="4"/>
  <c r="O67" i="4"/>
  <c r="P67" i="4"/>
  <c r="Q67" i="4"/>
  <c r="R67" i="4"/>
  <c r="S67" i="4"/>
  <c r="O68" i="4"/>
  <c r="O69" i="4"/>
  <c r="P69" i="4"/>
  <c r="Q69" i="4"/>
  <c r="R69" i="4"/>
  <c r="S69" i="4"/>
  <c r="P70" i="4"/>
  <c r="Q70" i="4"/>
  <c r="R70" i="4"/>
  <c r="O71" i="4"/>
  <c r="P71" i="4"/>
  <c r="Q71" i="4"/>
  <c r="R71" i="4"/>
  <c r="S71" i="4"/>
  <c r="O72" i="4"/>
  <c r="P72" i="4"/>
  <c r="Q72" i="4"/>
  <c r="R72" i="4"/>
  <c r="S72" i="4"/>
  <c r="O73" i="4"/>
  <c r="P73" i="4"/>
  <c r="Q73" i="4"/>
  <c r="R73" i="4"/>
  <c r="S73" i="4"/>
  <c r="O74" i="4"/>
  <c r="P74" i="4"/>
  <c r="Q74" i="4"/>
  <c r="R74" i="4"/>
  <c r="S74" i="4"/>
  <c r="O75" i="4"/>
  <c r="P75" i="4"/>
  <c r="Q75" i="4"/>
  <c r="R75" i="4"/>
  <c r="S75" i="4"/>
  <c r="O76" i="4"/>
  <c r="P76" i="4"/>
  <c r="Q76" i="4"/>
  <c r="R76" i="4"/>
  <c r="S76" i="4"/>
  <c r="O77" i="4"/>
  <c r="P77" i="4"/>
  <c r="Q77" i="4"/>
  <c r="R77" i="4"/>
  <c r="S77" i="4"/>
  <c r="O78" i="4"/>
  <c r="P78" i="4"/>
  <c r="Q78" i="4"/>
  <c r="R78" i="4"/>
  <c r="S78" i="4"/>
  <c r="O79" i="4"/>
  <c r="P79" i="4"/>
  <c r="Q79" i="4"/>
  <c r="R79" i="4"/>
  <c r="S79" i="4"/>
  <c r="O80" i="4"/>
  <c r="P80" i="4"/>
  <c r="Q80" i="4"/>
  <c r="R80" i="4"/>
  <c r="S80" i="4"/>
  <c r="O81" i="4"/>
  <c r="P81" i="4"/>
  <c r="Q81" i="4"/>
  <c r="R81" i="4"/>
  <c r="O82" i="4"/>
  <c r="P82" i="4"/>
  <c r="Q82" i="4"/>
  <c r="R82" i="4"/>
  <c r="O83" i="4"/>
  <c r="P83" i="4"/>
  <c r="Q83" i="4"/>
  <c r="R83" i="4"/>
  <c r="S83" i="4"/>
  <c r="O84" i="4"/>
  <c r="P84" i="4"/>
  <c r="Q84" i="4"/>
  <c r="R84" i="4"/>
  <c r="S84" i="4"/>
  <c r="O85" i="4"/>
  <c r="P85" i="4"/>
  <c r="Q85" i="4"/>
  <c r="R85" i="4"/>
  <c r="S85" i="4"/>
  <c r="O86" i="4"/>
  <c r="P86" i="4"/>
  <c r="Q86" i="4"/>
  <c r="R86" i="4"/>
  <c r="S86" i="4"/>
  <c r="R5" i="4"/>
  <c r="Q5" i="4"/>
  <c r="P5" i="4"/>
  <c r="N5" i="4"/>
  <c r="J6" i="4"/>
  <c r="K6" i="4"/>
  <c r="L6" i="4"/>
  <c r="M6" i="4"/>
  <c r="N6" i="4"/>
  <c r="J7" i="4"/>
  <c r="K7" i="4"/>
  <c r="L7" i="4"/>
  <c r="M7" i="4"/>
  <c r="N7" i="4"/>
  <c r="J8" i="4"/>
  <c r="K8" i="4"/>
  <c r="L8" i="4"/>
  <c r="M8" i="4"/>
  <c r="N8" i="4"/>
  <c r="J9" i="4"/>
  <c r="K9" i="4"/>
  <c r="L9" i="4"/>
  <c r="M9" i="4"/>
  <c r="N9" i="4"/>
  <c r="J10" i="4"/>
  <c r="K10" i="4"/>
  <c r="L10" i="4"/>
  <c r="M10" i="4"/>
  <c r="N10" i="4"/>
  <c r="J11" i="4"/>
  <c r="K11" i="4"/>
  <c r="L11" i="4"/>
  <c r="M11" i="4"/>
  <c r="N11" i="4"/>
  <c r="J12" i="4"/>
  <c r="K12" i="4"/>
  <c r="L12" i="4"/>
  <c r="M12" i="4"/>
  <c r="N12" i="4"/>
  <c r="J13" i="4"/>
  <c r="K13" i="4"/>
  <c r="L13" i="4"/>
  <c r="M13" i="4"/>
  <c r="N13" i="4"/>
  <c r="J14" i="4"/>
  <c r="K14" i="4"/>
  <c r="L14" i="4"/>
  <c r="M14" i="4"/>
  <c r="N14" i="4"/>
  <c r="J15" i="4"/>
  <c r="K15" i="4"/>
  <c r="L15" i="4"/>
  <c r="M15" i="4"/>
  <c r="N15" i="4"/>
  <c r="J16" i="4"/>
  <c r="K16" i="4"/>
  <c r="L16" i="4"/>
  <c r="M16" i="4"/>
  <c r="N16" i="4"/>
  <c r="J17" i="4"/>
  <c r="K17" i="4"/>
  <c r="L17" i="4"/>
  <c r="M17" i="4"/>
  <c r="N17" i="4"/>
  <c r="J18" i="4"/>
  <c r="K18" i="4"/>
  <c r="L18" i="4"/>
  <c r="M18" i="4"/>
  <c r="N18" i="4"/>
  <c r="J19" i="4"/>
  <c r="K19" i="4"/>
  <c r="L19" i="4"/>
  <c r="M19" i="4"/>
  <c r="N19" i="4"/>
  <c r="J20" i="4"/>
  <c r="K20" i="4"/>
  <c r="L20" i="4"/>
  <c r="M20" i="4"/>
  <c r="N20" i="4"/>
  <c r="J21" i="4"/>
  <c r="K21" i="4"/>
  <c r="L21" i="4"/>
  <c r="M21" i="4"/>
  <c r="N21" i="4"/>
  <c r="J22" i="4"/>
  <c r="K22" i="4"/>
  <c r="L22" i="4"/>
  <c r="M22" i="4"/>
  <c r="N22" i="4"/>
  <c r="J23" i="4"/>
  <c r="K23" i="4"/>
  <c r="L23" i="4"/>
  <c r="M23" i="4"/>
  <c r="J24" i="4"/>
  <c r="K24" i="4"/>
  <c r="L24" i="4"/>
  <c r="M24" i="4"/>
  <c r="N24" i="4"/>
  <c r="J25" i="4"/>
  <c r="K25" i="4"/>
  <c r="L25" i="4"/>
  <c r="M25" i="4"/>
  <c r="J26" i="4"/>
  <c r="K26" i="4"/>
  <c r="L26" i="4"/>
  <c r="M26" i="4"/>
  <c r="J27" i="4"/>
  <c r="K27" i="4"/>
  <c r="L27" i="4"/>
  <c r="M27" i="4"/>
  <c r="J28" i="4"/>
  <c r="K28" i="4"/>
  <c r="L28" i="4"/>
  <c r="M28" i="4"/>
  <c r="N28" i="4"/>
  <c r="J29" i="4"/>
  <c r="K29" i="4"/>
  <c r="L29" i="4"/>
  <c r="M29" i="4"/>
  <c r="N29" i="4"/>
  <c r="J30" i="4"/>
  <c r="K30" i="4"/>
  <c r="L30" i="4"/>
  <c r="M30" i="4"/>
  <c r="N30" i="4"/>
  <c r="J31" i="4"/>
  <c r="K31" i="4"/>
  <c r="L31" i="4"/>
  <c r="M31" i="4"/>
  <c r="N31" i="4"/>
  <c r="J32" i="4"/>
  <c r="K32" i="4"/>
  <c r="L32" i="4"/>
  <c r="M32" i="4"/>
  <c r="N32" i="4"/>
  <c r="J33" i="4"/>
  <c r="K33" i="4"/>
  <c r="L33" i="4"/>
  <c r="M33" i="4"/>
  <c r="J34" i="4"/>
  <c r="K34" i="4"/>
  <c r="L34" i="4"/>
  <c r="M34" i="4"/>
  <c r="N34" i="4"/>
  <c r="J35" i="4"/>
  <c r="K35" i="4"/>
  <c r="L35" i="4"/>
  <c r="M35" i="4"/>
  <c r="N35" i="4"/>
  <c r="J36" i="4"/>
  <c r="K36" i="4"/>
  <c r="L36" i="4"/>
  <c r="M36" i="4"/>
  <c r="N36" i="4"/>
  <c r="J37" i="4"/>
  <c r="K37" i="4"/>
  <c r="L37" i="4"/>
  <c r="M37" i="4"/>
  <c r="N37" i="4"/>
  <c r="J38" i="4"/>
  <c r="K38" i="4"/>
  <c r="L38" i="4"/>
  <c r="M38" i="4"/>
  <c r="N38" i="4"/>
  <c r="J39" i="4"/>
  <c r="K39" i="4"/>
  <c r="L39" i="4"/>
  <c r="M39" i="4"/>
  <c r="N39" i="4"/>
  <c r="J40" i="4"/>
  <c r="K40" i="4"/>
  <c r="L40" i="4"/>
  <c r="M40" i="4"/>
  <c r="N40" i="4"/>
  <c r="J41" i="4"/>
  <c r="K41" i="4"/>
  <c r="L41" i="4"/>
  <c r="M41" i="4"/>
  <c r="N41" i="4"/>
  <c r="J42" i="4"/>
  <c r="K42" i="4"/>
  <c r="L42" i="4"/>
  <c r="M42" i="4"/>
  <c r="N42" i="4"/>
  <c r="J43" i="4"/>
  <c r="K43" i="4"/>
  <c r="L43" i="4"/>
  <c r="M43" i="4"/>
  <c r="N43" i="4"/>
  <c r="J44" i="4"/>
  <c r="K44" i="4"/>
  <c r="L44" i="4"/>
  <c r="M44" i="4"/>
  <c r="N44" i="4"/>
  <c r="J45" i="4"/>
  <c r="K45" i="4"/>
  <c r="L45" i="4"/>
  <c r="M45" i="4"/>
  <c r="N45" i="4"/>
  <c r="J46" i="4"/>
  <c r="K46" i="4"/>
  <c r="L46" i="4"/>
  <c r="M46" i="4"/>
  <c r="N46" i="4"/>
  <c r="J47" i="4"/>
  <c r="K47" i="4"/>
  <c r="L47" i="4"/>
  <c r="M47" i="4"/>
  <c r="N47" i="4"/>
  <c r="J48" i="4"/>
  <c r="K48" i="4"/>
  <c r="L48" i="4"/>
  <c r="M48" i="4"/>
  <c r="J49" i="4"/>
  <c r="K49" i="4"/>
  <c r="L49" i="4"/>
  <c r="M49" i="4"/>
  <c r="J50" i="4"/>
  <c r="K50" i="4"/>
  <c r="L50" i="4"/>
  <c r="M50" i="4"/>
  <c r="J51" i="4"/>
  <c r="K51" i="4"/>
  <c r="L51" i="4"/>
  <c r="M51" i="4"/>
  <c r="J52" i="4"/>
  <c r="K52" i="4"/>
  <c r="L52" i="4"/>
  <c r="M52" i="4"/>
  <c r="N52" i="4"/>
  <c r="J53" i="4"/>
  <c r="K53" i="4"/>
  <c r="L53" i="4"/>
  <c r="M53" i="4"/>
  <c r="N53" i="4"/>
  <c r="J54" i="4"/>
  <c r="K54" i="4"/>
  <c r="L54" i="4"/>
  <c r="M54" i="4"/>
  <c r="N54" i="4"/>
  <c r="J55" i="4"/>
  <c r="K55" i="4"/>
  <c r="L55" i="4"/>
  <c r="M55" i="4"/>
  <c r="N55" i="4"/>
  <c r="J56" i="4"/>
  <c r="K56" i="4"/>
  <c r="L56" i="4"/>
  <c r="M56" i="4"/>
  <c r="N56" i="4"/>
  <c r="J57" i="4"/>
  <c r="K57" i="4"/>
  <c r="L57" i="4"/>
  <c r="M57" i="4"/>
  <c r="J58" i="4"/>
  <c r="K58" i="4"/>
  <c r="L58" i="4"/>
  <c r="M58" i="4"/>
  <c r="N58" i="4"/>
  <c r="J59" i="4"/>
  <c r="K59" i="4"/>
  <c r="L59" i="4"/>
  <c r="M59" i="4"/>
  <c r="N59" i="4"/>
  <c r="J60" i="4"/>
  <c r="K60" i="4"/>
  <c r="L60" i="4"/>
  <c r="M60" i="4"/>
  <c r="N60" i="4"/>
  <c r="J61" i="4"/>
  <c r="K61" i="4"/>
  <c r="L61" i="4"/>
  <c r="M61" i="4"/>
  <c r="N61" i="4"/>
  <c r="J62" i="4"/>
  <c r="K62" i="4"/>
  <c r="L62" i="4"/>
  <c r="M62" i="4"/>
  <c r="N62" i="4"/>
  <c r="J63" i="4"/>
  <c r="K63" i="4"/>
  <c r="L63" i="4"/>
  <c r="M63" i="4"/>
  <c r="J64" i="4"/>
  <c r="K64" i="4"/>
  <c r="L64" i="4"/>
  <c r="M64" i="4"/>
  <c r="N64" i="4"/>
  <c r="J65" i="4"/>
  <c r="K65" i="4"/>
  <c r="L65" i="4"/>
  <c r="M65" i="4"/>
  <c r="N65" i="4"/>
  <c r="J66" i="4"/>
  <c r="K66" i="4"/>
  <c r="L66" i="4"/>
  <c r="M66" i="4"/>
  <c r="N66" i="4"/>
  <c r="J67" i="4"/>
  <c r="K67" i="4"/>
  <c r="L67" i="4"/>
  <c r="M67" i="4"/>
  <c r="J68" i="4"/>
  <c r="K68" i="4"/>
  <c r="L68" i="4"/>
  <c r="M68" i="4"/>
  <c r="N68" i="4"/>
  <c r="J69" i="4"/>
  <c r="K69" i="4"/>
  <c r="L69" i="4"/>
  <c r="M69" i="4"/>
  <c r="J70" i="4"/>
  <c r="K70" i="4"/>
  <c r="L70" i="4"/>
  <c r="M70" i="4"/>
  <c r="N70" i="4"/>
  <c r="J71" i="4"/>
  <c r="K71" i="4"/>
  <c r="L71" i="4"/>
  <c r="M71" i="4"/>
  <c r="N71" i="4"/>
  <c r="J72" i="4"/>
  <c r="K72" i="4"/>
  <c r="L72" i="4"/>
  <c r="M72" i="4"/>
  <c r="N72" i="4"/>
  <c r="J73" i="4"/>
  <c r="K73" i="4"/>
  <c r="L73" i="4"/>
  <c r="M73" i="4"/>
  <c r="N73" i="4"/>
  <c r="J74" i="4"/>
  <c r="K74" i="4"/>
  <c r="L74" i="4"/>
  <c r="M74" i="4"/>
  <c r="N74" i="4"/>
  <c r="J75" i="4"/>
  <c r="K75" i="4"/>
  <c r="L75" i="4"/>
  <c r="M75" i="4"/>
  <c r="N75" i="4"/>
  <c r="J76" i="4"/>
  <c r="K76" i="4"/>
  <c r="L76" i="4"/>
  <c r="M76" i="4"/>
  <c r="N76" i="4"/>
  <c r="J77" i="4"/>
  <c r="K77" i="4"/>
  <c r="L77" i="4"/>
  <c r="M77" i="4"/>
  <c r="N77" i="4"/>
  <c r="J78" i="4"/>
  <c r="K78" i="4"/>
  <c r="L78" i="4"/>
  <c r="M78" i="4"/>
  <c r="N78" i="4"/>
  <c r="J79" i="4"/>
  <c r="K79" i="4"/>
  <c r="L79" i="4"/>
  <c r="M79" i="4"/>
  <c r="N79" i="4"/>
  <c r="J80" i="4"/>
  <c r="K80" i="4"/>
  <c r="L80" i="4"/>
  <c r="M80" i="4"/>
  <c r="N80" i="4"/>
  <c r="J81" i="4"/>
  <c r="K81" i="4"/>
  <c r="L81" i="4"/>
  <c r="M81" i="4"/>
  <c r="J82" i="4"/>
  <c r="K82" i="4"/>
  <c r="L82" i="4"/>
  <c r="M82" i="4"/>
  <c r="N82" i="4"/>
  <c r="J83" i="4"/>
  <c r="K83" i="4"/>
  <c r="L83" i="4"/>
  <c r="M83" i="4"/>
  <c r="N83" i="4"/>
  <c r="J84" i="4"/>
  <c r="K84" i="4"/>
  <c r="L84" i="4"/>
  <c r="M84" i="4"/>
  <c r="N84" i="4"/>
  <c r="J85" i="4"/>
  <c r="K85" i="4"/>
  <c r="L85" i="4"/>
  <c r="M85" i="4"/>
  <c r="N85" i="4"/>
  <c r="J86" i="4"/>
  <c r="K86" i="4"/>
  <c r="L86" i="4"/>
  <c r="M86" i="4"/>
  <c r="N86" i="4"/>
  <c r="J87" i="4"/>
  <c r="K87" i="4"/>
  <c r="L87" i="4"/>
  <c r="M87" i="4"/>
  <c r="N87" i="4"/>
  <c r="M5" i="4"/>
  <c r="L5" i="4"/>
  <c r="K5" i="4"/>
  <c r="J5" i="4"/>
  <c r="B6" i="4"/>
  <c r="C6" i="4"/>
  <c r="E6" i="4"/>
  <c r="F6" i="4"/>
  <c r="G6" i="4"/>
  <c r="H6" i="4"/>
  <c r="I6" i="4"/>
  <c r="B7" i="4"/>
  <c r="C7" i="4"/>
  <c r="D7" i="4"/>
  <c r="E7" i="4"/>
  <c r="F7" i="4"/>
  <c r="V7" i="4" s="1"/>
  <c r="G7" i="4"/>
  <c r="H7" i="4"/>
  <c r="I7" i="4"/>
  <c r="B8" i="4"/>
  <c r="C8" i="4"/>
  <c r="D8" i="4"/>
  <c r="E8" i="4"/>
  <c r="F8" i="4"/>
  <c r="V8" i="4" s="1"/>
  <c r="G8" i="4"/>
  <c r="H8" i="4"/>
  <c r="I8" i="4"/>
  <c r="B9" i="4"/>
  <c r="C9" i="4"/>
  <c r="D9" i="4"/>
  <c r="E9" i="4"/>
  <c r="F9" i="4"/>
  <c r="V9" i="4" s="1"/>
  <c r="G9" i="4"/>
  <c r="H9" i="4"/>
  <c r="I9" i="4"/>
  <c r="B10" i="4"/>
  <c r="C10" i="4"/>
  <c r="D10" i="4"/>
  <c r="E10" i="4"/>
  <c r="F10" i="4"/>
  <c r="G10" i="4"/>
  <c r="H10" i="4"/>
  <c r="I10" i="4"/>
  <c r="B11" i="4"/>
  <c r="C11" i="4"/>
  <c r="D11" i="4"/>
  <c r="E11" i="4"/>
  <c r="F11" i="4"/>
  <c r="G11" i="4"/>
  <c r="H11" i="4"/>
  <c r="I11" i="4"/>
  <c r="B12" i="4"/>
  <c r="C12" i="4"/>
  <c r="D12" i="4"/>
  <c r="E12" i="4"/>
  <c r="F12" i="4"/>
  <c r="G12" i="4"/>
  <c r="H12" i="4"/>
  <c r="I12" i="4"/>
  <c r="B13" i="4"/>
  <c r="C13" i="4"/>
  <c r="D13" i="4"/>
  <c r="E13" i="4"/>
  <c r="F13" i="4"/>
  <c r="G13" i="4"/>
  <c r="H13" i="4"/>
  <c r="I13" i="4"/>
  <c r="B14" i="4"/>
  <c r="C14" i="4"/>
  <c r="D14" i="4"/>
  <c r="E14" i="4"/>
  <c r="F14" i="4"/>
  <c r="G14" i="4"/>
  <c r="H14" i="4"/>
  <c r="I14" i="4"/>
  <c r="B15" i="4"/>
  <c r="C15" i="4"/>
  <c r="D15" i="4"/>
  <c r="E15" i="4"/>
  <c r="F15" i="4"/>
  <c r="V15" i="4" s="1"/>
  <c r="G15" i="4"/>
  <c r="H15" i="4"/>
  <c r="I15" i="4"/>
  <c r="B16" i="4"/>
  <c r="C16" i="4"/>
  <c r="D16" i="4"/>
  <c r="E16" i="4"/>
  <c r="F16" i="4"/>
  <c r="G16" i="4"/>
  <c r="H16" i="4"/>
  <c r="I16" i="4"/>
  <c r="B17" i="4"/>
  <c r="C17" i="4"/>
  <c r="D17" i="4"/>
  <c r="E17" i="4"/>
  <c r="F17" i="4"/>
  <c r="V17" i="4" s="1"/>
  <c r="G17" i="4"/>
  <c r="H17" i="4"/>
  <c r="I17" i="4"/>
  <c r="B18" i="4"/>
  <c r="C18" i="4"/>
  <c r="D18" i="4"/>
  <c r="E18" i="4"/>
  <c r="F18" i="4"/>
  <c r="V18" i="4" s="1"/>
  <c r="G18" i="4"/>
  <c r="H18" i="4"/>
  <c r="I18" i="4"/>
  <c r="B19" i="4"/>
  <c r="C19" i="4"/>
  <c r="D19" i="4"/>
  <c r="E19" i="4"/>
  <c r="F19" i="4"/>
  <c r="G19" i="4"/>
  <c r="H19" i="4"/>
  <c r="I19" i="4"/>
  <c r="B20" i="4"/>
  <c r="C20" i="4"/>
  <c r="D20" i="4"/>
  <c r="E20" i="4"/>
  <c r="F20" i="4"/>
  <c r="V20" i="4" s="1"/>
  <c r="G20" i="4"/>
  <c r="H20" i="4"/>
  <c r="I20" i="4"/>
  <c r="B21" i="4"/>
  <c r="C21" i="4"/>
  <c r="D21" i="4"/>
  <c r="E21" i="4"/>
  <c r="F21" i="4"/>
  <c r="V21" i="4" s="1"/>
  <c r="G21" i="4"/>
  <c r="H21" i="4"/>
  <c r="I21" i="4"/>
  <c r="B22" i="4"/>
  <c r="C22" i="4"/>
  <c r="D22" i="4"/>
  <c r="E22" i="4"/>
  <c r="F22" i="4"/>
  <c r="G22" i="4"/>
  <c r="H22" i="4"/>
  <c r="I22" i="4"/>
  <c r="B23" i="4"/>
  <c r="C23" i="4"/>
  <c r="D23" i="4"/>
  <c r="E23" i="4"/>
  <c r="F23" i="4"/>
  <c r="V23" i="4" s="1"/>
  <c r="G23" i="4"/>
  <c r="H23" i="4"/>
  <c r="I23" i="4"/>
  <c r="B24" i="4"/>
  <c r="C24" i="4"/>
  <c r="D24" i="4"/>
  <c r="E24" i="4"/>
  <c r="F24" i="4"/>
  <c r="V24" i="4" s="1"/>
  <c r="G24" i="4"/>
  <c r="H24" i="4"/>
  <c r="I24" i="4"/>
  <c r="B25" i="4"/>
  <c r="C25" i="4"/>
  <c r="D25" i="4"/>
  <c r="E25" i="4"/>
  <c r="F25" i="4"/>
  <c r="G25" i="4"/>
  <c r="H25" i="4"/>
  <c r="I25" i="4"/>
  <c r="B26" i="4"/>
  <c r="C26" i="4"/>
  <c r="D26" i="4"/>
  <c r="E26" i="4"/>
  <c r="F26" i="4"/>
  <c r="G26" i="4"/>
  <c r="H26" i="4"/>
  <c r="I26" i="4"/>
  <c r="B27" i="4"/>
  <c r="C27" i="4"/>
  <c r="D27" i="4"/>
  <c r="E27" i="4"/>
  <c r="F27" i="4"/>
  <c r="V27" i="4" s="1"/>
  <c r="G27" i="4"/>
  <c r="H27" i="4"/>
  <c r="I27" i="4"/>
  <c r="B28" i="4"/>
  <c r="C28" i="4"/>
  <c r="D28" i="4"/>
  <c r="E28" i="4"/>
  <c r="F28" i="4"/>
  <c r="G28" i="4"/>
  <c r="H28" i="4"/>
  <c r="I28" i="4"/>
  <c r="B29" i="4"/>
  <c r="C29" i="4"/>
  <c r="D29" i="4"/>
  <c r="E29" i="4"/>
  <c r="F29" i="4"/>
  <c r="G29" i="4"/>
  <c r="H29" i="4"/>
  <c r="I29" i="4"/>
  <c r="B30" i="4"/>
  <c r="C30" i="4"/>
  <c r="D30" i="4"/>
  <c r="E30" i="4"/>
  <c r="F30" i="4"/>
  <c r="G30" i="4"/>
  <c r="H30" i="4"/>
  <c r="I30" i="4"/>
  <c r="B31" i="4"/>
  <c r="C31" i="4"/>
  <c r="D31" i="4"/>
  <c r="E31" i="4"/>
  <c r="F31" i="4"/>
  <c r="G31" i="4"/>
  <c r="H31" i="4"/>
  <c r="I31" i="4"/>
  <c r="B32" i="4"/>
  <c r="C32" i="4"/>
  <c r="D32" i="4"/>
  <c r="E32" i="4"/>
  <c r="F32" i="4"/>
  <c r="V32" i="4" s="1"/>
  <c r="G32" i="4"/>
  <c r="H32" i="4"/>
  <c r="I32" i="4"/>
  <c r="B33" i="4"/>
  <c r="C33" i="4"/>
  <c r="D33" i="4"/>
  <c r="E33" i="4"/>
  <c r="F33" i="4"/>
  <c r="V33" i="4" s="1"/>
  <c r="G33" i="4"/>
  <c r="H33" i="4"/>
  <c r="I33" i="4"/>
  <c r="B34" i="4"/>
  <c r="C34" i="4"/>
  <c r="D34" i="4"/>
  <c r="E34" i="4"/>
  <c r="F34" i="4"/>
  <c r="G34" i="4"/>
  <c r="H34" i="4"/>
  <c r="I34" i="4"/>
  <c r="B35" i="4"/>
  <c r="C35" i="4"/>
  <c r="D35" i="4"/>
  <c r="E35" i="4"/>
  <c r="F35" i="4"/>
  <c r="V35" i="4" s="1"/>
  <c r="G35" i="4"/>
  <c r="H35" i="4"/>
  <c r="I35" i="4"/>
  <c r="B36" i="4"/>
  <c r="C36" i="4"/>
  <c r="D36" i="4"/>
  <c r="E36" i="4"/>
  <c r="F36" i="4"/>
  <c r="V36" i="4" s="1"/>
  <c r="G36" i="4"/>
  <c r="H36" i="4"/>
  <c r="I36" i="4"/>
  <c r="B37" i="4"/>
  <c r="C37" i="4"/>
  <c r="D37" i="4"/>
  <c r="E37" i="4"/>
  <c r="F37" i="4"/>
  <c r="G37" i="4"/>
  <c r="H37" i="4"/>
  <c r="I37" i="4"/>
  <c r="B38" i="4"/>
  <c r="C38" i="4"/>
  <c r="D38" i="4"/>
  <c r="E38" i="4"/>
  <c r="F38" i="4"/>
  <c r="V38" i="4" s="1"/>
  <c r="G38" i="4"/>
  <c r="H38" i="4"/>
  <c r="I38" i="4"/>
  <c r="B39" i="4"/>
  <c r="C39" i="4"/>
  <c r="D39" i="4"/>
  <c r="E39" i="4"/>
  <c r="F39" i="4"/>
  <c r="G39" i="4"/>
  <c r="H39" i="4"/>
  <c r="I39" i="4"/>
  <c r="B40" i="4"/>
  <c r="C40" i="4"/>
  <c r="D40" i="4"/>
  <c r="E40" i="4"/>
  <c r="F40" i="4"/>
  <c r="G40" i="4"/>
  <c r="H40" i="4"/>
  <c r="I40" i="4"/>
  <c r="B41" i="4"/>
  <c r="C41" i="4"/>
  <c r="D41" i="4"/>
  <c r="E41" i="4"/>
  <c r="F41" i="4"/>
  <c r="G41" i="4"/>
  <c r="H41" i="4"/>
  <c r="I41" i="4"/>
  <c r="B42" i="4"/>
  <c r="C42" i="4"/>
  <c r="D42" i="4"/>
  <c r="E42" i="4"/>
  <c r="F42" i="4"/>
  <c r="G42" i="4"/>
  <c r="H42" i="4"/>
  <c r="I42" i="4"/>
  <c r="B43" i="4"/>
  <c r="C43" i="4"/>
  <c r="D43" i="4"/>
  <c r="E43" i="4"/>
  <c r="F43" i="4"/>
  <c r="V43" i="4" s="1"/>
  <c r="G43" i="4"/>
  <c r="H43" i="4"/>
  <c r="I43" i="4"/>
  <c r="B44" i="4"/>
  <c r="C44" i="4"/>
  <c r="D44" i="4"/>
  <c r="E44" i="4"/>
  <c r="F44" i="4"/>
  <c r="V44" i="4" s="1"/>
  <c r="G44" i="4"/>
  <c r="H44" i="4"/>
  <c r="I44" i="4"/>
  <c r="B45" i="4"/>
  <c r="C45" i="4"/>
  <c r="D45" i="4"/>
  <c r="E45" i="4"/>
  <c r="F45" i="4"/>
  <c r="G45" i="4"/>
  <c r="H45" i="4"/>
  <c r="I45" i="4"/>
  <c r="B46" i="4"/>
  <c r="C46" i="4"/>
  <c r="D46" i="4"/>
  <c r="E46" i="4"/>
  <c r="F46" i="4"/>
  <c r="V46" i="4" s="1"/>
  <c r="G46" i="4"/>
  <c r="H46" i="4"/>
  <c r="I46" i="4"/>
  <c r="B47" i="4"/>
  <c r="C47" i="4"/>
  <c r="D47" i="4"/>
  <c r="E47" i="4"/>
  <c r="F47" i="4"/>
  <c r="G47" i="4"/>
  <c r="H47" i="4"/>
  <c r="I47" i="4"/>
  <c r="B48" i="4"/>
  <c r="C48" i="4"/>
  <c r="D48" i="4"/>
  <c r="E48" i="4"/>
  <c r="F48" i="4"/>
  <c r="G48" i="4"/>
  <c r="H48" i="4"/>
  <c r="I48" i="4"/>
  <c r="B49" i="4"/>
  <c r="C49" i="4"/>
  <c r="D49" i="4"/>
  <c r="E49" i="4"/>
  <c r="F49" i="4"/>
  <c r="V49" i="4" s="1"/>
  <c r="G49" i="4"/>
  <c r="H49" i="4"/>
  <c r="I49" i="4"/>
  <c r="B50" i="4"/>
  <c r="C50" i="4"/>
  <c r="D50" i="4"/>
  <c r="E50" i="4"/>
  <c r="F50" i="4"/>
  <c r="V50" i="4" s="1"/>
  <c r="G50" i="4"/>
  <c r="H50" i="4"/>
  <c r="I50" i="4"/>
  <c r="B51" i="4"/>
  <c r="C51" i="4"/>
  <c r="D51" i="4"/>
  <c r="E51" i="4"/>
  <c r="F51" i="4"/>
  <c r="G51" i="4"/>
  <c r="H51" i="4"/>
  <c r="I51" i="4"/>
  <c r="B52" i="4"/>
  <c r="C52" i="4"/>
  <c r="D52" i="4"/>
  <c r="E52" i="4"/>
  <c r="F52" i="4"/>
  <c r="G52" i="4"/>
  <c r="H52" i="4"/>
  <c r="I52" i="4"/>
  <c r="B53" i="4"/>
  <c r="C53" i="4"/>
  <c r="D53" i="4"/>
  <c r="E53" i="4"/>
  <c r="F53" i="4"/>
  <c r="G53" i="4"/>
  <c r="H53" i="4"/>
  <c r="I53" i="4"/>
  <c r="B54" i="4"/>
  <c r="C54" i="4"/>
  <c r="D54" i="4"/>
  <c r="E54" i="4"/>
  <c r="F54" i="4"/>
  <c r="G54" i="4"/>
  <c r="H54" i="4"/>
  <c r="I54" i="4"/>
  <c r="B55" i="4"/>
  <c r="C55" i="4"/>
  <c r="D55" i="4"/>
  <c r="E55" i="4"/>
  <c r="F55" i="4"/>
  <c r="G55" i="4"/>
  <c r="H55" i="4"/>
  <c r="I55" i="4"/>
  <c r="B56" i="4"/>
  <c r="C56" i="4"/>
  <c r="D56" i="4"/>
  <c r="E56" i="4"/>
  <c r="F56" i="4"/>
  <c r="G56" i="4"/>
  <c r="H56" i="4"/>
  <c r="I56" i="4"/>
  <c r="B57" i="4"/>
  <c r="C57" i="4"/>
  <c r="D57" i="4"/>
  <c r="E57" i="4"/>
  <c r="F57" i="4"/>
  <c r="G57" i="4"/>
  <c r="H57" i="4"/>
  <c r="I57" i="4"/>
  <c r="B58" i="4"/>
  <c r="C58" i="4"/>
  <c r="D58" i="4"/>
  <c r="E58" i="4"/>
  <c r="F58" i="4"/>
  <c r="V58" i="4" s="1"/>
  <c r="G58" i="4"/>
  <c r="H58" i="4"/>
  <c r="I58" i="4"/>
  <c r="B59" i="4"/>
  <c r="C59" i="4"/>
  <c r="D59" i="4"/>
  <c r="E59" i="4"/>
  <c r="F59" i="4"/>
  <c r="G59" i="4"/>
  <c r="H59" i="4"/>
  <c r="I59" i="4"/>
  <c r="B60" i="4"/>
  <c r="C60" i="4"/>
  <c r="D60" i="4"/>
  <c r="E60" i="4"/>
  <c r="F60" i="4"/>
  <c r="V60" i="4" s="1"/>
  <c r="G60" i="4"/>
  <c r="H60" i="4"/>
  <c r="I60" i="4"/>
  <c r="B61" i="4"/>
  <c r="C61" i="4"/>
  <c r="D61" i="4"/>
  <c r="E61" i="4"/>
  <c r="F61" i="4"/>
  <c r="G61" i="4"/>
  <c r="H61" i="4"/>
  <c r="I61" i="4"/>
  <c r="B62" i="4"/>
  <c r="C62" i="4"/>
  <c r="D62" i="4"/>
  <c r="E62" i="4"/>
  <c r="F62" i="4"/>
  <c r="G62" i="4"/>
  <c r="H62" i="4"/>
  <c r="I62" i="4"/>
  <c r="B63" i="4"/>
  <c r="C63" i="4"/>
  <c r="D63" i="4"/>
  <c r="E63" i="4"/>
  <c r="F63" i="4"/>
  <c r="G63" i="4"/>
  <c r="H63" i="4"/>
  <c r="I63" i="4"/>
  <c r="B64" i="4"/>
  <c r="C64" i="4"/>
  <c r="D64" i="4"/>
  <c r="E64" i="4"/>
  <c r="F64" i="4"/>
  <c r="G64" i="4"/>
  <c r="H64" i="4"/>
  <c r="I64" i="4"/>
  <c r="B65" i="4"/>
  <c r="C65" i="4"/>
  <c r="D65" i="4"/>
  <c r="E65" i="4"/>
  <c r="F65" i="4"/>
  <c r="G65" i="4"/>
  <c r="H65" i="4"/>
  <c r="I65" i="4"/>
  <c r="B66" i="4"/>
  <c r="C66" i="4"/>
  <c r="D66" i="4"/>
  <c r="E66" i="4"/>
  <c r="F66" i="4"/>
  <c r="G66" i="4"/>
  <c r="H66" i="4"/>
  <c r="I66" i="4"/>
  <c r="B67" i="4"/>
  <c r="C67" i="4"/>
  <c r="D67" i="4"/>
  <c r="E67" i="4"/>
  <c r="F67" i="4"/>
  <c r="G67" i="4"/>
  <c r="H67" i="4"/>
  <c r="I67" i="4"/>
  <c r="B68" i="4"/>
  <c r="C68" i="4"/>
  <c r="D68" i="4"/>
  <c r="E68" i="4"/>
  <c r="F68" i="4"/>
  <c r="G68" i="4"/>
  <c r="H68" i="4"/>
  <c r="I68" i="4"/>
  <c r="B69" i="4"/>
  <c r="C69" i="4"/>
  <c r="D69" i="4"/>
  <c r="E69" i="4"/>
  <c r="F69" i="4"/>
  <c r="G69" i="4"/>
  <c r="H69" i="4"/>
  <c r="I69" i="4"/>
  <c r="B70" i="4"/>
  <c r="C70" i="4"/>
  <c r="D70" i="4"/>
  <c r="E70" i="4"/>
  <c r="F70" i="4"/>
  <c r="G70" i="4"/>
  <c r="H70" i="4"/>
  <c r="I70" i="4"/>
  <c r="B71" i="4"/>
  <c r="C71" i="4"/>
  <c r="D71" i="4"/>
  <c r="E71" i="4"/>
  <c r="F71" i="4"/>
  <c r="G71" i="4"/>
  <c r="H71" i="4"/>
  <c r="I71" i="4"/>
  <c r="B72" i="4"/>
  <c r="C72" i="4"/>
  <c r="D72" i="4"/>
  <c r="E72" i="4"/>
  <c r="F72" i="4"/>
  <c r="G72" i="4"/>
  <c r="H72" i="4"/>
  <c r="I72" i="4"/>
  <c r="B73" i="4"/>
  <c r="C73" i="4"/>
  <c r="D73" i="4"/>
  <c r="E73" i="4"/>
  <c r="F73" i="4"/>
  <c r="G73" i="4"/>
  <c r="H73" i="4"/>
  <c r="I73" i="4"/>
  <c r="B74" i="4"/>
  <c r="C74" i="4"/>
  <c r="D74" i="4"/>
  <c r="E74" i="4"/>
  <c r="F74" i="4"/>
  <c r="G74" i="4"/>
  <c r="H74" i="4"/>
  <c r="I74" i="4"/>
  <c r="B75" i="4"/>
  <c r="C75" i="4"/>
  <c r="D75" i="4"/>
  <c r="E75" i="4"/>
  <c r="F75" i="4"/>
  <c r="G75" i="4"/>
  <c r="H75" i="4"/>
  <c r="I75" i="4"/>
  <c r="B76" i="4"/>
  <c r="C76" i="4"/>
  <c r="D76" i="4"/>
  <c r="E76" i="4"/>
  <c r="F76" i="4"/>
  <c r="G76" i="4"/>
  <c r="H76" i="4"/>
  <c r="I76" i="4"/>
  <c r="B77" i="4"/>
  <c r="C77" i="4"/>
  <c r="D77" i="4"/>
  <c r="E77" i="4"/>
  <c r="F77" i="4"/>
  <c r="G77" i="4"/>
  <c r="H77" i="4"/>
  <c r="I77" i="4"/>
  <c r="B78" i="4"/>
  <c r="C78" i="4"/>
  <c r="D78" i="4"/>
  <c r="E78" i="4"/>
  <c r="F78" i="4"/>
  <c r="G78" i="4"/>
  <c r="H78" i="4"/>
  <c r="I78" i="4"/>
  <c r="B79" i="4"/>
  <c r="C79" i="4"/>
  <c r="D79" i="4"/>
  <c r="E79" i="4"/>
  <c r="F79" i="4"/>
  <c r="G79" i="4"/>
  <c r="H79" i="4"/>
  <c r="I79" i="4"/>
  <c r="B80" i="4"/>
  <c r="C80" i="4"/>
  <c r="D80" i="4"/>
  <c r="E80" i="4"/>
  <c r="F80" i="4"/>
  <c r="G80" i="4"/>
  <c r="H80" i="4"/>
  <c r="I80" i="4"/>
  <c r="B81" i="4"/>
  <c r="C81" i="4"/>
  <c r="D81" i="4"/>
  <c r="E81" i="4"/>
  <c r="F81" i="4"/>
  <c r="G81" i="4"/>
  <c r="H81" i="4"/>
  <c r="I81" i="4"/>
  <c r="B82" i="4"/>
  <c r="C82" i="4"/>
  <c r="D82" i="4"/>
  <c r="E82" i="4"/>
  <c r="F82" i="4"/>
  <c r="G82" i="4"/>
  <c r="H82" i="4"/>
  <c r="I82" i="4"/>
  <c r="B83" i="4"/>
  <c r="C83" i="4"/>
  <c r="D83" i="4"/>
  <c r="E83" i="4"/>
  <c r="F83" i="4"/>
  <c r="G83" i="4"/>
  <c r="H83" i="4"/>
  <c r="I83" i="4"/>
  <c r="B84" i="4"/>
  <c r="C84" i="4"/>
  <c r="D84" i="4"/>
  <c r="E84" i="4"/>
  <c r="F84" i="4"/>
  <c r="G84" i="4"/>
  <c r="H84" i="4"/>
  <c r="I84" i="4"/>
  <c r="B85" i="4"/>
  <c r="C85" i="4"/>
  <c r="D85" i="4"/>
  <c r="E85" i="4"/>
  <c r="F85" i="4"/>
  <c r="G85" i="4"/>
  <c r="H85" i="4"/>
  <c r="I85" i="4"/>
  <c r="B86" i="4"/>
  <c r="C86" i="4"/>
  <c r="D86" i="4"/>
  <c r="E86" i="4"/>
  <c r="F86" i="4"/>
  <c r="G86" i="4"/>
  <c r="H86" i="4"/>
  <c r="I86" i="4"/>
  <c r="B87" i="4"/>
  <c r="C87" i="4"/>
  <c r="D87" i="4"/>
  <c r="E87" i="4"/>
  <c r="F87" i="4"/>
  <c r="G87" i="4"/>
  <c r="H87" i="4"/>
  <c r="I87" i="4"/>
  <c r="I5" i="4"/>
  <c r="H5" i="4"/>
  <c r="G5" i="4"/>
  <c r="F5" i="4"/>
  <c r="D5" i="4"/>
  <c r="AB69" i="2"/>
  <c r="T70" i="4" s="1"/>
  <c r="P68" i="4"/>
  <c r="Q68" i="4"/>
  <c r="R68" i="4"/>
  <c r="AT67" i="2"/>
  <c r="U68" i="4" s="1"/>
  <c r="S68" i="4"/>
  <c r="AT69" i="2"/>
  <c r="U70" i="4" s="1"/>
  <c r="S70" i="4"/>
  <c r="AB4" i="2"/>
  <c r="T5" i="4" s="1"/>
  <c r="X26" i="2"/>
  <c r="N27" i="4" s="1"/>
  <c r="C2846" i="8"/>
  <c r="C2845" i="8"/>
  <c r="C2844" i="8"/>
  <c r="F2842" i="8"/>
  <c r="F2841" i="8"/>
  <c r="F2840" i="8"/>
  <c r="C2839" i="8"/>
  <c r="C2832" i="8"/>
  <c r="C2831" i="8"/>
  <c r="C2830" i="8"/>
  <c r="C2828" i="8"/>
  <c r="C2827" i="8"/>
  <c r="C2826" i="8"/>
  <c r="C2825" i="8"/>
  <c r="C2823" i="8"/>
  <c r="F2835" i="8" s="1"/>
  <c r="C2821" i="8"/>
  <c r="C2820" i="8"/>
  <c r="C2819" i="8"/>
  <c r="C2818" i="8"/>
  <c r="C2810" i="8"/>
  <c r="C2809" i="8"/>
  <c r="C2808" i="8"/>
  <c r="F2806" i="8"/>
  <c r="F2805" i="8"/>
  <c r="F2804" i="8"/>
  <c r="C2803" i="8"/>
  <c r="C2796" i="8"/>
  <c r="C2795" i="8"/>
  <c r="C2794" i="8"/>
  <c r="C2792" i="8"/>
  <c r="C2791" i="8"/>
  <c r="C2790" i="8"/>
  <c r="C2789" i="8"/>
  <c r="C2787" i="8"/>
  <c r="F2799" i="8" s="1"/>
  <c r="C2785" i="8"/>
  <c r="C2784" i="8"/>
  <c r="C2783" i="8"/>
  <c r="C2782" i="8"/>
  <c r="C2774" i="8"/>
  <c r="C2773" i="8"/>
  <c r="C2772" i="8"/>
  <c r="F2770" i="8"/>
  <c r="F2769" i="8"/>
  <c r="F2768" i="8"/>
  <c r="C2767" i="8"/>
  <c r="C2760" i="8"/>
  <c r="C2759" i="8"/>
  <c r="C2758" i="8"/>
  <c r="C2756" i="8"/>
  <c r="C2755" i="8"/>
  <c r="C2754" i="8"/>
  <c r="C2753" i="8"/>
  <c r="C2751" i="8"/>
  <c r="F2763" i="8" s="1"/>
  <c r="C2749" i="8"/>
  <c r="C2748" i="8"/>
  <c r="C2747" i="8"/>
  <c r="C2746" i="8"/>
  <c r="C2738" i="8"/>
  <c r="C2737" i="8"/>
  <c r="C2736" i="8"/>
  <c r="F2734" i="8"/>
  <c r="F2733" i="8"/>
  <c r="F2732" i="8"/>
  <c r="C2731" i="8"/>
  <c r="C2724" i="8"/>
  <c r="C2723" i="8"/>
  <c r="C2722" i="8"/>
  <c r="C2720" i="8"/>
  <c r="C2719" i="8"/>
  <c r="C2718" i="8"/>
  <c r="C2717" i="8"/>
  <c r="C2715" i="8"/>
  <c r="F2727" i="8" s="1"/>
  <c r="C2713" i="8"/>
  <c r="C2712" i="8"/>
  <c r="C2711" i="8"/>
  <c r="C2710" i="8"/>
  <c r="C2702" i="8"/>
  <c r="C2701" i="8"/>
  <c r="C2700" i="8"/>
  <c r="F2698" i="8"/>
  <c r="F2697" i="8"/>
  <c r="F2696" i="8"/>
  <c r="C2695" i="8"/>
  <c r="C2688" i="8"/>
  <c r="C2687" i="8"/>
  <c r="C2686" i="8"/>
  <c r="C2684" i="8"/>
  <c r="C2683" i="8"/>
  <c r="C2682" i="8"/>
  <c r="C2681" i="8"/>
  <c r="C2679" i="8"/>
  <c r="F2691" i="8" s="1"/>
  <c r="C2677" i="8"/>
  <c r="C2676" i="8"/>
  <c r="C2675" i="8"/>
  <c r="C2674" i="8"/>
  <c r="C2666" i="8"/>
  <c r="C2665" i="8"/>
  <c r="C2664" i="8"/>
  <c r="F2662" i="8"/>
  <c r="F2661" i="8"/>
  <c r="F2660" i="8"/>
  <c r="C2659" i="8"/>
  <c r="C2652" i="8"/>
  <c r="C2651" i="8"/>
  <c r="C2650" i="8"/>
  <c r="C2648" i="8"/>
  <c r="C2647" i="8"/>
  <c r="C2646" i="8"/>
  <c r="C2645" i="8"/>
  <c r="C2643" i="8"/>
  <c r="D2655" i="8" s="1"/>
  <c r="C2641" i="8"/>
  <c r="C2640" i="8"/>
  <c r="C2639" i="8"/>
  <c r="C2638" i="8"/>
  <c r="C2630" i="8"/>
  <c r="C2629" i="8"/>
  <c r="C2628" i="8"/>
  <c r="F2626" i="8"/>
  <c r="F2625" i="8"/>
  <c r="F2624" i="8"/>
  <c r="C2623" i="8"/>
  <c r="C2616" i="8"/>
  <c r="C2615" i="8"/>
  <c r="C2614" i="8"/>
  <c r="C2612" i="8"/>
  <c r="C2611" i="8"/>
  <c r="C2610" i="8"/>
  <c r="C2609" i="8"/>
  <c r="C2607" i="8"/>
  <c r="D2619" i="8" s="1"/>
  <c r="C2605" i="8"/>
  <c r="C2604" i="8"/>
  <c r="C2603" i="8"/>
  <c r="C2602" i="8"/>
  <c r="C2594" i="8"/>
  <c r="C2593" i="8"/>
  <c r="C2592" i="8"/>
  <c r="F2590" i="8"/>
  <c r="F2589" i="8"/>
  <c r="F2588" i="8"/>
  <c r="C2587" i="8"/>
  <c r="C2580" i="8"/>
  <c r="C2579" i="8"/>
  <c r="C2578" i="8"/>
  <c r="C2576" i="8"/>
  <c r="C2575" i="8"/>
  <c r="C2574" i="8"/>
  <c r="C2573" i="8"/>
  <c r="C2571" i="8"/>
  <c r="E2583" i="8" s="1"/>
  <c r="C2569" i="8"/>
  <c r="C2568" i="8"/>
  <c r="C2567" i="8"/>
  <c r="C2566" i="8"/>
  <c r="C2558" i="8"/>
  <c r="C2557" i="8"/>
  <c r="C2556" i="8"/>
  <c r="F2554" i="8"/>
  <c r="F2553" i="8"/>
  <c r="F2552" i="8"/>
  <c r="C2551" i="8"/>
  <c r="C2544" i="8"/>
  <c r="C2543" i="8"/>
  <c r="C2542" i="8"/>
  <c r="C2540" i="8"/>
  <c r="C2539" i="8"/>
  <c r="C2538" i="8"/>
  <c r="C2537" i="8"/>
  <c r="C2535" i="8"/>
  <c r="F2547" i="8" s="1"/>
  <c r="C2533" i="8"/>
  <c r="C2532" i="8"/>
  <c r="C2531" i="8"/>
  <c r="C2530" i="8"/>
  <c r="C2522" i="8"/>
  <c r="C2521" i="8"/>
  <c r="C2520" i="8"/>
  <c r="F2518" i="8"/>
  <c r="F2517" i="8"/>
  <c r="F2516" i="8"/>
  <c r="C2515" i="8"/>
  <c r="C2508" i="8"/>
  <c r="C2507" i="8"/>
  <c r="C2506" i="8"/>
  <c r="C2504" i="8"/>
  <c r="C2503" i="8"/>
  <c r="C2502" i="8"/>
  <c r="C2501" i="8"/>
  <c r="C2499" i="8"/>
  <c r="F2511" i="8" s="1"/>
  <c r="C2497" i="8"/>
  <c r="C2496" i="8"/>
  <c r="C2495" i="8"/>
  <c r="C2494" i="8"/>
  <c r="C2486" i="8"/>
  <c r="C2485" i="8"/>
  <c r="C2484" i="8"/>
  <c r="F2482" i="8"/>
  <c r="F2481" i="8"/>
  <c r="F2480" i="8"/>
  <c r="C2479" i="8"/>
  <c r="C2472" i="8"/>
  <c r="C2471" i="8"/>
  <c r="C2470" i="8"/>
  <c r="C2468" i="8"/>
  <c r="C2467" i="8"/>
  <c r="C2466" i="8"/>
  <c r="C2465" i="8"/>
  <c r="C2463" i="8"/>
  <c r="F2475" i="8" s="1"/>
  <c r="C2461" i="8"/>
  <c r="C2460" i="8"/>
  <c r="C2459" i="8"/>
  <c r="C2458" i="8"/>
  <c r="C2450" i="8"/>
  <c r="C2449" i="8"/>
  <c r="C2448" i="8"/>
  <c r="F2446" i="8"/>
  <c r="F2445" i="8"/>
  <c r="F2444" i="8"/>
  <c r="C2443" i="8"/>
  <c r="C2436" i="8"/>
  <c r="C2435" i="8"/>
  <c r="C2434" i="8"/>
  <c r="C2432" i="8"/>
  <c r="C2431" i="8"/>
  <c r="C2430" i="8"/>
  <c r="C2429" i="8"/>
  <c r="C2427" i="8"/>
  <c r="F2439" i="8" s="1"/>
  <c r="C2425" i="8"/>
  <c r="C2424" i="8"/>
  <c r="C2423" i="8"/>
  <c r="C2422" i="8"/>
  <c r="C2414" i="8"/>
  <c r="C2413" i="8"/>
  <c r="C2412" i="8"/>
  <c r="F2410" i="8"/>
  <c r="F2409" i="8"/>
  <c r="F2408" i="8"/>
  <c r="C2407" i="8"/>
  <c r="C2400" i="8"/>
  <c r="C2399" i="8"/>
  <c r="C2398" i="8"/>
  <c r="C2396" i="8"/>
  <c r="C2395" i="8"/>
  <c r="C2394" i="8"/>
  <c r="C2393" i="8"/>
  <c r="C2391" i="8"/>
  <c r="C2401" i="8" s="1"/>
  <c r="C2389" i="8"/>
  <c r="C2388" i="8"/>
  <c r="C2387" i="8"/>
  <c r="C2386" i="8"/>
  <c r="C2378" i="8"/>
  <c r="C2377" i="8"/>
  <c r="C2376" i="8"/>
  <c r="F2374" i="8"/>
  <c r="F2373" i="8"/>
  <c r="F2372" i="8"/>
  <c r="C2371" i="8"/>
  <c r="C2364" i="8"/>
  <c r="C2363" i="8"/>
  <c r="C2362" i="8"/>
  <c r="C2360" i="8"/>
  <c r="C2359" i="8"/>
  <c r="C2358" i="8"/>
  <c r="C2357" i="8"/>
  <c r="C2355" i="8"/>
  <c r="E2367" i="8" s="1"/>
  <c r="C2353" i="8"/>
  <c r="C2352" i="8"/>
  <c r="C2351" i="8"/>
  <c r="C2350" i="8"/>
  <c r="C2342" i="8"/>
  <c r="C2341" i="8"/>
  <c r="C2340" i="8"/>
  <c r="F2338" i="8"/>
  <c r="F2337" i="8"/>
  <c r="F2336" i="8"/>
  <c r="C2335" i="8"/>
  <c r="C2328" i="8"/>
  <c r="C2327" i="8"/>
  <c r="C2326" i="8"/>
  <c r="C2324" i="8"/>
  <c r="C2323" i="8"/>
  <c r="C2322" i="8"/>
  <c r="C2321" i="8"/>
  <c r="C2319" i="8"/>
  <c r="D2331" i="8" s="1"/>
  <c r="C2317" i="8"/>
  <c r="C2316" i="8"/>
  <c r="C2315" i="8"/>
  <c r="C2314" i="8"/>
  <c r="C2306" i="8"/>
  <c r="C2305" i="8"/>
  <c r="C2304" i="8"/>
  <c r="F2302" i="8"/>
  <c r="F2301" i="8"/>
  <c r="F2300" i="8"/>
  <c r="C2299" i="8"/>
  <c r="C2292" i="8"/>
  <c r="C2291" i="8"/>
  <c r="C2290" i="8"/>
  <c r="C2288" i="8"/>
  <c r="C2287" i="8"/>
  <c r="C2286" i="8"/>
  <c r="C2285" i="8"/>
  <c r="C2283" i="8"/>
  <c r="E2295" i="8" s="1"/>
  <c r="C2281" i="8"/>
  <c r="C2280" i="8"/>
  <c r="C2279" i="8"/>
  <c r="C2278" i="8"/>
  <c r="C2270" i="8"/>
  <c r="C2269" i="8"/>
  <c r="C2268" i="8"/>
  <c r="F2266" i="8"/>
  <c r="F2265" i="8"/>
  <c r="F2264" i="8"/>
  <c r="C2263" i="8"/>
  <c r="C2256" i="8"/>
  <c r="C2255" i="8"/>
  <c r="C2254" i="8"/>
  <c r="C2252" i="8"/>
  <c r="C2251" i="8"/>
  <c r="C2250" i="8"/>
  <c r="C2249" i="8"/>
  <c r="C2247" i="8"/>
  <c r="D2259" i="8" s="1"/>
  <c r="C2245" i="8"/>
  <c r="C2244" i="8"/>
  <c r="C2243" i="8"/>
  <c r="C2242" i="8"/>
  <c r="C2234" i="8"/>
  <c r="C2233" i="8"/>
  <c r="C2232" i="8"/>
  <c r="F2230" i="8"/>
  <c r="F2229" i="8"/>
  <c r="F2228" i="8"/>
  <c r="C2227" i="8"/>
  <c r="C2220" i="8"/>
  <c r="C2219" i="8"/>
  <c r="C2218" i="8"/>
  <c r="C2216" i="8"/>
  <c r="C2215" i="8"/>
  <c r="C2214" i="8"/>
  <c r="C2213" i="8"/>
  <c r="C2211" i="8"/>
  <c r="E2223" i="8" s="1"/>
  <c r="C2209" i="8"/>
  <c r="C2208" i="8"/>
  <c r="C2207" i="8"/>
  <c r="C2206" i="8"/>
  <c r="C2198" i="8"/>
  <c r="C2197" i="8"/>
  <c r="C2196" i="8"/>
  <c r="F2194" i="8"/>
  <c r="F2193" i="8"/>
  <c r="F2192" i="8"/>
  <c r="C2191" i="8"/>
  <c r="C2184" i="8"/>
  <c r="C2183" i="8"/>
  <c r="C2182" i="8"/>
  <c r="C2180" i="8"/>
  <c r="C2179" i="8"/>
  <c r="C2178" i="8"/>
  <c r="C2177" i="8"/>
  <c r="C2175" i="8"/>
  <c r="F2187" i="8" s="1"/>
  <c r="C2173" i="8"/>
  <c r="C2172" i="8"/>
  <c r="C2171" i="8"/>
  <c r="C2170" i="8"/>
  <c r="C2162" i="8"/>
  <c r="C2161" i="8"/>
  <c r="C2160" i="8"/>
  <c r="F2158" i="8"/>
  <c r="F2157" i="8"/>
  <c r="F2156" i="8"/>
  <c r="C2155" i="8"/>
  <c r="C2148" i="8"/>
  <c r="C2147" i="8"/>
  <c r="C2146" i="8"/>
  <c r="C2144" i="8"/>
  <c r="C2143" i="8"/>
  <c r="C2142" i="8"/>
  <c r="C2141" i="8"/>
  <c r="C2139" i="8"/>
  <c r="F2151" i="8" s="1"/>
  <c r="C2137" i="8"/>
  <c r="C2136" i="8"/>
  <c r="C2135" i="8"/>
  <c r="C2134" i="8"/>
  <c r="C2126" i="8"/>
  <c r="C2125" i="8"/>
  <c r="C2124" i="8"/>
  <c r="F2122" i="8"/>
  <c r="F2121" i="8"/>
  <c r="F2120" i="8"/>
  <c r="C2112" i="8"/>
  <c r="C2111" i="8"/>
  <c r="C2110" i="8"/>
  <c r="C2108" i="8"/>
  <c r="C2107" i="8"/>
  <c r="C2106" i="8"/>
  <c r="C2105" i="8"/>
  <c r="C2103" i="8"/>
  <c r="F2115" i="8" s="1"/>
  <c r="C2101" i="8"/>
  <c r="C2100" i="8"/>
  <c r="C2099" i="8"/>
  <c r="C2098" i="8"/>
  <c r="C2090" i="8"/>
  <c r="C2089" i="8"/>
  <c r="C2088" i="8"/>
  <c r="F2086" i="8"/>
  <c r="F2085" i="8"/>
  <c r="F2084" i="8"/>
  <c r="C2083" i="8"/>
  <c r="C2076" i="8"/>
  <c r="C2075" i="8"/>
  <c r="C2074" i="8"/>
  <c r="C2072" i="8"/>
  <c r="C2071" i="8"/>
  <c r="C2070" i="8"/>
  <c r="C2069" i="8"/>
  <c r="C2067" i="8"/>
  <c r="F2079" i="8" s="1"/>
  <c r="C2065" i="8"/>
  <c r="C2064" i="8"/>
  <c r="C2063" i="8"/>
  <c r="C2062" i="8"/>
  <c r="C2054" i="8"/>
  <c r="C2053" i="8"/>
  <c r="C2052" i="8"/>
  <c r="F2050" i="8"/>
  <c r="F2049" i="8"/>
  <c r="F2048" i="8"/>
  <c r="C2047" i="8"/>
  <c r="C2040" i="8"/>
  <c r="C2039" i="8"/>
  <c r="C2038" i="8"/>
  <c r="C2036" i="8"/>
  <c r="C2035" i="8"/>
  <c r="C2034" i="8"/>
  <c r="C2033" i="8"/>
  <c r="C2031" i="8"/>
  <c r="C2043" i="8" s="1"/>
  <c r="C2029" i="8"/>
  <c r="C2028" i="8"/>
  <c r="C2027" i="8"/>
  <c r="C2026" i="8"/>
  <c r="C2018" i="8"/>
  <c r="C2017" i="8"/>
  <c r="C2016" i="8"/>
  <c r="F2014" i="8"/>
  <c r="F2013" i="8"/>
  <c r="F2012" i="8"/>
  <c r="C2011" i="8"/>
  <c r="C2004" i="8"/>
  <c r="C2003" i="8"/>
  <c r="C2002" i="8"/>
  <c r="C2000" i="8"/>
  <c r="C1999" i="8"/>
  <c r="C1998" i="8"/>
  <c r="C1997" i="8"/>
  <c r="C1995" i="8"/>
  <c r="C2007" i="8" s="1"/>
  <c r="C1993" i="8"/>
  <c r="C1992" i="8"/>
  <c r="C1991" i="8"/>
  <c r="C1990" i="8"/>
  <c r="C1982" i="8"/>
  <c r="C1981" i="8"/>
  <c r="C1980" i="8"/>
  <c r="F1978" i="8"/>
  <c r="F1977" i="8"/>
  <c r="F1976" i="8"/>
  <c r="C1975" i="8"/>
  <c r="C1968" i="8"/>
  <c r="C1967" i="8"/>
  <c r="C1966" i="8"/>
  <c r="C1964" i="8"/>
  <c r="C1963" i="8"/>
  <c r="C1962" i="8"/>
  <c r="C1961" i="8"/>
  <c r="C1959" i="8"/>
  <c r="C1971" i="8" s="1"/>
  <c r="C1957" i="8"/>
  <c r="C1956" i="8"/>
  <c r="C1955" i="8"/>
  <c r="C1954" i="8"/>
  <c r="C1946" i="8"/>
  <c r="C1945" i="8"/>
  <c r="C1944" i="8"/>
  <c r="F1942" i="8"/>
  <c r="F1941" i="8"/>
  <c r="F1940" i="8"/>
  <c r="C1939" i="8"/>
  <c r="C1932" i="8"/>
  <c r="C1931" i="8"/>
  <c r="C1930" i="8"/>
  <c r="C1928" i="8"/>
  <c r="C1927" i="8"/>
  <c r="C1926" i="8"/>
  <c r="C1925" i="8"/>
  <c r="C1923" i="8"/>
  <c r="D1935" i="8" s="1"/>
  <c r="C1921" i="8"/>
  <c r="C1920" i="8"/>
  <c r="C1919" i="8"/>
  <c r="C1918" i="8"/>
  <c r="C1910" i="8"/>
  <c r="C1909" i="8"/>
  <c r="C1908" i="8"/>
  <c r="F1906" i="8"/>
  <c r="F1905" i="8"/>
  <c r="F1904" i="8"/>
  <c r="C1903" i="8"/>
  <c r="C1896" i="8"/>
  <c r="C1895" i="8"/>
  <c r="C1894" i="8"/>
  <c r="C1892" i="8"/>
  <c r="C1891" i="8"/>
  <c r="C1890" i="8"/>
  <c r="C1889" i="8"/>
  <c r="C1887" i="8"/>
  <c r="F1899" i="8" s="1"/>
  <c r="C1885" i="8"/>
  <c r="C1884" i="8"/>
  <c r="C1883" i="8"/>
  <c r="C1882" i="8"/>
  <c r="C1874" i="8"/>
  <c r="C1873" i="8"/>
  <c r="C1872" i="8"/>
  <c r="F1870" i="8"/>
  <c r="F1869" i="8"/>
  <c r="F1868" i="8"/>
  <c r="C1867" i="8"/>
  <c r="C1860" i="8"/>
  <c r="C1859" i="8"/>
  <c r="C1858" i="8"/>
  <c r="C1856" i="8"/>
  <c r="C1855" i="8"/>
  <c r="C1854" i="8"/>
  <c r="C1853" i="8"/>
  <c r="C1851" i="8"/>
  <c r="F1863" i="8" s="1"/>
  <c r="C1849" i="8"/>
  <c r="C1848" i="8"/>
  <c r="C1847" i="8"/>
  <c r="C1846" i="8"/>
  <c r="C1838" i="8"/>
  <c r="C1837" i="8"/>
  <c r="C1836" i="8"/>
  <c r="F1834" i="8"/>
  <c r="F1833" i="8"/>
  <c r="F1832" i="8"/>
  <c r="C1831" i="8"/>
  <c r="C1824" i="8"/>
  <c r="C1823" i="8"/>
  <c r="C1822" i="8"/>
  <c r="C1820" i="8"/>
  <c r="C1819" i="8"/>
  <c r="C1818" i="8"/>
  <c r="C1817" i="8"/>
  <c r="C1815" i="8"/>
  <c r="F1827" i="8" s="1"/>
  <c r="C1813" i="8"/>
  <c r="C1812" i="8"/>
  <c r="C1811" i="8"/>
  <c r="C1810" i="8"/>
  <c r="C1802" i="8"/>
  <c r="C1801" i="8"/>
  <c r="C1800" i="8"/>
  <c r="F1798" i="8"/>
  <c r="F1797" i="8"/>
  <c r="F1796" i="8"/>
  <c r="C1795" i="8"/>
  <c r="C1788" i="8"/>
  <c r="C1787" i="8"/>
  <c r="C1786" i="8"/>
  <c r="C1784" i="8"/>
  <c r="C1783" i="8"/>
  <c r="C1782" i="8"/>
  <c r="C1781" i="8"/>
  <c r="C1779" i="8"/>
  <c r="F1791" i="8" s="1"/>
  <c r="C1777" i="8"/>
  <c r="C1776" i="8"/>
  <c r="C1775" i="8"/>
  <c r="C1774" i="8"/>
  <c r="C1766" i="8"/>
  <c r="C1765" i="8"/>
  <c r="C1764" i="8"/>
  <c r="F1762" i="8"/>
  <c r="F1761" i="8"/>
  <c r="F1760" i="8"/>
  <c r="C1759" i="8"/>
  <c r="C1752" i="8"/>
  <c r="C1751" i="8"/>
  <c r="C1750" i="8"/>
  <c r="C1748" i="8"/>
  <c r="C1747" i="8"/>
  <c r="C1746" i="8"/>
  <c r="C1745" i="8"/>
  <c r="C1743" i="8"/>
  <c r="F1755" i="8" s="1"/>
  <c r="C1741" i="8"/>
  <c r="C1740" i="8"/>
  <c r="C1739" i="8"/>
  <c r="C1738" i="8"/>
  <c r="C1730" i="8"/>
  <c r="C1729" i="8"/>
  <c r="C1728" i="8"/>
  <c r="F1726" i="8"/>
  <c r="F1725" i="8"/>
  <c r="F1724" i="8"/>
  <c r="C1723" i="8"/>
  <c r="C1716" i="8"/>
  <c r="C1715" i="8"/>
  <c r="C1714" i="8"/>
  <c r="C1712" i="8"/>
  <c r="C1711" i="8"/>
  <c r="C1710" i="8"/>
  <c r="C1709" i="8"/>
  <c r="C1707" i="8"/>
  <c r="C1719" i="8" s="1"/>
  <c r="C1705" i="8"/>
  <c r="C1704" i="8"/>
  <c r="C1703" i="8"/>
  <c r="C1702" i="8"/>
  <c r="C1694" i="8"/>
  <c r="C1693" i="8"/>
  <c r="C1692" i="8"/>
  <c r="F1690" i="8"/>
  <c r="F1689" i="8"/>
  <c r="F1688" i="8"/>
  <c r="C1687" i="8"/>
  <c r="C1680" i="8"/>
  <c r="C1679" i="8"/>
  <c r="C1678" i="8"/>
  <c r="C1676" i="8"/>
  <c r="C1675" i="8"/>
  <c r="C1674" i="8"/>
  <c r="C1673" i="8"/>
  <c r="C1671" i="8"/>
  <c r="C1683" i="8" s="1"/>
  <c r="C1669" i="8"/>
  <c r="C1668" i="8"/>
  <c r="C1667" i="8"/>
  <c r="C1666" i="8"/>
  <c r="C1658" i="8"/>
  <c r="C1657" i="8"/>
  <c r="C1656" i="8"/>
  <c r="F1654" i="8"/>
  <c r="F1653" i="8"/>
  <c r="F1652" i="8"/>
  <c r="C1651" i="8"/>
  <c r="C1644" i="8"/>
  <c r="C1643" i="8"/>
  <c r="C1642" i="8"/>
  <c r="C1640" i="8"/>
  <c r="C1639" i="8"/>
  <c r="C1638" i="8"/>
  <c r="C1637" i="8"/>
  <c r="C1635" i="8"/>
  <c r="D1647" i="8" s="1"/>
  <c r="C1633" i="8"/>
  <c r="C1632" i="8"/>
  <c r="C1631" i="8"/>
  <c r="C1630" i="8"/>
  <c r="C1622" i="8"/>
  <c r="C1621" i="8"/>
  <c r="C1620" i="8"/>
  <c r="F1618" i="8"/>
  <c r="F1617" i="8"/>
  <c r="F1616" i="8"/>
  <c r="C1615" i="8"/>
  <c r="C1608" i="8"/>
  <c r="C1607" i="8"/>
  <c r="C1606" i="8"/>
  <c r="C1604" i="8"/>
  <c r="C1603" i="8"/>
  <c r="C1602" i="8"/>
  <c r="C1601" i="8"/>
  <c r="C1599" i="8"/>
  <c r="F1611" i="8" s="1"/>
  <c r="C1597" i="8"/>
  <c r="C1596" i="8"/>
  <c r="C1595" i="8"/>
  <c r="C1594" i="8"/>
  <c r="C1586" i="8"/>
  <c r="C1585" i="8"/>
  <c r="C1584" i="8"/>
  <c r="F1582" i="8"/>
  <c r="F1581" i="8"/>
  <c r="F1580" i="8"/>
  <c r="C1579" i="8"/>
  <c r="C1572" i="8"/>
  <c r="C1571" i="8"/>
  <c r="C1570" i="8"/>
  <c r="C1568" i="8"/>
  <c r="C1567" i="8"/>
  <c r="C1566" i="8"/>
  <c r="C1565" i="8"/>
  <c r="C1563" i="8"/>
  <c r="F1575" i="8" s="1"/>
  <c r="C1561" i="8"/>
  <c r="C1560" i="8"/>
  <c r="C1559" i="8"/>
  <c r="C1558" i="8"/>
  <c r="C1550" i="8"/>
  <c r="C1549" i="8"/>
  <c r="C1548" i="8"/>
  <c r="F1546" i="8"/>
  <c r="F1545" i="8"/>
  <c r="F1544" i="8"/>
  <c r="C1543" i="8"/>
  <c r="C1536" i="8"/>
  <c r="C1535" i="8"/>
  <c r="C1534" i="8"/>
  <c r="C1532" i="8"/>
  <c r="C1531" i="8"/>
  <c r="C1530" i="8"/>
  <c r="C1529" i="8"/>
  <c r="C1527" i="8"/>
  <c r="C1539" i="8" s="1"/>
  <c r="C1525" i="8"/>
  <c r="C1524" i="8"/>
  <c r="C1523" i="8"/>
  <c r="C1522" i="8"/>
  <c r="C1514" i="8"/>
  <c r="C1513" i="8"/>
  <c r="C1512" i="8"/>
  <c r="F1510" i="8"/>
  <c r="F1509" i="8"/>
  <c r="F1508" i="8"/>
  <c r="C1507" i="8"/>
  <c r="C1500" i="8"/>
  <c r="C1499" i="8"/>
  <c r="C1498" i="8"/>
  <c r="C1496" i="8"/>
  <c r="C1495" i="8"/>
  <c r="C1494" i="8"/>
  <c r="C1493" i="8"/>
  <c r="C1491" i="8"/>
  <c r="F1503" i="8" s="1"/>
  <c r="C1489" i="8"/>
  <c r="C1488" i="8"/>
  <c r="C1487" i="8"/>
  <c r="C1486" i="8"/>
  <c r="C1478" i="8"/>
  <c r="C1477" i="8"/>
  <c r="C1476" i="8"/>
  <c r="F1474" i="8"/>
  <c r="F1473" i="8"/>
  <c r="F1472" i="8"/>
  <c r="C1471" i="8"/>
  <c r="C1464" i="8"/>
  <c r="C1463" i="8"/>
  <c r="C1462" i="8"/>
  <c r="C1460" i="8"/>
  <c r="C1459" i="8"/>
  <c r="C1458" i="8"/>
  <c r="C1457" i="8"/>
  <c r="C1455" i="8"/>
  <c r="F1467" i="8" s="1"/>
  <c r="C1453" i="8"/>
  <c r="C1452" i="8"/>
  <c r="C1451" i="8"/>
  <c r="C1450" i="8"/>
  <c r="C1442" i="8"/>
  <c r="C1441" i="8"/>
  <c r="C1440" i="8"/>
  <c r="F1438" i="8"/>
  <c r="F1437" i="8"/>
  <c r="F1436" i="8"/>
  <c r="C1435" i="8"/>
  <c r="C1428" i="8"/>
  <c r="C1427" i="8"/>
  <c r="C1426" i="8"/>
  <c r="C1424" i="8"/>
  <c r="C1423" i="8"/>
  <c r="C1422" i="8"/>
  <c r="C1421" i="8"/>
  <c r="C1419" i="8"/>
  <c r="C1431" i="8" s="1"/>
  <c r="C1417" i="8"/>
  <c r="C1416" i="8"/>
  <c r="C1415" i="8"/>
  <c r="C1414" i="8"/>
  <c r="C1406" i="8"/>
  <c r="C1405" i="8"/>
  <c r="C1404" i="8"/>
  <c r="F1402" i="8"/>
  <c r="F1401" i="8"/>
  <c r="F1400" i="8"/>
  <c r="C1399" i="8"/>
  <c r="C1392" i="8"/>
  <c r="C1391" i="8"/>
  <c r="C1390" i="8"/>
  <c r="C1388" i="8"/>
  <c r="C1387" i="8"/>
  <c r="C1386" i="8"/>
  <c r="C1385" i="8"/>
  <c r="C1383" i="8"/>
  <c r="C1395" i="8" s="1"/>
  <c r="C1381" i="8"/>
  <c r="C1380" i="8"/>
  <c r="C1379" i="8"/>
  <c r="C1378" i="8"/>
  <c r="C1370" i="8"/>
  <c r="C1369" i="8"/>
  <c r="C1368" i="8"/>
  <c r="F1366" i="8"/>
  <c r="F1365" i="8"/>
  <c r="F1364" i="8"/>
  <c r="C1363" i="8"/>
  <c r="C1356" i="8"/>
  <c r="C1355" i="8"/>
  <c r="C1354" i="8"/>
  <c r="C1352" i="8"/>
  <c r="C1351" i="8"/>
  <c r="C1350" i="8"/>
  <c r="C1349" i="8"/>
  <c r="C1347" i="8"/>
  <c r="D1359" i="8" s="1"/>
  <c r="C1345" i="8"/>
  <c r="C1344" i="8"/>
  <c r="C1343" i="8"/>
  <c r="C1342" i="8"/>
  <c r="C1334" i="8"/>
  <c r="C1333" i="8"/>
  <c r="C1332" i="8"/>
  <c r="F1330" i="8"/>
  <c r="F1329" i="8"/>
  <c r="F1328" i="8"/>
  <c r="C1327" i="8"/>
  <c r="C1320" i="8"/>
  <c r="C1319" i="8"/>
  <c r="C1318" i="8"/>
  <c r="C1316" i="8"/>
  <c r="C1315" i="8"/>
  <c r="C1314" i="8"/>
  <c r="C1313" i="8"/>
  <c r="C1311" i="8"/>
  <c r="F1323" i="8" s="1"/>
  <c r="C1309" i="8"/>
  <c r="C1308" i="8"/>
  <c r="C1307" i="8"/>
  <c r="C1306" i="8"/>
  <c r="C1298" i="8"/>
  <c r="C1297" i="8"/>
  <c r="C1296" i="8"/>
  <c r="F1294" i="8"/>
  <c r="F1293" i="8"/>
  <c r="F1292" i="8"/>
  <c r="C1291" i="8"/>
  <c r="C1284" i="8"/>
  <c r="C1283" i="8"/>
  <c r="C1282" i="8"/>
  <c r="C1280" i="8"/>
  <c r="C1279" i="8"/>
  <c r="C1278" i="8"/>
  <c r="C1277" i="8"/>
  <c r="C1275" i="8"/>
  <c r="F1287" i="8" s="1"/>
  <c r="C1273" i="8"/>
  <c r="C1272" i="8"/>
  <c r="C1271" i="8"/>
  <c r="C1270" i="8"/>
  <c r="C1262" i="8"/>
  <c r="C1261" i="8"/>
  <c r="C1260" i="8"/>
  <c r="F1258" i="8"/>
  <c r="F1257" i="8"/>
  <c r="F1256" i="8"/>
  <c r="C1255" i="8"/>
  <c r="C1248" i="8"/>
  <c r="C1247" i="8"/>
  <c r="C1246" i="8"/>
  <c r="C1244" i="8"/>
  <c r="C1243" i="8"/>
  <c r="C1242" i="8"/>
  <c r="C1241" i="8"/>
  <c r="C1239" i="8"/>
  <c r="F1251" i="8" s="1"/>
  <c r="C1237" i="8"/>
  <c r="C1236" i="8"/>
  <c r="C1235" i="8"/>
  <c r="C1234" i="8"/>
  <c r="C1226" i="8"/>
  <c r="C1225" i="8"/>
  <c r="C1224" i="8"/>
  <c r="F1222" i="8"/>
  <c r="F1221" i="8"/>
  <c r="F1220" i="8"/>
  <c r="C1219" i="8"/>
  <c r="C1212" i="8"/>
  <c r="C1211" i="8"/>
  <c r="C1210" i="8"/>
  <c r="C1208" i="8"/>
  <c r="C1207" i="8"/>
  <c r="C1206" i="8"/>
  <c r="C1205" i="8"/>
  <c r="C1203" i="8"/>
  <c r="F1215" i="8" s="1"/>
  <c r="C1201" i="8"/>
  <c r="C1200" i="8"/>
  <c r="C1199" i="8"/>
  <c r="C1198" i="8"/>
  <c r="C1190" i="8"/>
  <c r="C1189" i="8"/>
  <c r="C1188" i="8"/>
  <c r="F1186" i="8"/>
  <c r="F1185" i="8"/>
  <c r="F1184" i="8"/>
  <c r="C1183" i="8"/>
  <c r="C1176" i="8"/>
  <c r="C1175" i="8"/>
  <c r="C1174" i="8"/>
  <c r="C1172" i="8"/>
  <c r="C1171" i="8"/>
  <c r="C1170" i="8"/>
  <c r="C1169" i="8"/>
  <c r="C1167" i="8"/>
  <c r="F1179" i="8" s="1"/>
  <c r="C1165" i="8"/>
  <c r="C1164" i="8"/>
  <c r="C1163" i="8"/>
  <c r="C1162" i="8"/>
  <c r="C1154" i="8"/>
  <c r="C1153" i="8"/>
  <c r="C1152" i="8"/>
  <c r="F1150" i="8"/>
  <c r="F1149" i="8"/>
  <c r="F1148" i="8"/>
  <c r="C1147" i="8"/>
  <c r="C1140" i="8"/>
  <c r="C1139" i="8"/>
  <c r="C1138" i="8"/>
  <c r="C1136" i="8"/>
  <c r="C1135" i="8"/>
  <c r="C1134" i="8"/>
  <c r="C1133" i="8"/>
  <c r="C1131" i="8"/>
  <c r="E1143" i="8" s="1"/>
  <c r="C1129" i="8"/>
  <c r="C1128" i="8"/>
  <c r="C1127" i="8"/>
  <c r="C1126" i="8"/>
  <c r="C1118" i="8"/>
  <c r="C1117" i="8"/>
  <c r="C1116" i="8"/>
  <c r="F1114" i="8"/>
  <c r="F1113" i="8"/>
  <c r="F1112" i="8"/>
  <c r="C1111" i="8"/>
  <c r="C1104" i="8"/>
  <c r="C1103" i="8"/>
  <c r="C1102" i="8"/>
  <c r="C1100" i="8"/>
  <c r="C1099" i="8"/>
  <c r="C1098" i="8"/>
  <c r="C1097" i="8"/>
  <c r="C1095" i="8"/>
  <c r="C1107" i="8" s="1"/>
  <c r="C1093" i="8"/>
  <c r="C1092" i="8"/>
  <c r="C1091" i="8"/>
  <c r="C1090" i="8"/>
  <c r="C1082" i="8"/>
  <c r="C1081" i="8"/>
  <c r="C1080" i="8"/>
  <c r="F1078" i="8"/>
  <c r="F1077" i="8"/>
  <c r="F1076" i="8"/>
  <c r="C1075" i="8"/>
  <c r="C1068" i="8"/>
  <c r="C1067" i="8"/>
  <c r="C1066" i="8"/>
  <c r="C1064" i="8"/>
  <c r="C1063" i="8"/>
  <c r="C1062" i="8"/>
  <c r="C1061" i="8"/>
  <c r="C1059" i="8"/>
  <c r="F1071" i="8" s="1"/>
  <c r="C1057" i="8"/>
  <c r="C1056" i="8"/>
  <c r="C1055" i="8"/>
  <c r="C1054" i="8"/>
  <c r="C1046" i="8"/>
  <c r="C1045" i="8"/>
  <c r="C1044" i="8"/>
  <c r="F1042" i="8"/>
  <c r="F1041" i="8"/>
  <c r="F1040" i="8"/>
  <c r="C1039" i="8"/>
  <c r="C1032" i="8"/>
  <c r="C1031" i="8"/>
  <c r="C1030" i="8"/>
  <c r="C1028" i="8"/>
  <c r="C1027" i="8"/>
  <c r="C1026" i="8"/>
  <c r="C1025" i="8"/>
  <c r="C1023" i="8"/>
  <c r="E1035" i="8" s="1"/>
  <c r="C1021" i="8"/>
  <c r="C1020" i="8"/>
  <c r="C1019" i="8"/>
  <c r="C1018" i="8"/>
  <c r="C1010" i="8"/>
  <c r="C1009" i="8"/>
  <c r="C1008" i="8"/>
  <c r="F1006" i="8"/>
  <c r="F1005" i="8"/>
  <c r="F1004" i="8"/>
  <c r="C1003" i="8"/>
  <c r="C996" i="8"/>
  <c r="C995" i="8"/>
  <c r="C994" i="8"/>
  <c r="C992" i="8"/>
  <c r="C991" i="8"/>
  <c r="C990" i="8"/>
  <c r="C989" i="8"/>
  <c r="C987" i="8"/>
  <c r="F999" i="8" s="1"/>
  <c r="C985" i="8"/>
  <c r="C984" i="8"/>
  <c r="C983" i="8"/>
  <c r="C982" i="8"/>
  <c r="C974" i="8"/>
  <c r="C973" i="8"/>
  <c r="C972" i="8"/>
  <c r="F970" i="8"/>
  <c r="F969" i="8"/>
  <c r="F968" i="8"/>
  <c r="C967" i="8"/>
  <c r="C960" i="8"/>
  <c r="C959" i="8"/>
  <c r="C958" i="8"/>
  <c r="C956" i="8"/>
  <c r="C955" i="8"/>
  <c r="C954" i="8"/>
  <c r="C953" i="8"/>
  <c r="C951" i="8"/>
  <c r="D963" i="8" s="1"/>
  <c r="C949" i="8"/>
  <c r="C948" i="8"/>
  <c r="C947" i="8"/>
  <c r="C946" i="8"/>
  <c r="C938" i="8"/>
  <c r="C937" i="8"/>
  <c r="C936" i="8"/>
  <c r="F934" i="8"/>
  <c r="F933" i="8"/>
  <c r="F932" i="8"/>
  <c r="C931" i="8"/>
  <c r="C924" i="8"/>
  <c r="C923" i="8"/>
  <c r="C922" i="8"/>
  <c r="C920" i="8"/>
  <c r="C919" i="8"/>
  <c r="C918" i="8"/>
  <c r="C917" i="8"/>
  <c r="C915" i="8"/>
  <c r="C927" i="8" s="1"/>
  <c r="C913" i="8"/>
  <c r="C912" i="8"/>
  <c r="C911" i="8"/>
  <c r="C910" i="8"/>
  <c r="C902" i="8"/>
  <c r="C901" i="8"/>
  <c r="C900" i="8"/>
  <c r="F898" i="8"/>
  <c r="F897" i="8"/>
  <c r="F896" i="8"/>
  <c r="C895" i="8"/>
  <c r="C888" i="8"/>
  <c r="C887" i="8"/>
  <c r="C886" i="8"/>
  <c r="C884" i="8"/>
  <c r="C883" i="8"/>
  <c r="C882" i="8"/>
  <c r="C881" i="8"/>
  <c r="C879" i="8"/>
  <c r="D891" i="8" s="1"/>
  <c r="C877" i="8"/>
  <c r="C876" i="8"/>
  <c r="C875" i="8"/>
  <c r="C874" i="8"/>
  <c r="C866" i="8"/>
  <c r="C865" i="8"/>
  <c r="C864" i="8"/>
  <c r="F862" i="8"/>
  <c r="F861" i="8"/>
  <c r="F860" i="8"/>
  <c r="C859" i="8"/>
  <c r="C852" i="8"/>
  <c r="C851" i="8"/>
  <c r="C850" i="8"/>
  <c r="C848" i="8"/>
  <c r="C847" i="8"/>
  <c r="C846" i="8"/>
  <c r="C845" i="8"/>
  <c r="C843" i="8"/>
  <c r="E855" i="8" s="1"/>
  <c r="C841" i="8"/>
  <c r="C840" i="8"/>
  <c r="C839" i="8"/>
  <c r="C838" i="8"/>
  <c r="C830" i="8"/>
  <c r="C829" i="8"/>
  <c r="C828" i="8"/>
  <c r="F826" i="8"/>
  <c r="F825" i="8"/>
  <c r="F824" i="8"/>
  <c r="C823" i="8"/>
  <c r="C816" i="8"/>
  <c r="C815" i="8"/>
  <c r="C814" i="8"/>
  <c r="C812" i="8"/>
  <c r="C811" i="8"/>
  <c r="C810" i="8"/>
  <c r="C809" i="8"/>
  <c r="C807" i="8"/>
  <c r="F819" i="8" s="1"/>
  <c r="C805" i="8"/>
  <c r="C804" i="8"/>
  <c r="C803" i="8"/>
  <c r="C802" i="8"/>
  <c r="C794" i="8"/>
  <c r="C793" i="8"/>
  <c r="C792" i="8"/>
  <c r="F790" i="8"/>
  <c r="F789" i="8"/>
  <c r="F788" i="8"/>
  <c r="C787" i="8"/>
  <c r="C780" i="8"/>
  <c r="C779" i="8"/>
  <c r="C778" i="8"/>
  <c r="C776" i="8"/>
  <c r="C775" i="8"/>
  <c r="C774" i="8"/>
  <c r="C773" i="8"/>
  <c r="C771" i="8"/>
  <c r="F783" i="8" s="1"/>
  <c r="C769" i="8"/>
  <c r="C768" i="8"/>
  <c r="C767" i="8"/>
  <c r="C766" i="8"/>
  <c r="C758" i="8"/>
  <c r="C757" i="8"/>
  <c r="C756" i="8"/>
  <c r="F754" i="8"/>
  <c r="F753" i="8"/>
  <c r="F752" i="8"/>
  <c r="C751" i="8"/>
  <c r="C744" i="8"/>
  <c r="C743" i="8"/>
  <c r="C742" i="8"/>
  <c r="C740" i="8"/>
  <c r="C739" i="8"/>
  <c r="C738" i="8"/>
  <c r="C737" i="8"/>
  <c r="C735" i="8"/>
  <c r="E747" i="8" s="1"/>
  <c r="C733" i="8"/>
  <c r="C732" i="8"/>
  <c r="C731" i="8"/>
  <c r="C730" i="8"/>
  <c r="C722" i="8"/>
  <c r="C721" i="8"/>
  <c r="C720" i="8"/>
  <c r="F718" i="8"/>
  <c r="F717" i="8"/>
  <c r="F716" i="8"/>
  <c r="C715" i="8"/>
  <c r="C708" i="8"/>
  <c r="C707" i="8"/>
  <c r="C706" i="8"/>
  <c r="C704" i="8"/>
  <c r="C703" i="8"/>
  <c r="C702" i="8"/>
  <c r="C701" i="8"/>
  <c r="C699" i="8"/>
  <c r="F711" i="8" s="1"/>
  <c r="C697" i="8"/>
  <c r="C696" i="8"/>
  <c r="C695" i="8"/>
  <c r="C694" i="8"/>
  <c r="C686" i="8"/>
  <c r="C685" i="8"/>
  <c r="C684" i="8"/>
  <c r="F682" i="8"/>
  <c r="F681" i="8"/>
  <c r="F680" i="8"/>
  <c r="C679" i="8"/>
  <c r="C672" i="8"/>
  <c r="C671" i="8"/>
  <c r="C670" i="8"/>
  <c r="C668" i="8"/>
  <c r="C667" i="8"/>
  <c r="C666" i="8"/>
  <c r="C665" i="8"/>
  <c r="C663" i="8"/>
  <c r="C669" i="8" s="1"/>
  <c r="C661" i="8"/>
  <c r="C660" i="8"/>
  <c r="C659" i="8"/>
  <c r="C658" i="8"/>
  <c r="C650" i="8"/>
  <c r="C649" i="8"/>
  <c r="C648" i="8"/>
  <c r="F646" i="8"/>
  <c r="F645" i="8"/>
  <c r="F644" i="8"/>
  <c r="C643" i="8"/>
  <c r="C636" i="8"/>
  <c r="C635" i="8"/>
  <c r="C634" i="8"/>
  <c r="C632" i="8"/>
  <c r="C631" i="8"/>
  <c r="C630" i="8"/>
  <c r="C629" i="8"/>
  <c r="C627" i="8"/>
  <c r="C639" i="8" s="1"/>
  <c r="C625" i="8"/>
  <c r="C624" i="8"/>
  <c r="C623" i="8"/>
  <c r="C622" i="8"/>
  <c r="C614" i="8"/>
  <c r="C613" i="8"/>
  <c r="C612" i="8"/>
  <c r="F610" i="8"/>
  <c r="F609" i="8"/>
  <c r="F608" i="8"/>
  <c r="C607" i="8"/>
  <c r="C600" i="8"/>
  <c r="C599" i="8"/>
  <c r="C598" i="8"/>
  <c r="C596" i="8"/>
  <c r="C595" i="8"/>
  <c r="C594" i="8"/>
  <c r="C593" i="8"/>
  <c r="C591" i="8"/>
  <c r="D603" i="8" s="1"/>
  <c r="C589" i="8"/>
  <c r="C588" i="8"/>
  <c r="C587" i="8"/>
  <c r="C586" i="8"/>
  <c r="C270" i="8"/>
  <c r="C265" i="8"/>
  <c r="C578" i="8"/>
  <c r="C577" i="8"/>
  <c r="C576" i="8"/>
  <c r="F574" i="8"/>
  <c r="F573" i="8"/>
  <c r="F572" i="8"/>
  <c r="C571" i="8"/>
  <c r="C564" i="8"/>
  <c r="C563" i="8"/>
  <c r="C562" i="8"/>
  <c r="C560" i="8"/>
  <c r="C559" i="8"/>
  <c r="C558" i="8"/>
  <c r="C557" i="8"/>
  <c r="C555" i="8"/>
  <c r="E567" i="8" s="1"/>
  <c r="C553" i="8"/>
  <c r="C552" i="8"/>
  <c r="C551" i="8"/>
  <c r="C550" i="8"/>
  <c r="C542" i="8"/>
  <c r="C541" i="8"/>
  <c r="C540" i="8"/>
  <c r="F538" i="8"/>
  <c r="F537" i="8"/>
  <c r="F536" i="8"/>
  <c r="C535" i="8"/>
  <c r="C528" i="8"/>
  <c r="C527" i="8"/>
  <c r="C526" i="8"/>
  <c r="C524" i="8"/>
  <c r="C523" i="8"/>
  <c r="C522" i="8"/>
  <c r="C521" i="8"/>
  <c r="C519" i="8"/>
  <c r="F531" i="8" s="1"/>
  <c r="C517" i="8"/>
  <c r="C516" i="8"/>
  <c r="C515" i="8"/>
  <c r="C514" i="8"/>
  <c r="C506" i="8"/>
  <c r="C505" i="8"/>
  <c r="C504" i="8"/>
  <c r="F502" i="8"/>
  <c r="F501" i="8"/>
  <c r="F500" i="8"/>
  <c r="C499" i="8"/>
  <c r="C492" i="8"/>
  <c r="C491" i="8"/>
  <c r="C490" i="8"/>
  <c r="C488" i="8"/>
  <c r="C487" i="8"/>
  <c r="C486" i="8"/>
  <c r="C485" i="8"/>
  <c r="C483" i="8"/>
  <c r="F495" i="8" s="1"/>
  <c r="C481" i="8"/>
  <c r="C480" i="8"/>
  <c r="C479" i="8"/>
  <c r="C478" i="8"/>
  <c r="C470" i="8"/>
  <c r="C469" i="8"/>
  <c r="C468" i="8"/>
  <c r="F466" i="8"/>
  <c r="F465" i="8"/>
  <c r="F464" i="8"/>
  <c r="C463" i="8"/>
  <c r="C456" i="8"/>
  <c r="C455" i="8"/>
  <c r="C454" i="8"/>
  <c r="C452" i="8"/>
  <c r="C451" i="8"/>
  <c r="C450" i="8"/>
  <c r="C449" i="8"/>
  <c r="C447" i="8"/>
  <c r="F459" i="8" s="1"/>
  <c r="C445" i="8"/>
  <c r="C444" i="8"/>
  <c r="C443" i="8"/>
  <c r="C442" i="8"/>
  <c r="C434" i="8"/>
  <c r="C433" i="8"/>
  <c r="C432" i="8"/>
  <c r="F430" i="8"/>
  <c r="F429" i="8"/>
  <c r="F428" i="8"/>
  <c r="C427" i="8"/>
  <c r="C420" i="8"/>
  <c r="C419" i="8"/>
  <c r="C418" i="8"/>
  <c r="C416" i="8"/>
  <c r="C415" i="8"/>
  <c r="C414" i="8"/>
  <c r="C413" i="8"/>
  <c r="C411" i="8"/>
  <c r="F423" i="8" s="1"/>
  <c r="C409" i="8"/>
  <c r="C408" i="8"/>
  <c r="C407" i="8"/>
  <c r="C406" i="8"/>
  <c r="C398" i="8"/>
  <c r="C397" i="8"/>
  <c r="C396" i="8"/>
  <c r="F394" i="8"/>
  <c r="F393" i="8"/>
  <c r="F392" i="8"/>
  <c r="C391" i="8"/>
  <c r="C384" i="8"/>
  <c r="C383" i="8"/>
  <c r="C382" i="8"/>
  <c r="C380" i="8"/>
  <c r="C379" i="8"/>
  <c r="C378" i="8"/>
  <c r="C377" i="8"/>
  <c r="C375" i="8"/>
  <c r="C385" i="8" s="1"/>
  <c r="C373" i="8"/>
  <c r="C372" i="8"/>
  <c r="C371" i="8"/>
  <c r="C370" i="8"/>
  <c r="C362" i="8"/>
  <c r="C361" i="8"/>
  <c r="C360" i="8"/>
  <c r="F358" i="8"/>
  <c r="F357" i="8"/>
  <c r="F356" i="8"/>
  <c r="C355" i="8"/>
  <c r="C348" i="8"/>
  <c r="C347" i="8"/>
  <c r="C346" i="8"/>
  <c r="C344" i="8"/>
  <c r="C343" i="8"/>
  <c r="C342" i="8"/>
  <c r="C341" i="8"/>
  <c r="C339" i="8"/>
  <c r="C351" i="8" s="1"/>
  <c r="C337" i="8"/>
  <c r="C336" i="8"/>
  <c r="C335" i="8"/>
  <c r="C334" i="8"/>
  <c r="C326" i="8"/>
  <c r="C325" i="8"/>
  <c r="C324" i="8"/>
  <c r="F322" i="8"/>
  <c r="F321" i="8"/>
  <c r="F320" i="8"/>
  <c r="C319" i="8"/>
  <c r="C312" i="8"/>
  <c r="C311" i="8"/>
  <c r="C310" i="8"/>
  <c r="C308" i="8"/>
  <c r="C307" i="8"/>
  <c r="C306" i="8"/>
  <c r="C305" i="8"/>
  <c r="C303" i="8"/>
  <c r="E315" i="8" s="1"/>
  <c r="C301" i="8"/>
  <c r="C300" i="8"/>
  <c r="C299" i="8"/>
  <c r="C298" i="8"/>
  <c r="C290" i="8"/>
  <c r="C289" i="8"/>
  <c r="C288" i="8"/>
  <c r="F286" i="8"/>
  <c r="F285" i="8"/>
  <c r="F284" i="8"/>
  <c r="C283" i="8"/>
  <c r="C276" i="8"/>
  <c r="C275" i="8"/>
  <c r="C274" i="8"/>
  <c r="C272" i="8"/>
  <c r="C271" i="8"/>
  <c r="C269" i="8"/>
  <c r="C267" i="8"/>
  <c r="E279" i="8" s="1"/>
  <c r="C264" i="8"/>
  <c r="C263" i="8"/>
  <c r="C262" i="8"/>
  <c r="C254" i="8"/>
  <c r="C253" i="8"/>
  <c r="C252" i="8"/>
  <c r="F250" i="8"/>
  <c r="F249" i="8"/>
  <c r="F248" i="8"/>
  <c r="C247" i="8"/>
  <c r="C240" i="8"/>
  <c r="C239" i="8"/>
  <c r="C238" i="8"/>
  <c r="C236" i="8"/>
  <c r="C235" i="8"/>
  <c r="C234" i="8"/>
  <c r="C233" i="8"/>
  <c r="C231" i="8"/>
  <c r="E243" i="8" s="1"/>
  <c r="C229" i="8"/>
  <c r="C228" i="8"/>
  <c r="C227" i="8"/>
  <c r="C226" i="8"/>
  <c r="C218" i="8"/>
  <c r="C217" i="8"/>
  <c r="C216" i="8"/>
  <c r="F214" i="8"/>
  <c r="F213" i="8"/>
  <c r="F212" i="8"/>
  <c r="C211" i="8"/>
  <c r="C204" i="8"/>
  <c r="C203" i="8"/>
  <c r="C202" i="8"/>
  <c r="C200" i="8"/>
  <c r="C199" i="8"/>
  <c r="C198" i="8"/>
  <c r="C197" i="8"/>
  <c r="C195" i="8"/>
  <c r="F207" i="8" s="1"/>
  <c r="C193" i="8"/>
  <c r="C192" i="8"/>
  <c r="C191" i="8"/>
  <c r="C190" i="8"/>
  <c r="C182" i="8"/>
  <c r="C181" i="8"/>
  <c r="C180" i="8"/>
  <c r="F178" i="8"/>
  <c r="F177" i="8"/>
  <c r="F176" i="8"/>
  <c r="C175" i="8"/>
  <c r="C168" i="8"/>
  <c r="C167" i="8"/>
  <c r="C166" i="8"/>
  <c r="C164" i="8"/>
  <c r="C163" i="8"/>
  <c r="C162" i="8"/>
  <c r="C161" i="8"/>
  <c r="C159" i="8"/>
  <c r="F171" i="8" s="1"/>
  <c r="C157" i="8"/>
  <c r="C156" i="8"/>
  <c r="C155" i="8"/>
  <c r="C154" i="8"/>
  <c r="C146" i="8"/>
  <c r="C145" i="8"/>
  <c r="C144" i="8"/>
  <c r="F142" i="8"/>
  <c r="F141" i="8"/>
  <c r="F140" i="8"/>
  <c r="C139" i="8"/>
  <c r="C132" i="8"/>
  <c r="C131" i="8"/>
  <c r="C130" i="8"/>
  <c r="C128" i="8"/>
  <c r="C127" i="8"/>
  <c r="C126" i="8"/>
  <c r="C125" i="8"/>
  <c r="C123" i="8"/>
  <c r="E135" i="8" s="1"/>
  <c r="C121" i="8"/>
  <c r="C120" i="8"/>
  <c r="C119" i="8"/>
  <c r="C118" i="8"/>
  <c r="C110" i="8"/>
  <c r="C109" i="8"/>
  <c r="C108" i="8"/>
  <c r="F106" i="8"/>
  <c r="F105" i="8"/>
  <c r="F104" i="8"/>
  <c r="C103" i="8"/>
  <c r="C96" i="8"/>
  <c r="C95" i="8"/>
  <c r="C94" i="8"/>
  <c r="C92" i="8"/>
  <c r="C91" i="8"/>
  <c r="C90" i="8"/>
  <c r="C89" i="8"/>
  <c r="C87" i="8"/>
  <c r="F99" i="8" s="1"/>
  <c r="C85" i="8"/>
  <c r="C84" i="8"/>
  <c r="C83" i="8"/>
  <c r="C82" i="8"/>
  <c r="C74" i="8"/>
  <c r="C38" i="8"/>
  <c r="C37" i="8"/>
  <c r="C73" i="8"/>
  <c r="C72" i="8"/>
  <c r="F70" i="8"/>
  <c r="F69" i="8"/>
  <c r="F68" i="8"/>
  <c r="C67" i="8"/>
  <c r="C60" i="8"/>
  <c r="C59" i="8"/>
  <c r="C58" i="8"/>
  <c r="C56" i="8"/>
  <c r="C55" i="8"/>
  <c r="C54" i="8"/>
  <c r="C53" i="8"/>
  <c r="C51" i="8"/>
  <c r="E63" i="8" s="1"/>
  <c r="C49" i="8"/>
  <c r="C48" i="8"/>
  <c r="C47" i="8"/>
  <c r="C46" i="8"/>
  <c r="C18" i="8"/>
  <c r="C19" i="8"/>
  <c r="C22" i="8"/>
  <c r="C31" i="8"/>
  <c r="C11" i="8"/>
  <c r="C17" i="8"/>
  <c r="C13" i="8"/>
  <c r="U5" i="4"/>
  <c r="X80" i="2"/>
  <c r="X68" i="2"/>
  <c r="AT68" i="2" s="1"/>
  <c r="U69" i="4" s="1"/>
  <c r="X66" i="2"/>
  <c r="AT66" i="2" s="1"/>
  <c r="U67" i="4" s="1"/>
  <c r="W67" i="4" s="1"/>
  <c r="X62" i="2"/>
  <c r="N63" i="4" s="1"/>
  <c r="X56" i="2"/>
  <c r="N57" i="4" s="1"/>
  <c r="X50" i="2"/>
  <c r="AT50" i="2" s="1"/>
  <c r="U51" i="4" s="1"/>
  <c r="X49" i="2"/>
  <c r="N50" i="4" s="1"/>
  <c r="X48" i="2"/>
  <c r="N49" i="4" s="1"/>
  <c r="X47" i="2"/>
  <c r="AT47" i="2" s="1"/>
  <c r="U48" i="4" s="1"/>
  <c r="X32" i="2"/>
  <c r="N33" i="4" s="1"/>
  <c r="X25" i="2"/>
  <c r="X24" i="2"/>
  <c r="AT24" i="2" s="1"/>
  <c r="U25" i="4" s="1"/>
  <c r="X22" i="2"/>
  <c r="AT22" i="2" s="1"/>
  <c r="U23" i="4" s="1"/>
  <c r="C15" i="8"/>
  <c r="F27" i="8" s="1"/>
  <c r="C10" i="8"/>
  <c r="AT23" i="2"/>
  <c r="U24" i="4" s="1"/>
  <c r="S25" i="4"/>
  <c r="S24" i="4"/>
  <c r="S23" i="4"/>
  <c r="C12" i="8"/>
  <c r="C20" i="8"/>
  <c r="F17" i="15"/>
  <c r="F16" i="15"/>
  <c r="F15" i="15"/>
  <c r="F14" i="15"/>
  <c r="F13" i="15"/>
  <c r="F12" i="15"/>
  <c r="F11" i="15"/>
  <c r="F10" i="15"/>
  <c r="E5" i="4"/>
  <c r="C5" i="4"/>
  <c r="B5" i="4"/>
  <c r="C36" i="8"/>
  <c r="F34" i="8"/>
  <c r="F33" i="8"/>
  <c r="F32" i="8"/>
  <c r="C24" i="8"/>
  <c r="C23" i="8"/>
  <c r="W70" i="4" l="1"/>
  <c r="W69" i="4"/>
  <c r="W5" i="4"/>
  <c r="W68" i="4"/>
  <c r="W61" i="4"/>
  <c r="W87" i="4"/>
  <c r="W86" i="4"/>
  <c r="W85" i="4"/>
  <c r="W84" i="4"/>
  <c r="W83" i="4"/>
  <c r="W32" i="4"/>
  <c r="W21" i="4"/>
  <c r="W20" i="4"/>
  <c r="W19" i="4"/>
  <c r="W18" i="4"/>
  <c r="W17" i="4"/>
  <c r="S33" i="4"/>
  <c r="W16" i="4"/>
  <c r="W15" i="4"/>
  <c r="W8" i="4"/>
  <c r="W6" i="4"/>
  <c r="V10" i="4"/>
  <c r="W10" i="4"/>
  <c r="W22" i="4"/>
  <c r="W9" i="4"/>
  <c r="W7" i="4"/>
  <c r="W47" i="4"/>
  <c r="W46" i="4"/>
  <c r="W45" i="4"/>
  <c r="W40" i="4"/>
  <c r="T26" i="4"/>
  <c r="AF25" i="2"/>
  <c r="P12" i="4"/>
  <c r="AS11" i="2"/>
  <c r="AF11" i="2"/>
  <c r="AS12" i="2"/>
  <c r="AF12" i="2"/>
  <c r="AS10" i="2"/>
  <c r="T11" i="4" s="1"/>
  <c r="AS44" i="2"/>
  <c r="T45" i="4" s="1"/>
  <c r="V45" i="4" s="1"/>
  <c r="AS61" i="2"/>
  <c r="T62" i="4" s="1"/>
  <c r="V62" i="4" s="1"/>
  <c r="AS64" i="2"/>
  <c r="T65" i="4" s="1"/>
  <c r="V65" i="4" s="1"/>
  <c r="W73" i="4"/>
  <c r="V26" i="4"/>
  <c r="W11" i="4"/>
  <c r="W77" i="4"/>
  <c r="S82" i="4"/>
  <c r="W24" i="4"/>
  <c r="W23" i="4"/>
  <c r="W25" i="4"/>
  <c r="W72" i="4"/>
  <c r="W59" i="4"/>
  <c r="W58" i="4"/>
  <c r="W39" i="4"/>
  <c r="W38" i="4"/>
  <c r="W36" i="4"/>
  <c r="W31" i="4"/>
  <c r="W28" i="4"/>
  <c r="W56" i="4"/>
  <c r="W53" i="4"/>
  <c r="W52" i="4"/>
  <c r="W44" i="4"/>
  <c r="W43" i="4"/>
  <c r="W42" i="4"/>
  <c r="W34" i="4"/>
  <c r="W41" i="4"/>
  <c r="W80" i="4"/>
  <c r="W79" i="4"/>
  <c r="W78" i="4"/>
  <c r="W76" i="4"/>
  <c r="W75" i="4"/>
  <c r="W74" i="4"/>
  <c r="W71" i="4"/>
  <c r="W60" i="4"/>
  <c r="W55" i="4"/>
  <c r="W54" i="4"/>
  <c r="W30" i="4"/>
  <c r="W29" i="4"/>
  <c r="W14" i="4"/>
  <c r="O28" i="4"/>
  <c r="O70" i="4"/>
  <c r="O5" i="4"/>
  <c r="V28" i="4"/>
  <c r="AT56" i="2"/>
  <c r="U57" i="4" s="1"/>
  <c r="W57" i="4" s="1"/>
  <c r="W37" i="4"/>
  <c r="AT80" i="2"/>
  <c r="U81" i="4" s="1"/>
  <c r="W81" i="4" s="1"/>
  <c r="W35" i="4"/>
  <c r="N48" i="4"/>
  <c r="N23" i="4"/>
  <c r="T55" i="4"/>
  <c r="V55" i="4" s="1"/>
  <c r="T12" i="4"/>
  <c r="V12" i="4" s="1"/>
  <c r="T13" i="4"/>
  <c r="V13" i="4" s="1"/>
  <c r="AF65" i="2"/>
  <c r="T66" i="4"/>
  <c r="V66" i="4" s="1"/>
  <c r="T64" i="4"/>
  <c r="V64" i="4" s="1"/>
  <c r="AT32" i="2"/>
  <c r="S64" i="4"/>
  <c r="AT49" i="2"/>
  <c r="U50" i="4" s="1"/>
  <c r="W50" i="4" s="1"/>
  <c r="AT48" i="2"/>
  <c r="U49" i="4" s="1"/>
  <c r="W49" i="4" s="1"/>
  <c r="AT26" i="2"/>
  <c r="U27" i="4" s="1"/>
  <c r="W27" i="4" s="1"/>
  <c r="N69" i="4"/>
  <c r="V78" i="4"/>
  <c r="V82" i="4"/>
  <c r="N67" i="4"/>
  <c r="N51" i="4"/>
  <c r="T54" i="4"/>
  <c r="V54" i="4" s="1"/>
  <c r="T56" i="4"/>
  <c r="V56" i="4" s="1"/>
  <c r="AT62" i="2"/>
  <c r="U63" i="4" s="1"/>
  <c r="W63" i="4" s="1"/>
  <c r="V71" i="4"/>
  <c r="V84" i="4"/>
  <c r="V68" i="4"/>
  <c r="V76" i="4"/>
  <c r="B34" i="5" s="1"/>
  <c r="N25" i="4"/>
  <c r="W65" i="4"/>
  <c r="V75" i="4"/>
  <c r="P54" i="4"/>
  <c r="V86" i="4"/>
  <c r="P56" i="4"/>
  <c r="N26" i="4"/>
  <c r="N81" i="4"/>
  <c r="W62" i="4"/>
  <c r="V63" i="4"/>
  <c r="W51" i="4"/>
  <c r="C2289" i="8"/>
  <c r="D2187" i="8"/>
  <c r="C2541" i="8"/>
  <c r="C2829" i="8"/>
  <c r="C2835" i="8"/>
  <c r="C2547" i="8"/>
  <c r="E2547" i="8"/>
  <c r="C2833" i="8"/>
  <c r="C2545" i="8"/>
  <c r="E2835" i="8"/>
  <c r="D2835" i="8"/>
  <c r="C2583" i="8"/>
  <c r="D2547" i="8"/>
  <c r="E2727" i="8"/>
  <c r="C2725" i="8"/>
  <c r="C2649" i="8"/>
  <c r="F2583" i="8"/>
  <c r="D1575" i="8"/>
  <c r="C2727" i="8"/>
  <c r="C1965" i="8"/>
  <c r="F2007" i="8"/>
  <c r="W82" i="4"/>
  <c r="W64" i="4"/>
  <c r="D2079" i="8"/>
  <c r="D2727" i="8"/>
  <c r="C2721" i="8"/>
  <c r="C1501" i="8"/>
  <c r="C1573" i="8"/>
  <c r="V79" i="4"/>
  <c r="V47" i="4"/>
  <c r="V39" i="4"/>
  <c r="C1641" i="8"/>
  <c r="C891" i="8"/>
  <c r="C925" i="8"/>
  <c r="C1791" i="8"/>
  <c r="D2367" i="8"/>
  <c r="V70" i="4"/>
  <c r="V83" i="4"/>
  <c r="V80" i="4"/>
  <c r="V72" i="4"/>
  <c r="V59" i="4"/>
  <c r="V52" i="4"/>
  <c r="V48" i="4"/>
  <c r="V40" i="4"/>
  <c r="V29" i="4"/>
  <c r="V22" i="4"/>
  <c r="V14" i="4"/>
  <c r="V6" i="4"/>
  <c r="C2073" i="8"/>
  <c r="E2655" i="8"/>
  <c r="C1789" i="8"/>
  <c r="C921" i="8"/>
  <c r="C1503" i="8"/>
  <c r="F2655" i="8"/>
  <c r="V87" i="4"/>
  <c r="C2365" i="8"/>
  <c r="W48" i="4"/>
  <c r="E2079" i="8"/>
  <c r="F2295" i="8"/>
  <c r="C2077" i="8"/>
  <c r="C2079" i="8"/>
  <c r="F2367" i="8"/>
  <c r="D1791" i="8"/>
  <c r="D927" i="8"/>
  <c r="C1321" i="8"/>
  <c r="C2181" i="8"/>
  <c r="C1897" i="8"/>
  <c r="C1893" i="8"/>
  <c r="C2187" i="8"/>
  <c r="E2007" i="8"/>
  <c r="C2469" i="8"/>
  <c r="D1899" i="8"/>
  <c r="C1317" i="8"/>
  <c r="C2295" i="8"/>
  <c r="D2475" i="8"/>
  <c r="C1609" i="8"/>
  <c r="C277" i="8"/>
  <c r="E2187" i="8"/>
  <c r="C1899" i="8"/>
  <c r="C2761" i="8"/>
  <c r="C2185" i="8"/>
  <c r="E1899" i="8"/>
  <c r="C1611" i="8"/>
  <c r="D1323" i="8"/>
  <c r="F855" i="8"/>
  <c r="E1323" i="8"/>
  <c r="D1719" i="8"/>
  <c r="C2581" i="8"/>
  <c r="D2583" i="8"/>
  <c r="C2577" i="8"/>
  <c r="C1251" i="8"/>
  <c r="C2221" i="8"/>
  <c r="F963" i="8"/>
  <c r="E1251" i="8"/>
  <c r="E675" i="8"/>
  <c r="D1251" i="8"/>
  <c r="F1935" i="8"/>
  <c r="D675" i="8"/>
  <c r="C675" i="8"/>
  <c r="D2511" i="8"/>
  <c r="C2109" i="8"/>
  <c r="C1245" i="8"/>
  <c r="C2005" i="8"/>
  <c r="C493" i="8"/>
  <c r="D2223" i="8"/>
  <c r="C2001" i="8"/>
  <c r="F1431" i="8"/>
  <c r="F2403" i="8"/>
  <c r="C2473" i="8"/>
  <c r="D2403" i="8"/>
  <c r="V67" i="4"/>
  <c r="V37" i="4"/>
  <c r="V25" i="4"/>
  <c r="V19" i="4"/>
  <c r="V11" i="4"/>
  <c r="C421" i="8"/>
  <c r="C2217" i="8"/>
  <c r="E1935" i="8"/>
  <c r="F1719" i="8"/>
  <c r="C2397" i="8"/>
  <c r="C2293" i="8"/>
  <c r="C1143" i="8"/>
  <c r="D2007" i="8"/>
  <c r="D1431" i="8"/>
  <c r="C1647" i="8"/>
  <c r="C2475" i="8"/>
  <c r="D2295" i="8"/>
  <c r="C853" i="8"/>
  <c r="E1071" i="8"/>
  <c r="C1717" i="8"/>
  <c r="C1929" i="8"/>
  <c r="F1647" i="8"/>
  <c r="E2475" i="8"/>
  <c r="C2403" i="8"/>
  <c r="C2367" i="8"/>
  <c r="C1933" i="8"/>
  <c r="C1935" i="8"/>
  <c r="E1647" i="8"/>
  <c r="C2691" i="8"/>
  <c r="C1645" i="8"/>
  <c r="F2223" i="8"/>
  <c r="E2403" i="8"/>
  <c r="C2151" i="8"/>
  <c r="V85" i="4"/>
  <c r="V74" i="4"/>
  <c r="V61" i="4"/>
  <c r="V51" i="4"/>
  <c r="V42" i="4"/>
  <c r="V34" i="4"/>
  <c r="V31" i="4"/>
  <c r="V16" i="4"/>
  <c r="C2149" i="8"/>
  <c r="C1569" i="8"/>
  <c r="D2151" i="8"/>
  <c r="C1389" i="8"/>
  <c r="E2151" i="8"/>
  <c r="C2799" i="8"/>
  <c r="D2799" i="8"/>
  <c r="C1857" i="8"/>
  <c r="E2799" i="8"/>
  <c r="C2797" i="8"/>
  <c r="C2145" i="8"/>
  <c r="C961" i="8"/>
  <c r="D63" i="8"/>
  <c r="C345" i="8"/>
  <c r="C963" i="8"/>
  <c r="D1395" i="8"/>
  <c r="C1713" i="8"/>
  <c r="C2329" i="8"/>
  <c r="C2437" i="8"/>
  <c r="C2325" i="8"/>
  <c r="F1107" i="8"/>
  <c r="C2505" i="8"/>
  <c r="C673" i="8"/>
  <c r="C135" i="8"/>
  <c r="C1101" i="8"/>
  <c r="F675" i="8"/>
  <c r="C1425" i="8"/>
  <c r="E1467" i="8"/>
  <c r="C2509" i="8"/>
  <c r="V5" i="4"/>
  <c r="E2691" i="8"/>
  <c r="C1681" i="8"/>
  <c r="C2041" i="8"/>
  <c r="C99" i="8"/>
  <c r="E1107" i="8"/>
  <c r="E963" i="8"/>
  <c r="C957" i="8"/>
  <c r="C2259" i="8"/>
  <c r="C1461" i="8"/>
  <c r="E1719" i="8"/>
  <c r="C1179" i="8"/>
  <c r="C2331" i="8"/>
  <c r="C1465" i="8"/>
  <c r="C1969" i="8"/>
  <c r="C129" i="8"/>
  <c r="C2685" i="8"/>
  <c r="C2689" i="8"/>
  <c r="C57" i="8"/>
  <c r="E1179" i="8"/>
  <c r="C2617" i="8"/>
  <c r="C1429" i="8"/>
  <c r="C633" i="8"/>
  <c r="D1467" i="8"/>
  <c r="C567" i="8"/>
  <c r="C1105" i="8"/>
  <c r="D711" i="8"/>
  <c r="C2253" i="8"/>
  <c r="E1431" i="8"/>
  <c r="E2043" i="8"/>
  <c r="C1755" i="8"/>
  <c r="E2511" i="8"/>
  <c r="C2511" i="8"/>
  <c r="E2331" i="8"/>
  <c r="D171" i="8"/>
  <c r="C1821" i="8"/>
  <c r="E1827" i="8"/>
  <c r="D2115" i="8"/>
  <c r="F1359" i="8"/>
  <c r="D27" i="8"/>
  <c r="C1825" i="8"/>
  <c r="E171" i="8"/>
  <c r="F2259" i="8"/>
  <c r="C1677" i="8"/>
  <c r="D1683" i="8"/>
  <c r="E1683" i="8"/>
  <c r="E1359" i="8"/>
  <c r="C2757" i="8"/>
  <c r="D1827" i="8"/>
  <c r="C2113" i="8"/>
  <c r="C1033" i="8"/>
  <c r="C453" i="8"/>
  <c r="D1107" i="8"/>
  <c r="C601" i="8"/>
  <c r="C1281" i="8"/>
  <c r="C1497" i="8"/>
  <c r="C1749" i="8"/>
  <c r="D1971" i="8"/>
  <c r="F2331" i="8"/>
  <c r="V77" i="4"/>
  <c r="C1359" i="8"/>
  <c r="C889" i="8"/>
  <c r="E891" i="8"/>
  <c r="F891" i="8"/>
  <c r="E2115" i="8"/>
  <c r="C1357" i="8"/>
  <c r="E1503" i="8"/>
  <c r="E1755" i="8"/>
  <c r="E1971" i="8"/>
  <c r="F2619" i="8"/>
  <c r="C603" i="8"/>
  <c r="C1537" i="8"/>
  <c r="B25" i="5"/>
  <c r="E603" i="8"/>
  <c r="D1287" i="8"/>
  <c r="F1971" i="8"/>
  <c r="F1395" i="8"/>
  <c r="C1393" i="8"/>
  <c r="E1863" i="8"/>
  <c r="E1395" i="8"/>
  <c r="F1539" i="8"/>
  <c r="C2257" i="8"/>
  <c r="C171" i="8"/>
  <c r="F567" i="8"/>
  <c r="E927" i="8"/>
  <c r="D747" i="8"/>
  <c r="C1287" i="8"/>
  <c r="C1827" i="8"/>
  <c r="E2259" i="8"/>
  <c r="C1353" i="8"/>
  <c r="V81" i="4"/>
  <c r="V73" i="4"/>
  <c r="V69" i="4"/>
  <c r="V57" i="4"/>
  <c r="V53" i="4"/>
  <c r="V41" i="4"/>
  <c r="V30" i="4"/>
  <c r="C1753" i="8"/>
  <c r="D243" i="8"/>
  <c r="C531" i="8"/>
  <c r="F927" i="8"/>
  <c r="C1173" i="8"/>
  <c r="D1755" i="8"/>
  <c r="C1249" i="8"/>
  <c r="C2223" i="8"/>
  <c r="C1467" i="8"/>
  <c r="C457" i="8"/>
  <c r="C459" i="8"/>
  <c r="F243" i="8"/>
  <c r="C63" i="8"/>
  <c r="C27" i="8"/>
  <c r="E459" i="8"/>
  <c r="C597" i="8"/>
  <c r="C21" i="8"/>
  <c r="C61" i="8"/>
  <c r="D459" i="8"/>
  <c r="C1029" i="8"/>
  <c r="C885" i="8"/>
  <c r="F603" i="8"/>
  <c r="C1323" i="8"/>
  <c r="C1575" i="8"/>
  <c r="F1683" i="8"/>
  <c r="E1575" i="8"/>
  <c r="F63" i="8"/>
  <c r="D1503" i="8"/>
  <c r="D495" i="8"/>
  <c r="D423" i="8"/>
  <c r="C813" i="8"/>
  <c r="C819" i="8"/>
  <c r="C741" i="8"/>
  <c r="C1605" i="8"/>
  <c r="E1539" i="8"/>
  <c r="D1539" i="8"/>
  <c r="C2115" i="8"/>
  <c r="C1285" i="8"/>
  <c r="E1287" i="8"/>
  <c r="E2619" i="8"/>
  <c r="C745" i="8"/>
  <c r="E1611" i="8"/>
  <c r="F2043" i="8"/>
  <c r="D1179" i="8"/>
  <c r="C2361" i="8"/>
  <c r="C2619" i="8"/>
  <c r="C2613" i="8"/>
  <c r="C1861" i="8"/>
  <c r="C489" i="8"/>
  <c r="C417" i="8"/>
  <c r="C309" i="8"/>
  <c r="E819" i="8"/>
  <c r="C1035" i="8"/>
  <c r="D1611" i="8"/>
  <c r="C2037" i="8"/>
  <c r="D2043" i="8"/>
  <c r="C1177" i="8"/>
  <c r="C2793" i="8"/>
  <c r="C315" i="8"/>
  <c r="C495" i="8"/>
  <c r="C561" i="8"/>
  <c r="F747" i="8"/>
  <c r="D1035" i="8"/>
  <c r="C1533" i="8"/>
  <c r="D1863" i="8"/>
  <c r="C1863" i="8"/>
  <c r="D2439" i="8"/>
  <c r="E495" i="8"/>
  <c r="E423" i="8"/>
  <c r="C423" i="8"/>
  <c r="C855" i="8"/>
  <c r="C849" i="8"/>
  <c r="F1035" i="8"/>
  <c r="C747" i="8"/>
  <c r="C1785" i="8"/>
  <c r="E1791" i="8"/>
  <c r="C2433" i="8"/>
  <c r="E2439" i="8"/>
  <c r="C2439" i="8"/>
  <c r="D315" i="8"/>
  <c r="C711" i="8"/>
  <c r="C387" i="8"/>
  <c r="E27" i="8"/>
  <c r="C817" i="8"/>
  <c r="C169" i="8"/>
  <c r="C243" i="8"/>
  <c r="D531" i="8"/>
  <c r="E387" i="8"/>
  <c r="F315" i="8"/>
  <c r="D1143" i="8"/>
  <c r="D783" i="8"/>
  <c r="E711" i="8"/>
  <c r="D1215" i="8"/>
  <c r="E2763" i="8"/>
  <c r="D2691" i="8"/>
  <c r="C997" i="8"/>
  <c r="C709" i="8"/>
  <c r="D279" i="8"/>
  <c r="F279" i="8"/>
  <c r="C525" i="8"/>
  <c r="F351" i="8"/>
  <c r="D819" i="8"/>
  <c r="C705" i="8"/>
  <c r="C783" i="8"/>
  <c r="C1069" i="8"/>
  <c r="D2763" i="8"/>
  <c r="C2653" i="8"/>
  <c r="C97" i="8"/>
  <c r="C1215" i="8"/>
  <c r="C565" i="8"/>
  <c r="C781" i="8"/>
  <c r="C93" i="8"/>
  <c r="C201" i="8"/>
  <c r="C273" i="8"/>
  <c r="D567" i="8"/>
  <c r="C1065" i="8"/>
  <c r="C1141" i="8"/>
  <c r="C1209" i="8"/>
  <c r="C529" i="8"/>
  <c r="E99" i="8"/>
  <c r="C279" i="8"/>
  <c r="C237" i="8"/>
  <c r="E531" i="8"/>
  <c r="C313" i="8"/>
  <c r="F387" i="8"/>
  <c r="D351" i="8"/>
  <c r="D855" i="8"/>
  <c r="D999" i="8"/>
  <c r="C999" i="8"/>
  <c r="E1215" i="8"/>
  <c r="C2763" i="8"/>
  <c r="C2655" i="8"/>
  <c r="F1143" i="8"/>
  <c r="C381" i="8"/>
  <c r="D1071" i="8"/>
  <c r="C1071" i="8"/>
  <c r="C25" i="8"/>
  <c r="C1213" i="8"/>
  <c r="D99" i="8"/>
  <c r="C165" i="8"/>
  <c r="C241" i="8"/>
  <c r="C349" i="8"/>
  <c r="D387" i="8"/>
  <c r="E351" i="8"/>
  <c r="C777" i="8"/>
  <c r="C993" i="8"/>
  <c r="C1137" i="8"/>
  <c r="E999" i="8"/>
  <c r="E783" i="8"/>
  <c r="C133" i="8"/>
  <c r="F639" i="8"/>
  <c r="E207" i="8"/>
  <c r="C637" i="8"/>
  <c r="D207" i="8"/>
  <c r="D639" i="8"/>
  <c r="D135" i="8"/>
  <c r="F135" i="8"/>
  <c r="C205" i="8"/>
  <c r="C207" i="8"/>
  <c r="E639" i="8"/>
  <c r="U33" i="4" l="1"/>
  <c r="W33" i="4" s="1"/>
  <c r="AT12" i="2"/>
  <c r="U13" i="4" s="1"/>
  <c r="W13" i="4" s="1"/>
  <c r="S13" i="4"/>
  <c r="AT11" i="2"/>
  <c r="U12" i="4" s="1"/>
  <c r="W12" i="4" s="1"/>
  <c r="S12" i="4"/>
  <c r="S26" i="4"/>
  <c r="AT25" i="2"/>
  <c r="U26" i="4" s="1"/>
  <c r="W26" i="4" s="1"/>
  <c r="B29" i="5"/>
  <c r="B31" i="5"/>
  <c r="B30" i="5"/>
  <c r="AT65" i="2"/>
  <c r="U66" i="4" s="1"/>
  <c r="W66" i="4" s="1"/>
  <c r="S66" i="4"/>
  <c r="B37" i="5"/>
  <c r="B36" i="5"/>
  <c r="B24" i="5"/>
  <c r="B35" i="5"/>
  <c r="B33" i="5"/>
  <c r="B32" i="5"/>
  <c r="B26" i="5"/>
  <c r="B27" i="5"/>
  <c r="B28" i="5"/>
  <c r="B3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Alejandra Avellaneda Chaves</author>
  </authors>
  <commentList>
    <comment ref="U4" authorId="0" shapeId="0" xr:uid="{00000000-0006-0000-0500-000001000000}">
      <text>
        <r>
          <rPr>
            <sz val="9"/>
            <color rgb="FF000000"/>
            <rFont val="Tahoma"/>
            <family val="2"/>
          </rPr>
          <t>Se diligencia en el último trimestre del año</t>
        </r>
      </text>
    </comment>
    <comment ref="W4" authorId="0" shapeId="0" xr:uid="{00000000-0006-0000-0500-000002000000}">
      <text>
        <r>
          <rPr>
            <sz val="9"/>
            <color indexed="81"/>
            <rFont val="Tahoma"/>
            <family val="2"/>
          </rPr>
          <t>Se diligencia en el último trimestre del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Alejandra Avellaneda Chaves</author>
  </authors>
  <commentList>
    <comment ref="A14" authorId="0" shapeId="0" xr:uid="{00000000-0006-0000-0100-000001000000}">
      <text>
        <r>
          <rPr>
            <sz val="9"/>
            <color rgb="FF000000"/>
            <rFont val="Tahoma"/>
            <family val="2"/>
          </rPr>
          <t>Este espacio se dispone con el fin de realizar aclaraciones sobre la medición</t>
        </r>
      </text>
    </comment>
    <comment ref="B22" authorId="0" shapeId="0" xr:uid="{00000000-0006-0000-0100-000002000000}">
      <text>
        <r>
          <rPr>
            <sz val="9"/>
            <color rgb="FF000000"/>
            <rFont val="Tahoma"/>
            <family val="2"/>
          </rPr>
          <t>Se dejarán visibles las columnas de las tipologías de los indicadores establecidos para la vigencia, según sea el caso.</t>
        </r>
      </text>
    </comment>
    <comment ref="A41" authorId="0" shapeId="0" xr:uid="{00000000-0006-0000-0100-000003000000}">
      <text>
        <r>
          <rPr>
            <b/>
            <sz val="9"/>
            <color rgb="FF000000"/>
            <rFont val="Tahoma"/>
            <family val="2"/>
          </rPr>
          <t>Maria Alejandra Avellaneda Chaves:</t>
        </r>
        <r>
          <rPr>
            <sz val="9"/>
            <color rgb="FF000000"/>
            <rFont val="Tahoma"/>
            <family val="2"/>
          </rPr>
          <t xml:space="preserve">
</t>
        </r>
        <r>
          <rPr>
            <sz val="9"/>
            <color rgb="FF000000"/>
            <rFont val="Tahoma"/>
            <family val="2"/>
          </rPr>
          <t>Este espacio se dispone con el fin de realizar el gráfico respectivo de la medición del trimestre</t>
        </r>
      </text>
    </comment>
  </commentList>
</comments>
</file>

<file path=xl/sharedStrings.xml><?xml version="1.0" encoding="utf-8"?>
<sst xmlns="http://schemas.openxmlformats.org/spreadsheetml/2006/main" count="7024" uniqueCount="1138">
  <si>
    <t>NIVEL DEL PROCESO</t>
  </si>
  <si>
    <t>NOMBRE DEL PROCESO</t>
  </si>
  <si>
    <t xml:space="preserve">Dependencia </t>
  </si>
  <si>
    <t>Porcentaje dependencia en el proceso</t>
  </si>
  <si>
    <t>ÁREA DE DERECHO</t>
  </si>
  <si>
    <t xml:space="preserve">Proceso </t>
  </si>
  <si>
    <t>Porcentaje de peso por dependncia por procesos</t>
  </si>
  <si>
    <t>% de participación del indicador al área de derecho:</t>
  </si>
  <si>
    <t xml:space="preserve">Total procesos </t>
  </si>
  <si>
    <t>ESTRATÉGICO</t>
  </si>
  <si>
    <t>GESTIÓN DEL CONOCIMIENTO Y LA INNOVACIÓN</t>
  </si>
  <si>
    <t>Oficina Asesora de Planeación</t>
  </si>
  <si>
    <t>N/A</t>
  </si>
  <si>
    <t>Proceso Planeación Direccionamiento Estrategico y Comunicaciones</t>
  </si>
  <si>
    <t>GESTIÓN DEL TALENTO HUMANO</t>
  </si>
  <si>
    <t>Subdirección de Gestión Humana</t>
  </si>
  <si>
    <t>Gabinete</t>
  </si>
  <si>
    <t>PLANEACIÓN, DIRECCIONAMIENTO ESTRATÉGICO Y COMUNICACIONES</t>
  </si>
  <si>
    <t>Grupo de Coordinación del Gabinete del Ministerio del Interior</t>
  </si>
  <si>
    <t>PLANEACIÓN</t>
  </si>
  <si>
    <t>Comunicaciones</t>
  </si>
  <si>
    <t>Gestión del conocimiento</t>
  </si>
  <si>
    <t xml:space="preserve">Gestión del Talento Humano </t>
  </si>
  <si>
    <t>Oficina de Información Pública del Interior</t>
  </si>
  <si>
    <t>COMUNICACIONES</t>
  </si>
  <si>
    <t xml:space="preserve">Gestión Politica y Gobierno </t>
  </si>
  <si>
    <t>Dirección de Asuntos legislativos</t>
  </si>
  <si>
    <t>MISIONAL</t>
  </si>
  <si>
    <t>GESTIÓN PARA LA PROTECCIÓN DE LOS DERECHOS</t>
  </si>
  <si>
    <t>Dirección de Asuntos para Comunidades Negras, Afrocolombianas, Raizales y Palenqueras</t>
  </si>
  <si>
    <t xml:space="preserve"> COMUNIDADES ÉTNICAS Y MINORÍAS - NEGRITUDES</t>
  </si>
  <si>
    <t>Dirección para la Democracia, part. ciudadana y acción comunal</t>
  </si>
  <si>
    <t>Dirección de Asuntos Religiosos</t>
  </si>
  <si>
    <t xml:space="preserve"> LIBERTAD RELIGIOSA</t>
  </si>
  <si>
    <t>Subdirección de Gobierno,Gestión territorial y Lucha contra la Trata</t>
  </si>
  <si>
    <t>Dirección de Derechos Humanos</t>
  </si>
  <si>
    <t>DERECHOS HUMANOS</t>
  </si>
  <si>
    <t>Equipo de Paz</t>
  </si>
  <si>
    <t>Dirección de la Autoridad Nacional de Consulta Previa</t>
  </si>
  <si>
    <t xml:space="preserve"> COMUNIDADES ETNICAS Y MINORIAS - CONSULTA PREVIA</t>
  </si>
  <si>
    <t>Gestión para la Protección de los Derechos</t>
  </si>
  <si>
    <t>Dirección de Seguridad, Convivencia Ciudadana y Gobierno</t>
  </si>
  <si>
    <t>SEGURIDAD Y CONVIVENCIA</t>
  </si>
  <si>
    <t>Grupo de Atención para la Política de Víctimas</t>
  </si>
  <si>
    <t>Grupo de Articulación Interna para la Política de Victimas</t>
  </si>
  <si>
    <t>Dirección de Asuntos Indígenas, Rom y Minorias</t>
  </si>
  <si>
    <t>Subdirección de Proyectos para la Seguridad y Convivencia Ciudadana</t>
  </si>
  <si>
    <t>Dirección de Asuntos para Comunidades Negras</t>
  </si>
  <si>
    <t>Dirección de Asuntos Indígenas, ROM y Minorías</t>
  </si>
  <si>
    <t>COMUNIDADES ÉTNICAS Y MINORIAS -INDIGENAS-</t>
  </si>
  <si>
    <t xml:space="preserve">Dirección de la Autoridad Nacional de Consulta Previa </t>
  </si>
  <si>
    <t>GESTIÓN POLÍTICA Y GOBIERNO</t>
  </si>
  <si>
    <t>Dirección de Asuntos Legislativos</t>
  </si>
  <si>
    <t>ASUNTOS LEGISLATIVOS</t>
  </si>
  <si>
    <t>Grupo paz no tiene indicadores de proceso</t>
  </si>
  <si>
    <t>Dirección para la Democracia, la Participación Ciudadana y la Acción Comunal</t>
  </si>
  <si>
    <t>DEMOCRACIA, PARTICIPACIÓN CIUDADANA Y ACCIÓN COMUNAL</t>
  </si>
  <si>
    <t>Subidrección de Gobierno  y Gestión Territorial y Lucha contra la Trata</t>
  </si>
  <si>
    <t>GOBERNABILIDAD</t>
  </si>
  <si>
    <t>Subdirección de Proyectos para la Seguridad y la Convivencia Ciudadana</t>
  </si>
  <si>
    <t>DE APOYO</t>
  </si>
  <si>
    <t>GESTIÓN ADMINISTRATIVA</t>
  </si>
  <si>
    <t>Subdirección Administrativa y Financiera</t>
  </si>
  <si>
    <t>Equipo de Equidad</t>
  </si>
  <si>
    <t>GESTIÓN DE ASUNTOS DISCIPLINARIOS</t>
  </si>
  <si>
    <t>Grupo de Control Disciplinario Interno</t>
  </si>
  <si>
    <t>Gestión Administrativa</t>
  </si>
  <si>
    <t>GESTIÓN DE BIENES Y SERVICIOS</t>
  </si>
  <si>
    <t>Subdirección de Gestión Contractual</t>
  </si>
  <si>
    <t>CONTRACTUAL</t>
  </si>
  <si>
    <t>Gestión Financiera</t>
  </si>
  <si>
    <t>GESTIÓN DOCUMENTAL Y ARCHIVO</t>
  </si>
  <si>
    <t>Gestión de Bienes y Servicios</t>
  </si>
  <si>
    <t xml:space="preserve">Subdirección de Gestin Contractual </t>
  </si>
  <si>
    <t>GESTIÓN FINANCIERA</t>
  </si>
  <si>
    <t>Gestión Jurídica</t>
  </si>
  <si>
    <t>Oficina Asesora Juridica</t>
  </si>
  <si>
    <t>GESTIÓN JURÍDICA</t>
  </si>
  <si>
    <t>Oficina Asesora Jurídica</t>
  </si>
  <si>
    <t>Servicio al Ciudadano</t>
  </si>
  <si>
    <t>GESTIÓN TECNOLÓGICA</t>
  </si>
  <si>
    <t>Gestión Tecnológica</t>
  </si>
  <si>
    <t>SERVICIO AL CIUDADANO</t>
  </si>
  <si>
    <t>Gestión Documental y Archivo</t>
  </si>
  <si>
    <t>EVALUACIÓN</t>
  </si>
  <si>
    <t>SEGUIMIENTO Y EVALUACIÓN A LA GESTIÓN</t>
  </si>
  <si>
    <t>Oficina de Control Interno</t>
  </si>
  <si>
    <t>Gestión de Asuntos Disciplinarios</t>
  </si>
  <si>
    <t>Seguimiento y Evaluación a la Gestión</t>
  </si>
  <si>
    <t>FICHA TÉCNICA</t>
  </si>
  <si>
    <t>Código del indicador</t>
  </si>
  <si>
    <t>Información de Clasificación</t>
  </si>
  <si>
    <t>Marco de Seguimiento</t>
  </si>
  <si>
    <t>Indicador de Proceso</t>
  </si>
  <si>
    <t>Información General</t>
  </si>
  <si>
    <t>Entidad responsable</t>
  </si>
  <si>
    <t>Ministerio del Interior</t>
  </si>
  <si>
    <t>Ind001</t>
  </si>
  <si>
    <t>Dependencia Responsable</t>
  </si>
  <si>
    <t>Nombre del indicador</t>
  </si>
  <si>
    <t>Tipo de indicador</t>
  </si>
  <si>
    <t>Descripción del indicador</t>
  </si>
  <si>
    <t>Información de Medición</t>
  </si>
  <si>
    <t>Unidad de medida</t>
  </si>
  <si>
    <t>Si se selecciona la opción "Otra", escribir aquí la unidad de medida:</t>
  </si>
  <si>
    <t>Fórmula de cálculo</t>
  </si>
  <si>
    <t>Periodicidad de medición</t>
  </si>
  <si>
    <t xml:space="preserve">Fuente (s) de información </t>
  </si>
  <si>
    <t>Año o serie disponible</t>
  </si>
  <si>
    <t>Valor de la línea base</t>
  </si>
  <si>
    <t>Fecha de la línea base</t>
  </si>
  <si>
    <t>Orientación del indicador</t>
  </si>
  <si>
    <t>Tipo de acumulación</t>
  </si>
  <si>
    <t>Metas</t>
  </si>
  <si>
    <t>Metas Parciales</t>
  </si>
  <si>
    <t>Trim I</t>
  </si>
  <si>
    <t>Trim II</t>
  </si>
  <si>
    <t>Trim III</t>
  </si>
  <si>
    <t>Trim IV</t>
  </si>
  <si>
    <t>Escala de tolerancia respecto al % de avance del indicador</t>
  </si>
  <si>
    <t>Incumplimiento</t>
  </si>
  <si>
    <t>Cumplimiento Insuficiente</t>
  </si>
  <si>
    <t>Cumplimiento Promedio</t>
  </si>
  <si>
    <t>Cumplimiento Aceptable</t>
  </si>
  <si>
    <t>Cumplimiento Sobresaliente</t>
  </si>
  <si>
    <t>Rojo</t>
  </si>
  <si>
    <t>Naranja</t>
  </si>
  <si>
    <t>Amarillo</t>
  </si>
  <si>
    <t>Azul</t>
  </si>
  <si>
    <t>Verde</t>
  </si>
  <si>
    <t>0%&lt;= X &lt;1%</t>
  </si>
  <si>
    <t>1%&lt;= X &lt;60%</t>
  </si>
  <si>
    <t>60% &lt;= X &lt;80%</t>
  </si>
  <si>
    <t>80%&lt;= X &lt;100%</t>
  </si>
  <si>
    <t>X &gt;=100%</t>
  </si>
  <si>
    <t>Evidencias</t>
  </si>
  <si>
    <t>Observaciones</t>
  </si>
  <si>
    <t>Aporta al proceso de:</t>
  </si>
  <si>
    <t>% de participación de la dependencia al proceso:</t>
  </si>
  <si>
    <t>% de participación del indicador frente al proceso:</t>
  </si>
  <si>
    <t xml:space="preserve">Información del responsable del diligenciamiento de la ficha técnica y del reporte </t>
  </si>
  <si>
    <t>L</t>
  </si>
  <si>
    <t xml:space="preserve">Cargo: </t>
  </si>
  <si>
    <t>Dependencia:</t>
  </si>
  <si>
    <t>Correo:</t>
  </si>
  <si>
    <t>Fecha de aprobación</t>
  </si>
  <si>
    <t>Marzo de 2025</t>
  </si>
  <si>
    <t>Ind002</t>
  </si>
  <si>
    <t>Ind003</t>
  </si>
  <si>
    <t>Ind004</t>
  </si>
  <si>
    <t>Ind005</t>
  </si>
  <si>
    <t>Ind006</t>
  </si>
  <si>
    <t>Ind007</t>
  </si>
  <si>
    <t>Ind008</t>
  </si>
  <si>
    <t>Ind009</t>
  </si>
  <si>
    <t>Ind010</t>
  </si>
  <si>
    <t>Ind011</t>
  </si>
  <si>
    <t>Ind012</t>
  </si>
  <si>
    <t>Ind013</t>
  </si>
  <si>
    <t>Ind014</t>
  </si>
  <si>
    <t>Ind015</t>
  </si>
  <si>
    <t>Ind016</t>
  </si>
  <si>
    <t>Ind017</t>
  </si>
  <si>
    <t>Ind018</t>
  </si>
  <si>
    <t>Ind019</t>
  </si>
  <si>
    <t>Ind020</t>
  </si>
  <si>
    <t>Ind021</t>
  </si>
  <si>
    <t>Ind022</t>
  </si>
  <si>
    <t>Ind023</t>
  </si>
  <si>
    <t>Ind024</t>
  </si>
  <si>
    <t>Ind025</t>
  </si>
  <si>
    <t>Ind026</t>
  </si>
  <si>
    <t>Ind027</t>
  </si>
  <si>
    <t>Ind029</t>
  </si>
  <si>
    <t>Ind030</t>
  </si>
  <si>
    <t>Ind031</t>
  </si>
  <si>
    <t>Ind032</t>
  </si>
  <si>
    <t>Ind033</t>
  </si>
  <si>
    <t>Ind034</t>
  </si>
  <si>
    <t>Ind035</t>
  </si>
  <si>
    <t>Ind036</t>
  </si>
  <si>
    <t>Ind037</t>
  </si>
  <si>
    <t>Ind038</t>
  </si>
  <si>
    <t>Ind039</t>
  </si>
  <si>
    <t>Ind040</t>
  </si>
  <si>
    <t>Ind041</t>
  </si>
  <si>
    <t>Ind042</t>
  </si>
  <si>
    <t>Ind043</t>
  </si>
  <si>
    <t>Ind044</t>
  </si>
  <si>
    <t>Ind045</t>
  </si>
  <si>
    <t>Ind046</t>
  </si>
  <si>
    <t>Ind047</t>
  </si>
  <si>
    <t>Ind048</t>
  </si>
  <si>
    <t>Ind049</t>
  </si>
  <si>
    <t>Ind050</t>
  </si>
  <si>
    <t>Ind051</t>
  </si>
  <si>
    <t>Ind052</t>
  </si>
  <si>
    <t>Ind053</t>
  </si>
  <si>
    <t>Ind054</t>
  </si>
  <si>
    <t>Ind055</t>
  </si>
  <si>
    <t>Ind056</t>
  </si>
  <si>
    <t>Ind057</t>
  </si>
  <si>
    <t>Ind058</t>
  </si>
  <si>
    <t>Ind059</t>
  </si>
  <si>
    <t>Ind060</t>
  </si>
  <si>
    <t>Ind061</t>
  </si>
  <si>
    <t>Ind062</t>
  </si>
  <si>
    <t>Ind063</t>
  </si>
  <si>
    <t>Ind064</t>
  </si>
  <si>
    <t>Ind065</t>
  </si>
  <si>
    <t>Ind066</t>
  </si>
  <si>
    <t>Ind067</t>
  </si>
  <si>
    <t>Ind068</t>
  </si>
  <si>
    <t>Ind069</t>
  </si>
  <si>
    <t>Ind070</t>
  </si>
  <si>
    <t>Ind071</t>
  </si>
  <si>
    <t>Ind072</t>
  </si>
  <si>
    <t>Ind073</t>
  </si>
  <si>
    <t>Ind074</t>
  </si>
  <si>
    <t>Ind075</t>
  </si>
  <si>
    <t>Ind076</t>
  </si>
  <si>
    <t>Ind077</t>
  </si>
  <si>
    <t>Ind078</t>
  </si>
  <si>
    <t>Ind079</t>
  </si>
  <si>
    <t>Ind080</t>
  </si>
  <si>
    <t>Despacho del Ministro del Interior</t>
  </si>
  <si>
    <t>Eficacia</t>
  </si>
  <si>
    <t>Stock</t>
  </si>
  <si>
    <t xml:space="preserve">Estratégico </t>
  </si>
  <si>
    <t>Eficiencia</t>
  </si>
  <si>
    <t>Flujo</t>
  </si>
  <si>
    <t xml:space="preserve">Misional </t>
  </si>
  <si>
    <t>Efectividad</t>
  </si>
  <si>
    <t>Acumulado</t>
  </si>
  <si>
    <t xml:space="preserve">Apoyo </t>
  </si>
  <si>
    <t>Calidad</t>
  </si>
  <si>
    <t>Capacidad</t>
  </si>
  <si>
    <t xml:space="preserve">Evaluación </t>
  </si>
  <si>
    <t>Dirección Jurídica</t>
  </si>
  <si>
    <t>Reducción</t>
  </si>
  <si>
    <t>Oficina de Control Disciplinario Interno</t>
  </si>
  <si>
    <t xml:space="preserve">Cumple meta trimestral </t>
  </si>
  <si>
    <t>Despacho del Viceministro para el Diálogo Social y los Derechos Humanos</t>
  </si>
  <si>
    <t>No aplica, no hay meta para el trimestre</t>
  </si>
  <si>
    <t>Dirección de Asuntos Indígenas, Rom y Minorías</t>
  </si>
  <si>
    <t>Planeación Direccionamiento Estratégico y Comunicaciones</t>
  </si>
  <si>
    <t>Director</t>
  </si>
  <si>
    <t>No cumple la meta proyectada para el trimestre</t>
  </si>
  <si>
    <t>Gestión del Conocimiento e Innovación</t>
  </si>
  <si>
    <t xml:space="preserve">Subdirector </t>
  </si>
  <si>
    <t>Reporta cumplimiento parcial, acorde con el indicadr</t>
  </si>
  <si>
    <t>Gestión del Talento Humano</t>
  </si>
  <si>
    <t xml:space="preserve">Jefe de Oficina </t>
  </si>
  <si>
    <t>Gestión Política y Gobierno</t>
  </si>
  <si>
    <t>Coordinador</t>
  </si>
  <si>
    <t>Subdirección Técnica de Consulta Previa</t>
  </si>
  <si>
    <t xml:space="preserve">Gestión Administrativa </t>
  </si>
  <si>
    <t>Subdirección de Gestión de Consulta Previa</t>
  </si>
  <si>
    <t>Subdirección Corporativa</t>
  </si>
  <si>
    <t xml:space="preserve">Despacho del Viceministro General del interior </t>
  </si>
  <si>
    <t xml:space="preserve">Gestión Jurídica </t>
  </si>
  <si>
    <t>Subdirección de Gobierno, Gestión Territorial y Lucha contra la Trata</t>
  </si>
  <si>
    <t xml:space="preserve">Secretaría General </t>
  </si>
  <si>
    <t xml:space="preserve">Subdirección de Gestión Contractual </t>
  </si>
  <si>
    <t xml:space="preserve">Grupo de Articulación Interna para la Política de Víctimas del Conflicto Armado. </t>
  </si>
  <si>
    <t>Grupo Equipo de Paz del Ministerio del Interior</t>
  </si>
  <si>
    <t>Grupo Enfoque de Género y Diversidad del Ministerio Interior</t>
  </si>
  <si>
    <t>Tablero de control Indicadores de Proceso</t>
  </si>
  <si>
    <r>
      <rPr>
        <b/>
        <sz val="12"/>
        <color theme="1"/>
        <rFont val="Calibri Light"/>
        <family val="2"/>
        <scheme val="major"/>
      </rPr>
      <t xml:space="preserve">Fecha de corte:  </t>
    </r>
    <r>
      <rPr>
        <sz val="12"/>
        <color theme="1"/>
        <rFont val="Calibri Light"/>
        <family val="2"/>
        <scheme val="major"/>
      </rPr>
      <t>31 de diciembre de 2024</t>
    </r>
  </si>
  <si>
    <r>
      <rPr>
        <b/>
        <sz val="12"/>
        <color theme="1"/>
        <rFont val="Calibri Light"/>
        <family val="2"/>
        <scheme val="major"/>
      </rPr>
      <t xml:space="preserve">Fuente: </t>
    </r>
    <r>
      <rPr>
        <sz val="12"/>
        <color theme="1"/>
        <rFont val="Calibri Light"/>
        <family val="2"/>
        <scheme val="major"/>
      </rPr>
      <t xml:space="preserve">Plan Estrategico institucional y de Acción 2024 - Seguimiento IV Trimestre,   </t>
    </r>
    <r>
      <rPr>
        <b/>
        <sz val="12"/>
        <color theme="1"/>
        <rFont val="Calibri Light"/>
        <family val="2"/>
        <scheme val="major"/>
      </rPr>
      <t xml:space="preserve"> Datos:</t>
    </r>
    <r>
      <rPr>
        <sz val="12"/>
        <color theme="1"/>
        <rFont val="Calibri Light"/>
        <family val="2"/>
        <scheme val="major"/>
      </rPr>
      <t xml:space="preserve"> Dependencias del Ministerio del Interior</t>
    </r>
  </si>
  <si>
    <r>
      <t>Fecha de informe:   28</t>
    </r>
    <r>
      <rPr>
        <sz val="12"/>
        <color theme="1"/>
        <rFont val="Calibri Light"/>
        <family val="2"/>
        <scheme val="major"/>
      </rPr>
      <t xml:space="preserve"> de enero de 2025.</t>
    </r>
  </si>
  <si>
    <t>Medición y Resultados</t>
  </si>
  <si>
    <t>Escala de tolerancia del porcentaje de avance</t>
  </si>
  <si>
    <t>Descripción</t>
  </si>
  <si>
    <r>
      <rPr>
        <b/>
        <sz val="12"/>
        <color theme="1"/>
        <rFont val="Calibri Light"/>
        <family val="2"/>
        <scheme val="major"/>
      </rPr>
      <t xml:space="preserve">1. </t>
    </r>
    <r>
      <rPr>
        <sz val="12"/>
        <color theme="1"/>
        <rFont val="Calibri Light"/>
        <family val="2"/>
        <scheme val="major"/>
      </rPr>
      <t>Los indicadores de proceso se relacionan en el plan de acción a nivel de prioridad, iniciativa y/o actividad.</t>
    </r>
  </si>
  <si>
    <r>
      <rPr>
        <b/>
        <sz val="12"/>
        <color theme="1"/>
        <rFont val="Calibri Light"/>
        <family val="2"/>
        <scheme val="major"/>
      </rPr>
      <t>2.</t>
    </r>
    <r>
      <rPr>
        <sz val="12"/>
        <color theme="1"/>
        <rFont val="Calibri Light"/>
        <family val="2"/>
        <scheme val="major"/>
      </rPr>
      <t xml:space="preserve"> Las prioridades en el plan de acción no presentan desagregación trimestral, por tanto, los indicadores de proceso que se derivan de las prioridades del plan de acción, tendrán su programación de la meta en el cuarto trimestre.</t>
    </r>
  </si>
  <si>
    <t>1%&lt;= X &lt; 60%</t>
  </si>
  <si>
    <r>
      <rPr>
        <b/>
        <sz val="12"/>
        <color theme="1"/>
        <rFont val="Calibri Light"/>
        <family val="2"/>
        <scheme val="major"/>
      </rPr>
      <t>3.</t>
    </r>
    <r>
      <rPr>
        <sz val="12"/>
        <color theme="1"/>
        <rFont val="Calibri Light"/>
        <family val="2"/>
        <scheme val="major"/>
      </rPr>
      <t xml:space="preserve"> Los indicadores que no presentan programación de meta para el primer trimestre, en su "Avance % indicador trimestre con ponderación frente al proceso" tendrán asignado el peso porcentual correspondiente al indicador del proceso.</t>
    </r>
  </si>
  <si>
    <t>60% &lt;= X &lt; 80%</t>
  </si>
  <si>
    <r>
      <rPr>
        <b/>
        <sz val="12"/>
        <color theme="1"/>
        <rFont val="Calibri Light"/>
        <family val="2"/>
        <scheme val="major"/>
      </rPr>
      <t>4.</t>
    </r>
    <r>
      <rPr>
        <sz val="12"/>
        <color theme="1"/>
        <rFont val="Calibri Light"/>
        <family val="2"/>
        <scheme val="major"/>
      </rPr>
      <t xml:space="preserve"> En las casillas de las Columnas "C" y "D" del presente tablero de control que presentan el registro "No aplica", hacen referencia a que el proceso institucional no cuenta con esa tipología de indicador.</t>
    </r>
  </si>
  <si>
    <t>80% &lt;= X &lt;100%</t>
  </si>
  <si>
    <t>Proceso institucional</t>
  </si>
  <si>
    <t>Avance Trimestre II</t>
  </si>
  <si>
    <t>Total Trimestre II</t>
  </si>
  <si>
    <t>Total</t>
  </si>
  <si>
    <t>Gráfica</t>
  </si>
  <si>
    <t>Metas 2026</t>
  </si>
  <si>
    <t>AVANCE CUANTITATIVO</t>
  </si>
  <si>
    <t>AVANCE CUALITATIVO</t>
  </si>
  <si>
    <t>INDICADOR</t>
  </si>
  <si>
    <t>% PARTICIPACIÓN DEPENDENCIA AL PROCESO</t>
  </si>
  <si>
    <t>OBJETIVO DEL PROCESO</t>
  </si>
  <si>
    <t>% PARTICIPACIÓN INDICADOR AL PROCESO</t>
  </si>
  <si>
    <t xml:space="preserve">DEPENDENCIA RESPONSABLE </t>
  </si>
  <si>
    <t>CARGO</t>
  </si>
  <si>
    <t>CORREO ELECTRÓNICO</t>
  </si>
  <si>
    <t xml:space="preserve">TIPO DE INDICADOR </t>
  </si>
  <si>
    <t>DESCRIPCIÓN DEL INDICADOR</t>
  </si>
  <si>
    <t xml:space="preserve">NOMBRE DEL INDICADOR </t>
  </si>
  <si>
    <t>FÓRMULA DE CÁLCULO</t>
  </si>
  <si>
    <t xml:space="preserve">ORIENTACIÓN DEL INDICADOR </t>
  </si>
  <si>
    <t>TIPO ACUMULACIÓN</t>
  </si>
  <si>
    <t>UNIDAD DE MEDIDA</t>
  </si>
  <si>
    <t xml:space="preserve">SERIE DISPONIBLE </t>
  </si>
  <si>
    <t>LÍNEA BASE</t>
  </si>
  <si>
    <t>FECHA DE LÍNEA BASE</t>
  </si>
  <si>
    <t>I TRIM</t>
  </si>
  <si>
    <t>II TRIM</t>
  </si>
  <si>
    <t>III TRIM</t>
  </si>
  <si>
    <t>IV TRIM</t>
  </si>
  <si>
    <t xml:space="preserve">TOTAL AÑO </t>
  </si>
  <si>
    <t xml:space="preserve">Periodicidad de medición  </t>
  </si>
  <si>
    <t>I Trimestre</t>
  </si>
  <si>
    <t>II Trimestre</t>
  </si>
  <si>
    <t>III Trimestre</t>
  </si>
  <si>
    <t>IV Trimestre</t>
  </si>
  <si>
    <t>Total Año</t>
  </si>
  <si>
    <t>Resultado Alcanzado I Trimestre</t>
  </si>
  <si>
    <t>Enlace de Evidencia I Trimestre</t>
  </si>
  <si>
    <t>DIFICULTADES I Trimestre</t>
  </si>
  <si>
    <t>Resultado Alcanzado II Trimestre</t>
  </si>
  <si>
    <t>Enlace de Evidencia II Trimestre</t>
  </si>
  <si>
    <t>DIFICULTADES II Trimestre</t>
  </si>
  <si>
    <t>Resultado Alcanzado III Trimestre</t>
  </si>
  <si>
    <t>Enlace de Evidencia III Trimestre</t>
  </si>
  <si>
    <t>DIFICULTADES III Trimestre</t>
  </si>
  <si>
    <t>Resultado Alcanzado IV Trimestre</t>
  </si>
  <si>
    <t>Enlace de Evidencia IV Trimestre</t>
  </si>
  <si>
    <t>DIFICULTADES IV Trimestre</t>
  </si>
  <si>
    <t>Avance Trimestre</t>
  </si>
  <si>
    <t>Avance Año</t>
  </si>
  <si>
    <t>Estructurar la planeación estratégica sectorial e institucional junto con la programación de los recursos necesarios para atender el objeto misional del Ministerio del Interior, con el fin de hacer seguimiento, monitoreo y control del desempeño dentro del marco de las disposiciones legales y normativas vigentes; para la posterior toma de acciones y decisiones que conlleven a la mejora continua del fortalecimiento Institucional. De igual manera, definir las acciones y estrategias que permitan el manejo asertivo de la comunicación y posicionamiento de la imagen institucional del Ministerio del Interior, a nivel interno y externo.</t>
  </si>
  <si>
    <t>sergio.arciniegas@mininterior.gov.co</t>
  </si>
  <si>
    <t>El objetivo de este indicador es mantener el porcentaje de seguimientos efectuados a las metas y compromisos establecidos en la planeación estratégica 2026 (PES y PEIA), así como en el Plan Nacional de Desarrollo (PND), con el fin de monitorear el avance y generar alertas para el cumplimiento de los objetivos del Ministerio del Interior.</t>
  </si>
  <si>
    <t>Seguimientos realizados a las metas y compromisos del Ministerio del Interior</t>
  </si>
  <si>
    <t>(Número de seguimientos realizados/Número de seguimientos programados)*100%</t>
  </si>
  <si>
    <t>Mantener</t>
  </si>
  <si>
    <t>Porcentaje</t>
  </si>
  <si>
    <t>Plan Estratégico Institucional y de Acción (PEIA) 2026, Plan Estratégico Sectorial (PES) 2026, Plataforma SINERGIA</t>
  </si>
  <si>
    <t>Matriz consolidada seguimiento PEIA, Matriz consolidada seguimiento PES, y matriz de seguimiento indicadores de SINERGIA.</t>
  </si>
  <si>
    <t>Trimestral</t>
  </si>
  <si>
    <t>Durante el 1 trimestre 2026 se realizaron 5 reportes de seguimientos a las metas y compromisos del ministerio del Interior de la siguiente manera: 
Enero: (2) Seguimiento del Plan Estrategico Institucional de Acción IV trimestre 2025
Seguimiento indicadores PND con corte a diciembre 2025
Febrero: (1) Seguimiento indicadores PND con corte a enero 2026
Marzo: (2)Seguimiento del Plan Estrategico  Sectorial IV trimestre 2025
Seguimiento indicadores PND con corte a febrero 2026</t>
  </si>
  <si>
    <t>https://mininteriorgovco.sharepoint.com/sites/EvidenciasOAP/Documentos%20compartidos/Forms/AllItems.aspx?e=5%3A382b047030da47f590193772abf273ad&amp;sharingv2=true&amp;fromShare=true&amp;at=9&amp;CT=1775664169952&amp;OR=OWA%2DNT%2DMail&amp;CID=dd76b428%2D92f4%2Db229%2Dbf5f%2D1a2ad4ac9aa1&amp;clickParams=eyJYLUFwcE5hbWUiOiJNaWNyb3NvZnQgT3V0bG9vayBXZWIgQXBwIiwiWC1BcHBWZXJzaW9uIjoiMjAyNjAzMjAwMDIuMTkiLCJPUyI6IldpbmRvd3MgMTEifQ%3D%3D&amp;cidOR=Client&amp;FolderCTID=0x01200071BA4BEEC5A4884E88FD3CFB2470F298&amp;id=%2Fsites%2FEvidenciasOAP%2FDocumentos%20compartidos%2FEvidencias%20Indicadores%20de%20Proceso%202026%2F01%2E%20Planeaci%C3%B3n%2C%20Direccionamiento%20Estrat%C3%A9gico%20y%20Comunicaciones%2FI%20Trimestre%2FOficina%20Asesora%20de%20Planeaci%C3%B3n%2FInd001</t>
  </si>
  <si>
    <t>Durante el 2 trimestre 2026 se realizaron 5 reportes de seguimientos a las metas y compromisos del ministerio del Interior de la siguiente manera: 
Abril: (2) Seguimiento del Plan Estrategico Institucional de Acción I trimestre 2026
Seguimiento indicadores PND con corte a marzo 2026
Mayo: (1) Seguimiento indicadores PND con corte a abril 2026
Junio: (2)Seguimiento del Plan Estrategico  Sectorial I trimestre 2026
Seguimiento indicadores PND con corte a mayo 2026</t>
  </si>
  <si>
    <t>https://mininteriorgovco.sharepoint.com/sites/EvidenciasOAP/Documentos%20compartidos/Forms/AllItems.aspx?csf=1&amp;web=1&amp;e=a4MjyQ&amp;CT=1782920343380&amp;OR=OWA%2DNT%2DMail&amp;CID=3c54426a%2Dbc18%2Dee39%2Dd58e%2Dd12e1f3ab264&amp;SI=NonSentItems&amp;clickParams=eyJYLUFwcE5hbWUiOiJNaWNyb3NvZnQgT3V0bG9vayBXZWIgQXBwIiwiWC1BcHBWZXJzaW9uIjoiMjAyNjA2MTkwMTAuMTIiLCJPUyI6IldpbmRvd3MgMTEifQ%3D%3D&amp;cidOR=Client&amp;FolderCTID=0x01200071BA4BEEC5A4884E88FD3CFB2470F298&amp;id=%2Fsites%2FEvidenciasOAP%2FDocumentos%20compartidos%2FEvidencias%20Indicadores%20de%20Proceso%202026%2F01%2E%20Planeaci%C3%B3n%2C%20Direccionamiento%20Estrat%C3%A9gico%20y%20Comunicaciones%2FII%20Trimestre%2FOficina%20Asesora%20de%20Planeaci%C3%B3n%2FInd001</t>
  </si>
  <si>
    <t>Acompañar a las dependencias del Ministerio del Interior en el proceso eficiente de la viabilización de proyectos de inversión y/o programas misionales de funcionamiento, buscando con ello el cumplimiento de los requisitos técnicos, financieros y normativos para su ejecución. El tipo de orientación de este indicador es mantener.</t>
  </si>
  <si>
    <t>Proyectos de inversión  y/o programas misionales de funcionamiento viabilizados por la Oficina Asesora de Planeación.</t>
  </si>
  <si>
    <t xml:space="preserve">(Número  de viabilidades expedidas por OAP  / Numero de  viabilidades solicitadas a la OAP)*100%	</t>
  </si>
  <si>
    <t>No aplica</t>
  </si>
  <si>
    <t>Solicitudes de viabilizacion de proyectos de inversión y/o programas misionales de funcionamiento  requeridas por las diferentes dependencias del Ministerio del Interior.</t>
  </si>
  <si>
    <t xml:space="preserve">Copias de las viabilidades expedidas a las dependencias del Ministerio del Interior, viabilizando los proyectos de inversión y/o programas misionales de funcionamientro.									</t>
  </si>
  <si>
    <t>Mensual</t>
  </si>
  <si>
    <t>Se realizaron en total 53 solicitudes de viabilidad por parte de las diferentes dependencias del Ministerio del Interior, para lo cual la Oficina Asesora de Planeación expidió en su totalidad las 53 viabilidades.
Por proyectos de Inversión se realizaron 34 viabilidades y por funcionamiento se realizaron 19 viabilidades, para un total de 53.</t>
  </si>
  <si>
    <t>https://mininteriorgovco.sharepoint.com/sites/EvidenciasOAP/Documentos%20compartidos/Forms/AllItems.aspx?id=%2Fsites%2FEvidenciasOAP%2FDocumentos%20compartidos%2FEvidencias%20Indicadores%20de%20Proceso%202026%2F01%2E%20Planeaci%C3%B3n%2C%20Direccionamiento%20Estrat%C3%A9gico%20y%20Comunicaciones%2FI%20Trimestre%2FOficina%20Asesora%20de%20Planeaci%C3%B3n%2FInd002%2FViabilidades&amp;sortField=LinkFilename&amp;isAscending=true&amp;viewid=f06b705c%2D1d5c%2D4fc5%2Db2b2%2D6247424e1781&amp;csf=1&amp;CID=d1c9e9c2%2D95ee%2D4350%2Db09b%2Daa80aa236813&amp;FolderCTID=0x01200071BA4BEEC5A4884E88FD3CFB2470F298</t>
  </si>
  <si>
    <t xml:space="preserve">No se presentaron dificultades para realizar las actividades. </t>
  </si>
  <si>
    <t>Durante el segundo trimestre de 2026 (abril-mayo-junio) se realizaron en total 8 solicitudes de viabilidad por parte de las diferentes dependencias del Ministerio del Interior, para lo cual la Oficina Asesora de Planeación expidió en su totalidad las 8 viabilidades.
Por proyectos de Inversión se realizaron 1 viabilidad que correspondió a la Oficina Asesora de Planeación y por funcionamiento se realizaron 7 viabilidades distribuidas en las depednencias : Democracia, Gobierno e Indígenas, para un total de 8 viabilidades expedidas.</t>
  </si>
  <si>
    <t xml:space="preserve">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002&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
</t>
  </si>
  <si>
    <t>Memorandos elaborados y enviados mensualmente a las dependencias del Ministerio del Interior, informando sobre la ejecución presupuestal, lo que permite asegurar un seguimiento oportuno y sistemático del uso de los recursos públicos, facilita la toma de decisiones informadas, promueve la transparencia en la gestión institucional y contribuye al cumplimiento de metas financieras y programáticas del Ministerio. El tipo de orientación de este indicador es mantener.</t>
  </si>
  <si>
    <t>Seguimiento a la gestión presupuestal del Ministerio del Interior.</t>
  </si>
  <si>
    <t>Sumatoria de  memorando elaborados y enviados mensualmente a las dependencias del Ministerio del Interior, informando sobre el estado de la ejecución presupuestal.</t>
  </si>
  <si>
    <t>Incrementar</t>
  </si>
  <si>
    <t>Número</t>
  </si>
  <si>
    <t>Sistema Integrado de Información Finanaciera - SIIF</t>
  </si>
  <si>
    <t xml:space="preserve"> Copia de los memorando elaborados y enviados mensualmente a las dependencias del Ministerio del Interior, informando sobre el estado de la ejecución presupuestal</t>
  </si>
  <si>
    <t>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003&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t>
  </si>
  <si>
    <t>Se compartió en el link de transparencia del Ministerio del Interior el avance de la ejecución presupuestal del mes de Enero y el mes de Febrero de la vigencia 2026.</t>
  </si>
  <si>
    <t>https://mininteriorgovco.sharepoint.com/sites/EvidenciasOAP/Documentos%20compartidos/Forms/AllItems.aspx?id=%2Fsites%2FEvidenciasOAP%2FDocumentos%20compartidos%2FEvidencias%20Indicadores%20de%20Proceso%202026%2F01%2E%20Planeaci%C3%B3n%2C%20Direccionamiento%20Estrat%C3%A9gico%20y%20Comunicaciones%2FI%20Trimestre%2FOficina%20Asesora%20de%20Planeaci%C3%B3n%2FInd003&amp;viewid=f06b705c%2D1d5c%2D4fc5%2Db2b2%2D6247424e1781&amp;csf=1&amp;CID=6d7ad8d4%2Dfd0a%2D4779%2Dbdb0%2Db061440b2f24&amp;FolderCTID=0x01200071BA4BEEC5A4884E88FD3CFB2470F298</t>
  </si>
  <si>
    <t xml:space="preserve">Debido al alto volumen de actividades del GPG y la elaboración del anteproyecto de presupuesto 2027, no se enviaron los memorandos directamente a las dependencias de la ejecución prespuestal de los meses enero y febrero, sino que se realizó el cargue al link de transparencia del Ministerio del Interior con la información consolidada mesualmente. </t>
  </si>
  <si>
    <t>Durante los meses de Abril, Mayo y Junio de 2026 la Oficina Asesora de Planeación envió cada mes a las diferentes dependencias del Ministerio del Interior 20 memorandos indicando el avance de ejecución presupuestal en el marco del seguimiento mensual. Durante el segundo trimestre del 2026 se enviaron 60 memorandos cumpliendo con el indicador.</t>
  </si>
  <si>
    <t>Acompañar a las dependencias del Ministerio del Interior en el proceso eficiente de las solicitudes de los  trámites presupuestales, este indicador es importante porque permite asegurar que los procesos presupuestales se realicen de manera oportuna, coherente y ajustada a la normatividad vigente. El tipo de orientación de este indicador es mantener.</t>
  </si>
  <si>
    <t xml:space="preserve">Trámites presupuestales gestionados </t>
  </si>
  <si>
    <t>(Trámites presupuestales gestionados / trámites presupuestales solicitados)*100%</t>
  </si>
  <si>
    <t>Trámites presupuestales solicitados</t>
  </si>
  <si>
    <t>Documentos: "Radicados en el aplicativo SITPRES del Ministerio de Hacienda y Crédito Público; y/o resoluciones</t>
  </si>
  <si>
    <t>Por parte de la Oficina Asesora de Planeación y el Grupo de Porgrmación y Gestión presupuestal se gestionaron todos los tramites presupuestales solicitados.</t>
  </si>
  <si>
    <t>https://mininteriorgovco.sharepoint.com/sites/EvidenciasOAP/Documentos%20compartidos/Forms/AllItems.aspx?id=%2Fsites%2FEvidenciasOAP%2FDocumentos%20compartidos%2FEvidencias%20Indicadores%20de%20Proceso%202026%2F01%2E%20Planeaci%C3%B3n%2C%20Direccionamiento%20Estrat%C3%A9gico%20y%20Comunicaciones%2FI%20Trimestre%2FOficina%20Asesora%20de%20Planeaci%C3%B3n%2FInd004&amp;viewid=f06b705c%2D1d5c%2D4fc5%2Db2b2%2D6247424e1781&amp;csf=1&amp;CID=6d7ad8d4%2Dfd0a%2D4779%2Dbdb0%2Db061440b2f24&amp;FolderCTID=0x01200071BA4BEEC5A4884E88FD3CFB2470F298</t>
  </si>
  <si>
    <t>Durante los meses de Abril, Mayo y Junio de 2026 la Oficina Asesora de Planeación gestionó todos los tramites presupuestales solicitados. Un total de 5 tramites presupuestales, enfocados en traslados presupuestales.</t>
  </si>
  <si>
    <t>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004&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t>
  </si>
  <si>
    <t>Este indicador mide la actualización de los documentos que se encuentran en el Sistema Integral de Gestión Institucional,  mediante una relación entre los documentos actualizados y documentos solcitados, cuyo resultado se expresa en porcentaje, con el fin de evaluar el nivel de cumplimiento de la actividad e identificar los puntos criticos para el analisis de la toma de decisiones; su orientación es mantener</t>
  </si>
  <si>
    <t>Sistema de Gestión Actualizado</t>
  </si>
  <si>
    <t>(Número de documentos por proceso actualizados/Número de documentos por proceso solicitados para actualización)*100</t>
  </si>
  <si>
    <t xml:space="preserve">Sistema Integrado de Gestión Institucional </t>
  </si>
  <si>
    <t>Listado de Documentos Actualizados en la vigencia</t>
  </si>
  <si>
    <t>Durante el primer trimestre, se realizó la actualización documental de un total de 112 documentos correspondiente a los procesos: Gestión Administrativa, Gestión de Asuntos Disciplinarios, Gestión del Talento Humano, Gestión Documental y Archivo, Planeación, Direccionamiento Estratégico y Comunicaciones y Servicio al Ciudadano. 
Estas actualizaciones se distribuyeron a lo largo del trimestre de la siguiente manera: 
Enero (12): 1 del proceso Gestión Administrativa y 11 del proceso Gestión Documental y Archivo
Febrero (41): 31 del proceso Gestión del Talento Humano, 02 del Direccionamiento Estratégico y Comunicaciones y 08 del proceso Servicio al Ciudadano.
Marzo (59): 47 del Proceso Gestión de Asuntos Disciplinarios y 12 del proceso Gestión del Talento Humano</t>
  </si>
  <si>
    <t>https://mininteriorgovco.sharepoint.com/:f:/r/sites/EvidenciasOAP/Documentos%20compartidos/Evidencias%20Indicadores%20de%20Proceso%202026/01.%20Planeaci%C3%B3n,%20Direccionamiento%20Estrat%C3%A9gico%20y%20Comunicaciones/I%20Trimestre/Oficina%20Asesora%20de%20Planeaci%C3%B3n/Ind005?csf=1&amp;web=1&amp;e=xIee7t</t>
  </si>
  <si>
    <t>Durante el segundo trimestre, se realizó la actualización documental de un total de 89 documentos correspondiente a los procesos: Gestión de Bienes y Servicios, Gestión de Talento Humano; Gestión del Conjocimiento e Innovación; Gestión Documental y Archivo; Gestión Jurídica; Gestión Tecnológica; Planeación, Direccionamiento Estrategico y Comunicaciones; y, Seguimiento y Evaluación a la Gestión
Estas actualizaciones se distribuyeron a lo largo del trimestre de la siguiente manera:
Abril (14): 2 del proceso Gestión Jurídica, 5 del proceso de Gestión del Talento Humano, 2 del Proceso de Gestión del Conocimiento e Innovación, y 5 del proceso Gestión de Bienes y Servicios
Mayo (23): 11 del proceso Gestión del Talento Humano, 3 del proceso de Gestión del Conocimiento e Innovación, 5 del proceso de Gestión Documental y Archivo, 3 del Procesos de Gestión Jurídica, y 01 del proceso de Gestión Tecnológica
Junio (52): 13 del Proceso de Bienes y Servicios, 24 del Proceso de Gestión del Talento Humano, 03 del Procesos de Planeación, Direccionamiento Estratégico y Comunicaciones, y 12 del Proceso de seguimiento y Evaluación a la Gestión</t>
  </si>
  <si>
    <t>Este indicador mide el nivel de cumplimiento de las metas definidas de los Indicadores de la Red de Proceso durante cada trimestre, mediante la relación entre los indicadores que cumplieron la meta establecida para dicho periodo y la totalidad de los indicadores vigente en el Ministerio del Interior, cuyo resultado  evalua el desempeño y el avance de la Red de Proceso de la entidad. con el fin de identificar los puntos criticos y la buena toma de decisiones.</t>
  </si>
  <si>
    <t>Nivel de Cumplimiento de Indicadores de Proceso Trimestralmente</t>
  </si>
  <si>
    <t>(Total indicadores de proceso que cumplen con la meta por trimestre/ Total de indicadores de proceso por trimestre) * 100</t>
  </si>
  <si>
    <t>Seguimiento a los Indicadores de la Red de Procesos</t>
  </si>
  <si>
    <t>FICHAS TÉCNICAS, AVANCE Y TABLERO DE CONTROL DE INDICADORES DE PROCESO</t>
  </si>
  <si>
    <t>Durante el I trimestre, se realizó seguimiento al desempeño del Sistema Integrado de Gestión Institucional (SIGI), mediante el cumplimiento de la meta de los indicadores de proceso. Obteniendo un avance del 88% el cual explicado así: De un total de 83 indicadores de proceso definidos para el periodo, 65 indicadores cumplieron su meta y 10 indicadores no tenían programación para el trimestre.</t>
  </si>
  <si>
    <t>https://mininteriorgovco.sharepoint.com/:f:/r/sites/EvidenciasOAP/Documentos%20compartidos/Evidencias%20Indicadores%20de%20Proceso%202026/01.%20Planeaci%C3%B3n,%20Direccionamiento%20Estrat%C3%A9gico%20y%20Comunicaciones/I%20Trimestre/Oficina%20Asesora%20de%20Planeaci%C3%B3n/Ind006?csf=1&amp;web=1&amp;e=CbDnem</t>
  </si>
  <si>
    <t xml:space="preserve">mariana.gomez@mininterior.gov.co									</t>
  </si>
  <si>
    <t xml:space="preserve">Mide el cumplimiento del cronograma de actividades de cooperación internacional lideradas por el Grupo Coordinador de Gabinete, con el propósito de verificar la ejecución oportuna de las acciones programadas. El indicador busca mantener un adecuado nivel de cumplimiento.								</t>
  </si>
  <si>
    <t xml:space="preserve">Actividades de cooperación internacional ejecutadas conforme al cronograma programado							</t>
  </si>
  <si>
    <t xml:space="preserve">No. De actividades de cooperación realizadas / No.  De actividades de cooperación programadas * 100									</t>
  </si>
  <si>
    <t>Cronograma de cooperación internacional y matriz interna de seguimiento a ejecución de actividades</t>
  </si>
  <si>
    <t>Cronograma de cooperación internacional, matriz interna de seguimiento a ejecución de actividades</t>
  </si>
  <si>
    <t>Durante el primer trimestre de 2026, el Despacho del Ministro del Interior, a través del Grupo de Coordinación de Gabinete, ejecutó 16 actividades de cooperación internacional conforme al cronograma programado. Estas incluyeron cinco (5) acciones de gestión directa con actores estratégicos, entre ellas el avance en la suscripción de memorandos de entendimiento con HWPL, la Embajada de China y CEPAL, así como la exploración de líneas de cooperación con la Embajada de Australia y la OEI.Adicionalmente, se participó en diez (10) espacios interinstitucionales y mesas de trabajo con entidades como Cancillería, APC Colombia y organismos internacionales, que permitieron fortalecer la articulación institucional e identificar oportunidades de cooperación. Finalmente, se desarrolló una (1) actividad orientada a la actualización del procedimiento interno de cooperación internacional, actualmente en proceso de validación por parte de la Oficina de Planeación.</t>
  </si>
  <si>
    <t>https://mininteriorgovco.sharepoint.com/sites/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t>
  </si>
  <si>
    <t>Durante el segundo trimestre de 2026, el Grupo Interno de Trabajo de Gabinete avanzó en la ejecución de las (11) actividades programadas en materia de cooperación internacional, mediante la actualización del Procedimiento de Gestión de la Cooperación Internacional y el desarrollo de la Matriz de Diagnóstico de Necesidades de Cooperación Internacional del Ministerio del Interior, instrumentos orientados a fortalecer la identificación, priorización, gestión y seguimiento de oportunidades de cooperación de acuerdo con las necesidades institucionales. De manera complementaria, se adelantaron acciones de relacionamiento, articulación, gestión y seguimiento con HWPL, la CEPAL, las Embajadas de Suiza, la República Popular China, Australia, Estados Unidos, Irlanda y Suecia, así como con la GIZ – Cooperación Alemana para el Desarrollo, dirigidas al seguimiento y construcción de memorandos de acuerdo y entendimiento, la definición de agendas bilaterales, la identificación de prioridades institucionales y oportunidades de cooperación técnica, el intercambio de conocimientos y la exploración de posibles líneas de trabajo conjunto para el fortalecimiento institucional.</t>
  </si>
  <si>
    <t>yitcy.becerra@mininterior.gov.co</t>
  </si>
  <si>
    <t xml:space="preserve">La gestión, producción y divulgación de información en texto, audio, video o imagen, junto con las respectivas piezas gráficas paras las comunicaciones internas y externas de la entidad son fundamentales para mantener informado tanto al público interno como externo de la ejecución del Ministerio del Interior. onar, producir y divulgar información en texto, audio, video o imagen, y piezas gráficas para las comunicaciones internas y externas de la entidad. Su orientación es mantener.  									</t>
  </si>
  <si>
    <t xml:space="preserve">	Comunicados de prensa, entrevistas y ruedas de prensa gestionados de acuerdo con las necesidades de comunicación interna y externa de la entidad. 							</t>
  </si>
  <si>
    <t xml:space="preserve">(Número de comunicados de prensa, entrevistas y rueda de prensa gestionados / Número de comunicados, entrevistas y ruedas de prensa solicitadas)*100 </t>
  </si>
  <si>
    <t xml:space="preserve">Documento Tráfico de Comunicaciones mensual, 2026. 									</t>
  </si>
  <si>
    <t xml:space="preserve">Documento, screenshoot o audios que den cuenta de los comunicados de prensa, entrevistas y ruedas de prensa. </t>
  </si>
  <si>
    <t>Durante el primer trimestre, se gestionaron un total de 65 actividades de prensa, distribuidas en 46 comunicados de prensa, 9 entrevistas en medios y 10 ruedas de prensa y declaraciones oficiales. Estas acciones hicieron parte del total de 400 solicitudes recibidas y gestionadas durante el periodo.
Con base en la fórmula del indicador, el resultado alcanzado fue del 100% de cumplimiento, obtenido a partir de la atención de la totalidad de las 400 solicitudes gestionadas, evidenciando la capacidad de respuesta oportuna y efectiva.</t>
  </si>
  <si>
    <t>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008?csf=1&amp;web=1&amp;e=V0secf</t>
  </si>
  <si>
    <t>Durante el segundo trimestre, se gestionaron un total de 590 publicaciones, 55 comunicados de prensa y 19 ruedas de prensa y declaraciones oficiales. Estas acciones hicieron parte del total de 664 solicitudes recibidas y gestionadas durante el periodo.
Con base en la fórmula del indicador, el resultado alcanzado fue del 100% de cumplimiento, obtenido a partir de la atención de la totalidad de las 664 solicitudes gestionadas, evidenciando la capacidad de respuesta oportuna y efectiva.</t>
  </si>
  <si>
    <t>https://mininteriorgovco.sharepoint.com/:f:/r/sites/EvidenciasOAP/Documentos%20compartidos/Evidencias%20Indicadores%20de%20Proceso%202026/01.%20Planeaci%C3%B3n,%20Direccionamiento%20Estrat%C3%A9gico%20y%20Comunicaciones/II%20Trimestre/Grupo%20Comunicaciones/Ind008?csf=1&amp;web=1&amp;e=LhvvjP</t>
  </si>
  <si>
    <t xml:space="preserve">	La gestión, producción y divulgación de información en texto, audio, video o imagen, junto con las respectivas piezas gráficas paras las comunicaciones internas y externas de la entidad son fundamentales para mantener informado tanto al público interno como externo de la ejecución del Ministerio del Interior. onar, producir y divulgar información en texto, audio, video o imagen, y piezas gráficas para las comunicaciones internas y externas de la entidad. Su orientación es mantener.  							</t>
  </si>
  <si>
    <t xml:space="preserve"> 		Piezas Gráficas, animaciones y publicaciones en redes sociales elaboradas y publicadas en los medios pertinentes. 							</t>
  </si>
  <si>
    <t xml:space="preserve">(Número de piezas gráficas, animaciones y publicaciones en redes sociales gestionados / Número de piezas gráficas, animaciones y publicaciones en redes sociales solicitados)									</t>
  </si>
  <si>
    <t>Listado o links de acceso a piezas audiovisuales y de imagen gestionados.</t>
  </si>
  <si>
    <t>Durante el primer trimestre, la gestión de diseño y comunicación digital atendió solicitudes para campañas internas y externas, así como la producción de contenidos para redes sociales institucionales.
En total, se gestionaron 1.683 piezas gráficas, animaciones y publicaciones, distribuidas entre 139 solicitudes externas, 219 internas y 1.325 publicaciones en redes sociales, durante los meses de enero, febrero y marzo.
Con base en la fórmula del indicador, se alcanzó un cumplimiento del 100%, al atender la totalidad de las solicitudes recibidas en el periodo evaluado.</t>
  </si>
  <si>
    <t>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009?csf=1&amp;web=1&amp;e=FpPqfz</t>
  </si>
  <si>
    <t>Durante el segundo trimestre, la gestión de diseño y comunicación digital atendió solicitudes para campañas internas y externas, así como la producción de contenidos para redes sociales institucionales.
En total, se gestionaron 1.315 piezas gráficas, animaciones y publicaciones en redes sociales, durante los meses de abril, mayo y junio.
Con base en la fórmula del indicador, se alcanzó un cumplimiento del 100%, al atender la totalidad de las solicitudes recibidas en el periodo evaluado.</t>
  </si>
  <si>
    <t>https://mininteriorgovco.sharepoint.com/:f:/r/sites/EvidenciasOAP/Documentos%20compartidos/Evidencias%20Indicadores%20de%20Proceso%202026/01.%20Planeaci%C3%B3n,%20Direccionamiento%20Estrat%C3%A9gico%20y%20Comunicaciones/II%20Trimestre/Grupo%20Comunicaciones/Ind009?csf=1&amp;web=1&amp;e=QVRG1K</t>
  </si>
  <si>
    <t>Realizar y producir material audiovisual y fotográfico como apoyo a las comunicaciones internas y externas para envío a medios de comunicación y emisión a través de los canales digitales del Ministerio del Interior. Es importante su medición porque así se pued valorar cómo se está comunicando interna y externamente a través de material audiovisual y fotográfico. Su orientación es de mantener.</t>
  </si>
  <si>
    <t xml:space="preserve">Piezas audiovisuales y de imagen gestionados de acuerdo con las necesidades de comunicación interna y externa de la entidad. 									</t>
  </si>
  <si>
    <t xml:space="preserve">(Número de piezas audiovisuales y de imagen gestionados / Número de piezas audiovisuales y de imagen solicitadas)*100									</t>
  </si>
  <si>
    <t xml:space="preserve">Listado o links de acceso a piezas audiovisuales y de imagen gestionados. 									</t>
  </si>
  <si>
    <t>Durante el primer trimestre se alcanzó un cumplimiento del 100%, resultado que se obtiene al dividir el número de piezas audiovisuales e imágenes efectivamente gestionadas entre las solicitadas y multiplicar el resultado por cien. Este resultado corresponde a la suma de las solicitudes recibidas y atendidas durante los meses de enero, febrero y marzo, evidenciando una atención completa y oportuna a los requerimientos del periodo. Lo anterior refleja eficiencia en la producción de contenidos y permitió fortalecer la difusión de información institucional, garantizando una comunicación constante con la ciudadanía, especialmente en el contexto de la coyuntura electoral y las acciones adelantadas por la entidad.</t>
  </si>
  <si>
    <t>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010?csf=1&amp;web=1&amp;e=XWomXw</t>
  </si>
  <si>
    <t>Durante el segundo trimestre se alcanzó un cumplimiento del 100%, resultado que se obtiene al dividir el número de piezas audiovisuales e imágenes efectivamente gestionadas entre las solicitadas y multiplicar el resultado por cien. Este resultado corresponde a la suma de las solicitudes recibidas y atendidas durante los meses de abril, mayo y junio, evidenciando una atención completa y oportuna a los requerimientos del periodo. Lo anterior refleja eficiencia en la producción de contenidos y permitió fortalecer la difusión de información institucional, garantizando una comunicación constante con la ciudadanía, especialmente en el contexto de la coyuntura electoral y las acciones adelantadas por la entidad.</t>
  </si>
  <si>
    <t>https://mininteriorgovco.sharepoint.com/:f:/r/sites/EvidenciasOAP/Documentos%20compartidos/Evidencias%20Indicadores%20de%20Proceso%202026/01.%20Planeaci%C3%B3n,%20Direccionamiento%20Estrat%C3%A9gico%20y%20Comunicaciones/II%20Trimestre/Grupo%20Comunicaciones/Ind010?csf=1&amp;web=1&amp;e=WQUjSe</t>
  </si>
  <si>
    <t>Consolidar la Gestión del Conocimiento e Innovación, mediante el desarrollo de instrumentos, herramientas y acciones con el objetivo de mitigar la fuga de capital
intelectual y mejorar la prestación de los servicios del Ministerio del Interior.</t>
  </si>
  <si>
    <t xml:space="preserve">Desarrollas estrategias de difusión y marketing disruptivas y de alto impacto para dar a conocer la Red de Gestión del Conocimiento y la Innovación, es importante medirlo porque los resultados obtenidos permiten verficar el dominio del tema de Gestión del Conocimiento y la Innovación en la Entidad,  el tipo de Orientación del Indicador es Incrementar dado que asi se afianza la Cultura de la Gestión del Conocimiento y la Innovación. </t>
  </si>
  <si>
    <t>Red de gestión del conocimiento y la innovación implementada en el Ministerio del Interior</t>
  </si>
  <si>
    <t>Sumatoria de la evaluación de satisfacción de número de personas que conocen la Red de Gestión del Conocimiento y la Innovación.</t>
  </si>
  <si>
    <t>Evaluación de satisfacción aplicadas</t>
  </si>
  <si>
    <t>Consolidado de las evaluaciones de satisfacción aplicadas</t>
  </si>
  <si>
    <t>Durante el primer trimestre del 2026 se desarrollo una ( 1 ) estrategia de difusión y marketing disruptiva y de alto impacto para dar a conocer la Red de Gestión del Conocimiento y la Innovación, arrojando sumatoria de la evaluación de satisfacción a 101 personas.</t>
  </si>
  <si>
    <t>https://mininteriorgovco.sharepoint.com/sites/EvidenciasOAP/Documentos%20compartidos/Forms/AllItems.aspx?csf=1&amp;web=1&amp;e=vzXt44&amp;CT=1775491068056&amp;OR=OWA%2DNT%2DMail&amp;CID=b5d20e91%2Db169%2D224e%2D0b63%2Df83a938ba3b5&amp;clickParams=eyJYLUFwcE5hbWUiOiJNaWNyb3NvZnQgT3V0bG9vayBXZWIgQXBwIiwiWC1BcHBWZXJzaW9uIjoiMjAyNjAzMDYwMDEuMDUiLCJPUyI6IldpbmRvd3MgMTAifQ%3D%3D&amp;cidOR=Client&amp;FolderCTID=0x01200071BA4BEEC5A4884E88FD3CFB2470F298&amp;id=%2Fsites%2FEvidenciasOAP%2FDocumentos%20compartidos%2FEvidencias%20Indicadores%20de%20Proceso%202026%2F02%2E%20Gesti%C3%B3n%20del%20Conocimiento%20e%20Innovaci%C3%B3n%2FInd011</t>
  </si>
  <si>
    <t xml:space="preserve">Durante el Segundo trimestre, se desarrolló una Estartegia de difusión y marketing disruptiva y de alto impacto arrojando sumatoria de evaluación de satisfacción a 100 personas. </t>
  </si>
  <si>
    <t>https://mininteriorgovco.sharepoint.com/sites/EvidenciasOAP/Documentos%20compartidos/Forms/AllItems.aspx?id=%2Fsites%2FEvidenciasOAP%2FDocumentos%20compartidos%2FEvidencias%20Indicadores%20de%20Proceso%202026%2F02%2E%20Gesti%C3%B3n%20del%20Conocimiento%20e%20Innovaci%C3%B3n%2FII%20Trimestre%2FInd011%2FINDICADORES%20DE%20PROCESOS&amp;viewid=f06b705c%2D1d5c%2D4fc5%2Db2b2%2D6247424e1781&amp;sharingv2=true&amp;fromShare=true&amp;at=9&amp;CT=1782923938318&amp;OR=OWA%2DNT%2DMail&amp;CID=6e877087%2Debde%2Df5e3%2D4606%2D8278d4c104c0&amp;SI=NonSentItems&amp;clickParams=eyJYLUFwcE5hbWUiOiJNaWNyb3NvZnQgT3V0bG9vayBXZWIgQXBwIiwiWC1BcHBWZXJzaW9uIjoiMjAyNjA2MjYwMDkuMDQiLCJPUyI6IldpbmRvd3MgMTAifQ%3D%3D&amp;SLSync=F&amp;cidOR=Client&amp;FolderCTID=0x01200071BA4BEEC5A4884E88FD3CFB2470F298</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</si>
  <si>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</si>
  <si>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ethel.vasquez@mininterior.gov.co</t>
  </si>
  <si>
    <t>Diseñar y ejecutar el Plan Institucional de Capacitación, de acuerdo con la normatividad vigente. Es importante medirlo porque hace parte de los planes estratégicos e institucionales del Ministerio del Interior, y en materia de gestión y desempeño institucional orientan el desarrollo de la entidad.  La orientación del indicador es incrementar.</t>
  </si>
  <si>
    <t>Plan Institucional de Capacitación PIC ejecutado en el Ministerio del Interior</t>
  </si>
  <si>
    <t>Sumatoria de actividades realizadas para el diseño, aprobación y ejecución del Plan Institucional de Capacitación</t>
  </si>
  <si>
    <t>Plan Institucional de Capacitación publicado</t>
  </si>
  <si>
    <t>Convocatorias, listas de asistencia y/o registra fotográfico</t>
  </si>
  <si>
    <t xml:space="preserve">En el primer trimestre de la vigencia 2026, y de acuerdo al Plan Institucional de Capacitación, se realizaron 7 actividades, así:
*Enero: 1.  Eficiencia Personal
Febrero: 2. Derecho Disciplinario. 3. Prevención del daño antijurídico. Marzo. 4. Controldoc. 5. Trabajo en equipo. 6. Inducción. 7. Comunicación
</t>
  </si>
  <si>
    <t>https://mininteriorgovco.sharepoint.com/:f:/r/sites/EvidenciasOAP/Documentos%20compartidos/Evidencias%20Indicadores%20de%20Proceso%202026/03.%20Gesti%C3%B3n%20del%20Talento%20Humano/I%20Trimestre/Ind012?csf=1&amp;web=1&amp;e=xMykwh</t>
  </si>
  <si>
    <t>En el segundo trimestre de la vigencia 2026, y de acuerdo con el Plan Institucional de Capacitación (PIC), se desarrollaron 19 actividades de formación, así:
Abril: 1. Bienes y Rentas. 2. Taller Inteligencia y Trabajo en Equipo. 3. Trámite de Cuentas de Cobro. 4. Viáticos. 5. Dinamizadores Ambientales. 6. Acuerdos de Gestión. 7. ControlDoc. 8. ICETEX.
Mayo: 9. Negociación Sindical y Derechos Colectivos. 10. Capacitación Gestión Documental – FUID. 11. Capacitación Gestión Documental – FUID II. 12. Taller Motivación, Autoconocimiento y Felicidad. 13. Taller Soy Más: Experiencias de Equipos Altamente Productivos. 14. Capacitación Archivos Electrónicos. 15. Integridad y Ética en la Gestión Pública.
Junio: 16. Organización de Archivos y Seguimiento. 17. Fortalecimiento de los Registros Administrativos. 18. Derecho Disciplinario. 19. Tablas de Retención Documental.</t>
  </si>
  <si>
    <t>https://mininteriorgovco.sharepoint.com/:f:/r/sites/EvidenciasOAP/Documentos%20compartidos/Evidencias%20Indicadores%20de%20Proceso%202026/03.%20Gesti%C3%B3n%20del%20Talento%20Humano/II%20Trimestre/Ind.%20012?csf=1&amp;web=1&amp;e=2xZ8Ay</t>
  </si>
  <si>
    <t>Diseñar y ejecutar el programa de bienestar laboral, teniendo en cuenta la normatividad vigente.  Es importante medirlo porque hace parte de los planes estratégicos e institucionales del Ministerio del Interior, y en materia de gestión y desempeño institucional orientan el desarrollo de la entidad.  La orientación del indicador es incrementar.</t>
  </si>
  <si>
    <t xml:space="preserve">Programa insititucional de Bienestar Social ejecutado </t>
  </si>
  <si>
    <t>Sumatoria de actividades realizadas para el diseño, aprobación y ejecución del programa de bienestar social</t>
  </si>
  <si>
    <t>Plan de Bienestar publicado</t>
  </si>
  <si>
    <t>Convocatorias, listas de asistencia, registro fotográfico y/o piezas publicitarias</t>
  </si>
  <si>
    <t>En el primer trimestre de la vigencia 2026, y de acuerdo al Plan de Bienestar, se realizaron 4 actividades, así:
*Febrero: 1. Asesoría especializada para prepensionados dirigida por Colpensiones y 2 Caminata Ecológica.
*Marzo: 3. Conmemoración día internacional de la mujer y 4. celebración día del hombre.</t>
  </si>
  <si>
    <t>https://mininteriorgovco.sharepoint.com/:f:/r/sites/EvidenciasOAP/Documentos%20compartidos/Evidencias%20Indicadores%20de%20Proceso%202026/03.%20Gesti%C3%B3n%20del%20Talento%20Humano/I%20Trimestre/Ind013?csf=1&amp;web=1&amp;e=nw8mwt</t>
  </si>
  <si>
    <t>En el segundo trimestre de la vigencia 2026, y de acuerdo al Plan de Bienestar, se realizaron 10 actividades, así:
*Abril: 1. Día de la Secretaria y el secretario. 2. Día del niño y de la niña.
*Mayo: 3. Jornada de expedición de pasaportes. 4. Día de la madre 5. Feria de servicios. 6. Teatro beneficio emocional. 7. Charla prepensionados.
* Junio: 8. Día del padre. 9. Vacaciones recreativas. 10. Día del Servidor Público.</t>
  </si>
  <si>
    <t>https://mininteriorgovco.sharepoint.com/:f:/r/sites/EvidenciasOAP/Documentos%20compartidos/Evidencias%20Indicadores%20de%20Proceso%202026/03.%20Gesti%C3%B3n%20del%20Talento%20Humano/II%20Trimestre/Ind.%20013?csf=1&amp;web=1&amp;e=R64x9Q</t>
  </si>
  <si>
    <t xml:space="preserve">Diseñar y ejecutar el Plan Institucional de Incentivos con base en las normas vigentes. Es importante medirlo porque hace parte de los planes estratégicos e institucionales del Ministerio del Interior, y en materia de gestión y desempeño institucional orientan el desarrollo de la entidad.  La orientación del indicador es incrementar. </t>
  </si>
  <si>
    <t>Plan Institucional de Incentivos ejecutado</t>
  </si>
  <si>
    <t>Sumatoria de actividades realizadas para el diseño, aprobación y ejecución del Plan Institucional de Incentivos</t>
  </si>
  <si>
    <t>Plan Institucional de Inventivos Publicados</t>
  </si>
  <si>
    <t>Listas de asistencia, piezas publicitarias y/o resolución</t>
  </si>
  <si>
    <t>En el primer trimestre de la vigencia 2026, se realizaron las siguientes acciones: 
1. Aprobación del Plan en el Comité Institucional de Gestión y desempeño. 2. Publicación del Plan de Incentivos. 3. Solicitud de aprobación de ajuste del Plan de Incentivos</t>
  </si>
  <si>
    <t>https://mininteriorgovco.sharepoint.com/:f:/r/sites/EvidenciasOAP/Documentos%20compartidos/Evidencias%20Indicadores%20de%20Proceso%202026/03.%20Gesti%C3%B3n%20del%20Talento%20Humano/I%20Trimestre/Ind014?csf=1&amp;web=1&amp;e=sTASjB</t>
  </si>
  <si>
    <t xml:space="preserve">En el segundo trimestre de la vigencia 2026, se realizaron las siguientes acciones: 1. Aprobacion del plan 
2. Divulgacion del plan 
3. Divulgacion Concurso Mejores Equipos de trabajo 
4. Capacitación 
5. Ajustes al Plan </t>
  </si>
  <si>
    <t>https://mininteriorgovco.sharepoint.com/:f:/r/sites/EvidenciasOAP/Documentos%20compartidos/Evidencias%20Indicadores%20de%20Proceso%202026/03.%20Gesti%C3%B3n%20del%20Talento%20Humano/II%20Trimestre/Ind.%20014?csf=1&amp;web=1&amp;e=SDB2He</t>
  </si>
  <si>
    <t xml:space="preserve">Ejecutar actividades de promoción y prevención en temas de seguridad y salud en el trabajo con apoyo de la ARL. Es importante medirlo porque hace parte del rendimiento del sistema.  La orientación del indicador es incrementar </t>
  </si>
  <si>
    <t>Actividades realizadas con apoyo de la ARL</t>
  </si>
  <si>
    <t xml:space="preserve">Sumatoria de las actividades realizadas  programadas con apoyo de la ARL </t>
  </si>
  <si>
    <t xml:space="preserve">PVE (programa de vigilaciona epidemiologica)  </t>
  </si>
  <si>
    <t>LIstas de asistencia, piezas publicitarias</t>
  </si>
  <si>
    <t>Para el primer trimestre, se desarrollaron las siguientes actividades: 
Febrero (1): Escuela de ergonomia: regresan las escuelas de ergonomia
Marzo: (4) Escuela de ergonomia: MANEJO DE DOLOR POR EPICONDILITIS Y ADORMECIMIENTO EN MANOS, MOVILIDAD Y ALIVIO PARA CODOS, MUÑECAS Y DEDOS
RELAJA Y REVITALIZA TUS PIES, MEJORA TU MOVILIDAD: FORTALECIMIENTO EN HOMBRO Y MANEJO DE DOLOR EN CUELLO</t>
  </si>
  <si>
    <t>https://mininteriorgovco.sharepoint.com/:f:/r/sites/EvidenciasOAP/Documentos%20compartidos/Evidencias%20Indicadores%20de%20Proceso%202026/03.%20Gesti%C3%B3n%20del%20Talento%20Humano/I%20Trimestre/Ind015?csf=1&amp;web=1&amp;e=Rh3Yhq</t>
  </si>
  <si>
    <t xml:space="preserve">Para el segundo trimestre se desarrollaron las siguientes actividades: 
Abril: Escuelas de Ergonomía: (3) MEJORA TU MOVILIDAD: FORTALECIMIENTO EN HOMBRO Y MANEJO DE DOLOR EN CUELLO, MANEJO DE DOLOR POR EPICONDILITIS Y ADORMECIMIENTO EN MANOS, CUIDA TU ESPALDA:  ZONA LUMBOSACRA. 
Mayo: Escuelas de Ergonomía: (4) FORTALECE TUS RODILLAS: EJERCICIOS PARA ZONA DE CUADRICEPS Y GEMELOS, MEJORA TU MOVILIDAD: FORTALECIMIENTO EN HOMBRO Y MANEJO DE DOLOR EN CUELLO, CUIDA TU ESPALDA: ZONA LUMBOSACRA, MANEJO DE DOLOR POR EPICONDILITIS Y ADORMECIMIENTO EN MANOS: FORTALECIMIENTO
Junio: Escuelas de Ergonomía (3) CORE FUERTE, CUERPO ESTABLE: ‘’FORTALECIENDO LA ZONA MEDIA PARA PREVENIR LESIONES", FORTALECE TUS RODILLAS: EJERCICIOS PARA ZONA DE CUADRICEPS Y GEMELOS
</t>
  </si>
  <si>
    <t>https://mininteriorgovco.sharepoint.com/:f:/r/sites/EvidenciasOAP/Documentos%20compartidos/Evidencias%20Indicadores%20de%20Proceso%202026/03.%20Gesti%C3%B3n%20del%20Talento%20Humano/II%20Trimestre/Ind.%20015?csf=1&amp;web=1&amp;e=DfCfCn</t>
  </si>
  <si>
    <t>Diseñar y ejecutar campañas de apropiación del Código de Integridad (valores institucionales).  Es importante medirlo porque hace parte de los planes estratégicos e institucionales del Ministerio del Interior, y en materia de gestión y desempeño institucional orientan el desarrollo de la entidad.  La orientación del indicador es incrementar.</t>
  </si>
  <si>
    <t>Campañas de apropiación de valores implementadas</t>
  </si>
  <si>
    <t>Sumatoria  de campañas realizadas</t>
  </si>
  <si>
    <t>Política de Integridad</t>
  </si>
  <si>
    <t>Listas de asistencia y/o piezas publicitarias</t>
  </si>
  <si>
    <t>En el primer trimestre se publicaron los resultados del test de integridad y se inicio la campaña de expectativa para escoger el valor</t>
  </si>
  <si>
    <t>https://mininteriorgovco.sharepoint.com/:f:/r/sites/EvidenciasOAP/Documentos%20compartidos/Evidencias%20Indicadores%20de%20Proceso%202026/03.%20Gesti%C3%B3n%20del%20Talento%20Humano/I%20Trimestre/Ind016?csf=1&amp;web=1&amp;e=FKtQgG</t>
  </si>
  <si>
    <t>urante el segundo trimestre de la vigencia 2026 se realizaron las siguientes actividades:
1. Campaña de expectativa para la elección del valor que representa al Ministerio del Interior: Con el propósito de incentivar la participación de los servidores públicos y fortalecer el sentido de pertenencia frente al Código de Integridad.
2. Promoción de los cinco valores del Código de Integridad: se ejecutó una estrategia de divulgación permanente de los cinco valores adoptados en el Código de Integridad. 
3. Concurso para la elección del eslogan institucional en el marco del Día del Servidor Público.
4. Convocatoria a capacitación en Integridad, Ética Pública y Conflicto de Intereses.</t>
  </si>
  <si>
    <t>https://mininteriorgovco.sharepoint.com/:f:/r/sites/EvidenciasOAP/Documentos%20compartidos/Evidencias%20Indicadores%20de%20Proceso%202026/03.%20Gesti%C3%B3n%20del%20Talento%20Humano/II%20Trimestre/Ind.%20016?csf=1&amp;web=1&amp;e=xR4yU2</t>
  </si>
  <si>
    <t xml:space="preserve">jecutar actividades de promoción y prevención en temas de seguridad y salud en el trabajo autogestionadas. Es importante medirlo porque hace parte del rendimiento del sistema. La orientación del indicador es incrementar. </t>
  </si>
  <si>
    <t>Actividades de promoción y prevención en temas de seguridad y salud en el trabajo auto gestionadas</t>
  </si>
  <si>
    <t>Sumatoria de actividades de promoción y prevención en temas de seguridad y salud en el trabajo autogestionada</t>
  </si>
  <si>
    <t>Información propia del Sistema de Seguridad y Salud en el Trabajo</t>
  </si>
  <si>
    <t xml:space="preserve">Para el primer trimestre, se realizaron las siguientes acrividades: 
Febrero (3): Jornada antiestres, jorada de conacion de sangre, Jornada de Vacunacion.
Marzo (1): Jornada de cuidado Visual
</t>
  </si>
  <si>
    <t>https://mininteriorgovco.sharepoint.com/:f:/r/sites/EvidenciasOAP/Documentos%20compartidos/Evidencias%20Indicadores%20de%20Proceso%202026/03.%20Gesti%C3%B3n%20del%20Talento%20Humano/I%20Trimestre/Ind017?csf=1&amp;web=1&amp;e=WqFbyE</t>
  </si>
  <si>
    <t xml:space="preserve">Mayo: (2) Estrategias de prevención de la hipertensión y la diabetes
Junio (2): Jornada de vacunación 
</t>
  </si>
  <si>
    <t>https://mininteriorgovco.sharepoint.com/:f:/r/sites/EvidenciasOAP/Documentos%20compartidos/Evidencias%20Indicadores%20de%20Proceso%202026/03.%20Gesti%C3%B3n%20del%20Talento%20Humano/II%20Trimestre/Ind.%20017?csf=1&amp;web=1&amp;e=Ut6Tag</t>
  </si>
  <si>
    <t xml:space="preserve">
Ejecutar actividades de promoción y prevención en temas de seguridad y salud en el trabajo autogestionadas. Es importante medirlo por normatividad y cumplimineto de la Institución, su orientación es mantener</t>
  </si>
  <si>
    <t>Mantenimiento de la certificación de la norma técnica ISO 45001 2008: 2008  para el sistema de Gestión de la Seguridad y Salud en el trabajo ( SGS-ST)</t>
  </si>
  <si>
    <t xml:space="preserve">Certificado emitido por la entidad Certificadora en la Norma Técnica para el Sistema de gestión de la seguridad y salud en el trabajo </t>
  </si>
  <si>
    <t xml:space="preserve">Auditoria del Sistema de gestión de la seguridad y salud en el trabajo </t>
  </si>
  <si>
    <t>Anual</t>
  </si>
  <si>
    <t>Meta no programada para este trimestre</t>
  </si>
  <si>
    <t>Gestionar el relacionamiento entre el Gobierno Nacional y el Congreso de República, presentando e implementando políticas públicas en materia de gobernabilidad en el territorio nacional y garantizando el acceso correcto a la democracia y participación ciudadana. Fortalecer las relaciones entre el Gobierno y el Congreso de la República, con el fin de impulsar la capacidad de gestión legislativa en cumplimiento de los diferentes temas de la agenda pública</t>
  </si>
  <si>
    <t>henry.luna@mininterior.gov.co</t>
  </si>
  <si>
    <t xml:space="preserve">Generar documentos de análisis, acción y seguimiento estratégico para los proyectos priorizados por el Ministerio del Interior y el Gobierno Nacional, con el fin de contar con los insumos necesarios para su discusión y trámite ante el Congreso de la República, para este indicador la tendencia es incremental
</t>
  </si>
  <si>
    <t xml:space="preserve">Documentos de información relacionadas con el trámite de los proyectos de ley elaborados por la Dirección de Asuntos Legislativos </t>
  </si>
  <si>
    <t>Sumatoria de documentos de información relacionadas con el trámite de los proyectos de ley elaborados</t>
  </si>
  <si>
    <t>Fichas técnicas y Agendas Legislativas Semanales</t>
  </si>
  <si>
    <t>Durante el periodo se elaboraron 9  documentos relacionados con el trámite de Proyectos del Ley y Actos Legislativos, entre los cuales se destacan  fichas bulletes, documentos necesarios para la planeación, seguimiento e impulso de la agenda legislativa de interés o autoría del Gobierno Nacional en trámite en el Congreso de la Republica.
Enero: 1
Febrero: 8
Marzo: 1</t>
  </si>
  <si>
    <t>https://mininteriorgovco.sharepoint.com/:f:/r/sites/EvidenciasOAP/Documentos%20compartidos/Evidencias%20Indicadores%20de%20Proceso%202026/04.%20Gesti%C3%B3n%20Pol%C3%ADtica%20y%20Gobierno/Direcci%C3%B3n%20de%20Asuntos%20Legislativos/I%20Trimestre/Ind019?csf=1&amp;web=1&amp;e=U2hPg2</t>
  </si>
  <si>
    <t>Durante el periodo de reporte se elaboraron quince (15)  documentos relacionados con el trámite de proyectos de ley y actos legislativos. Entre estos se encuentran fichas tipo bullet y otros documentos de apoyo, fundamentales para la planeación, el seguimiento y el impulso de la agenda legislativa correspondiente a las iniciativas de interés o de autoría del Gobierno Nacional que cursan trámite en el Congreso de la República.
Abril: 10
Mayo: 2
Junio: 3</t>
  </si>
  <si>
    <t>https://mininteriorgovco.sharepoint.com/:f:/r/sites/EvidenciasOAP/Documentos%20compartidos/Evidencias%20Indicadores%20de%20Proceso%202026/04.%20Gesti%C3%B3n%20Pol%C3%ADtica%20y%20Gobierno/Direcci%C3%B3n%20de%20Asuntos%20Legislativos/II%20Trimestre/Ind019?csf=1&amp;web=1&amp;e=7ItH7T</t>
  </si>
  <si>
    <t>La Dirección de Asuntos Legislativos es la encargada de atender los cuestionarios de los debates de control político remitidos por el Congreso de la República. Para ello, debe acudir a las diferentes áreas del Ministerio con el fin de obtener los insumos necesarios para su adecuada atención. La orientación de este indicador es de mantenimiento.</t>
  </si>
  <si>
    <t xml:space="preserve">Solicitud de insumos a las áreas competentes del Ministerio del Interior para atender los cuestionarios de control político, remitidos por el Congreso de la República </t>
  </si>
  <si>
    <t>(Número de insumos solicitados a las áreas / número de cuestionario de debate de control político allegados) * 100</t>
  </si>
  <si>
    <t xml:space="preserve">Matriz de seguimiento a debates de control político </t>
  </si>
  <si>
    <t>Debido al receso legislativos no se realizaron debates. 
Este es un indicador a demanda, para el período no hubo solicitudes de insumos para debates de control</t>
  </si>
  <si>
    <t>Durante el periodo se atendieron internamente el 100% de los debates a control politico allegadas a la Direccion de Asuntos Legislativos
Abril : 6
Mayo: 2</t>
  </si>
  <si>
    <t>https://mininteriorgovco.sharepoint.com/:f:/r/sites/EvidenciasOAP/Documentos%20compartidos/Evidencias%20Indicadores%20de%20Proceso%202026/04.%20Gesti%C3%B3n%20Pol%C3%ADtica%20y%20Gobierno/Direcci%C3%B3n%20de%20Asuntos%20Legislativos/II%20Trimestre/Ind020?csf=1&amp;web=1&amp;e=kZ6kES</t>
  </si>
  <si>
    <t>En el marco de las funciones de la Dirección de Asuntos Legislativos, como coordinadora de la agenda legislativa de interés o de autoría del Gobierno Nacional, se llevan a cabo reuniones con los enlaces legislativos de las entidades gubernamentales, con el fin de establecer estrategias para los proyectos priorizados por cada una de las carteras, la orientación del indicador es incremental.</t>
  </si>
  <si>
    <t xml:space="preserve">Reuniones realizadas con el fin establecer estrategias para los  proyectos priorizados del  Gobierno Nacional </t>
  </si>
  <si>
    <t>Sumatoria  de reuniones  con los enlaces legislativos del Gobierno Nacional realizadas</t>
  </si>
  <si>
    <t xml:space="preserve">Archivo de listas de asistencia a las reuniones </t>
  </si>
  <si>
    <t xml:space="preserve"> Listas de asistencia a las reuniones</t>
  </si>
  <si>
    <t>Durante el período se adelantaron 6 reuniones de articulación interinstitucional, con el fin de fortalecer la coordinación y las capacidades técnicas de los enlaces legislativos del Gobierno nacional.
Febrero: 3
Marzo: 3</t>
  </si>
  <si>
    <t>https://mininteriorgovco.sharepoint.com/:f:/r/sites/EvidenciasOAP/Documentos%20compartidos/Evidencias%20Indicadores%20de%20Proceso%202026/04.%20Gesti%C3%B3n%20Pol%C3%ADtica%20y%20Gobierno/Direcci%C3%B3n%20de%20Asuntos%20Legislativos/I%20Trimestre/Ind021?csf=1&amp;web=1&amp;e=uhmYtG</t>
  </si>
  <si>
    <t>Durante el período informado se llevaron a cabo cinco (5) reuniones de articulación interinstitucional, orientadas a fortalecer la coordinación y consolidar las capacidades técnicas de los enlaces legislativos del Gobierno nacional.
Abril : 2
Mayo :2
Junio : 1</t>
  </si>
  <si>
    <t>https://mininteriorgovco.sharepoint.com/:f:/r/sites/EvidenciasOAP/Documentos%20compartidos/Evidencias%20Indicadores%20de%20Proceso%202026/04.%20Gesti%C3%B3n%20Pol%C3%ADtica%20y%20Gobierno/Direcci%C3%B3n%20de%20Asuntos%20Legislativos/II%20Trimestre/Ind021?csf=1&amp;web=1&amp;e=QpLqKE</t>
  </si>
  <si>
    <t>Gestionar el relacionamiento entre el gobierno nacional y el congreso de la república, presentando e implementando políticas públicas en materia de gobernabilidad en el territorio nacional y garantizando el acceso correcto a la democracia y participación ciudadana. Analizar, presentar, implementar y fortalecer las políticas públicas en materia de ordenamiento territorial con el fin de promover el aumento de la capacidad de descentralización, planeación, gestión y administración de las entidades territoriales, así como, promover e implementar la política de lucha contra la trata de personas, mediante la adopción de instrumentos y el fortalecimiento de los ejes de prevención, protección y asistencia a víctimas de este delito</t>
  </si>
  <si>
    <t>angelica.palacios@mininterior.gov.co</t>
  </si>
  <si>
    <t>La Subdirección de Gobierno, Gestión Territorial y Lucha contra la Trata (SGT) realiza acompañamiento mediante asistencias técnicas a las Entidades Territoriales para la formulación, implementación y/o seguimiento de los Planes de Acción Territorial (PAT). Este acompañamiento es fundamental porque permite que las Entidades Territoriales formulen, ejecuten y evalúen sus PAT bajo criterios técnicos, normativos y metodológicos unificados, garantizando la alineación con la Estrategia Nacional de Lucha contra la Trata de Personas. La orientación del indicador corresponde a un comportamiento de incremento con tipo de medición acumulado.</t>
  </si>
  <si>
    <t>Planes de Acción territorial PAT, realizados con los comités municipales y departamentales de la lucha contra la trata de personas.</t>
  </si>
  <si>
    <t xml:space="preserve">Sumatoria de asistencias técnicas de formulación, implementación y/o seguimientos realizados </t>
  </si>
  <si>
    <t>Informes de ejeccución, Actas y listados de asistencia</t>
  </si>
  <si>
    <t>En el primer trimestre de la vigencia  2026 se realizaron asistencias técnicas en 15 departamentos del país. Como parte de un ejercicio de priorización, desde el equipo PAT, se priorizó la construcción de los PAT con los Comités Departamentales y con los Comités de las ciudades capitales de departamento, se llevaron a cabo 30 asistencias.</t>
  </si>
  <si>
    <t xml:space="preserve">https://mininteriorgovco.sharepoint.com/:f:/r/sites/EvidenciasOAP/Documentos%20compartidos/Evidencias%20Indicadores%20de%20Proceso%202026/04.%20Gesti%C3%B3n%20Pol%C3%ADtica%20y%20Gobierno/Subdirecci%C3%B3n%20de%20Gobierno%20y%20Gesti%C3%B3n%20Territorial%20y%20Lucha%20Contra%20la%20Trata/Ind022/PRIMER%20TRIMESTRE?csf=1&amp;web=1&amp;e=KgTumH </t>
  </si>
  <si>
    <t xml:space="preserve">
En el segundo trimestre de la vigencia 2026 se realizaron 212 asistencias técnicas en 15 departamentos del país. Como parte de un ejercicio de priorización, desde el equipo PAT, enfocándose en la construcción de los PAT con los Comités Departamentales y con los Comités de las ciudades capitales de departamento. Las asistencias técnicas se realizaron: en el mes de abril 66 asistencias, mes de mayo 73 asistencias y en el mes de junio 73 asistencias.</t>
  </si>
  <si>
    <t>https://mininteriorgovco.sharepoint.com/:f:/r/sites/EvidenciasOAP/Documentos%20compartidos/Evidencias%20Indicadores%20de%20Proceso%202026/04.%20Gesti%C3%B3n%20Pol%C3%ADtica%20y%20Gobierno/Subdirecci%C3%B3n%20de%20Gobierno%20y%20Gesti%C3%B3n%20Territorial%20y%20Lucha%20Contra%20la%20Trata/II%20Trimestre/Ind022?csf=1&amp;web=1&amp;e=MlKag5</t>
  </si>
  <si>
    <t>La Subdirección de Gobierno, Gestión Territorial y Lucha contra la Trata (SGT) participa en el fortalecimiento de la gestión de las corporaciones públicas de elección popular, las instancias de participación ciudadana y las entidades territoriales en la aplicabilidad de los instrumentos de gobernanza, porque esto garantiza que dichas instituciones cuenten con capacidades técnicas, operativas y metodológicas para ejercer de manera efectiva sus funciones constitucionales y legales. Este acompañamiento es fundamental para mejorar la toma de decisiones públicas, promover y fortalecer los mecanismos de control y participación social. La orientación del indicador corresponde a un comportamiento de incremento con tipo de medición acumulado.</t>
  </si>
  <si>
    <t>Corporaciones Públicas, instancias de participación ciudadana, entidades territoriales fortalecidas</t>
  </si>
  <si>
    <t>Sumatoria de corporaciones, instancias de participación y entidades territoriales fortalecidas</t>
  </si>
  <si>
    <t>Documentos Tecnicos-Actas y Planillas de asistencia</t>
  </si>
  <si>
    <t>Meta a Cimplir a partir del trimestre 2</t>
  </si>
  <si>
    <t>En el segundo trimestre de la vigencia 2026. En el proceso de fortalecimiento de la gestión de las corporaciones públicas de elección popular, las instancias de participación ciudadana y las entidades territoriales en la aplicabilidad de los instrumentos de gobernanza, se brindó acompañamiento técnico, culminando con la aprobación de los reglamentos internos de 20 Juntas Administradoras Locales en el departamento de Risaralda.</t>
  </si>
  <si>
    <t>https://mininteriorgovco.sharepoint.com/:f:/r/sites/EvidenciasOAP/Documentos%20compartidos/Evidencias%20Indicadores%20de%20Proceso%202026/04.%20Gesti%C3%B3n%20Pol%C3%ADtica%20y%20Gobierno/Subdirecci%C3%B3n%20de%20Gobierno%20y%20Gesti%C3%B3n%20Territorial%20y%20Lucha%20Contra%20la%20Trata/II%20Trimestre/Ind023?csf=1&amp;web=1&amp;e=q0Uq62</t>
  </si>
  <si>
    <t>La Subdirección de Gobierno, Gestión Territorial y Lucha contra la Trata (SGT) realiza articulaciones y asistencias técnicas en el abordaje de la lucha contra el delito de trata de personas, garantizando la aplicabilidad de los protocolos  para identificar, proteger y asistir a las víctimas del delito de trata de personas. La orientación del indicador corresponde a un comportamiento de mantenimiento en el porcentaje (100%) de satisfacción y sirve para mostrar la calidad de las asistencias realizadas, este indicador puede mostrar oportunidades de mejora en la implementación de asistencias técnicas.</t>
  </si>
  <si>
    <t>Asistencias tecnicas evaluadas y resueltas satisfactoriamente</t>
  </si>
  <si>
    <t>(Sumatoria de asistencias técnicas evaluadas y resueltas satisfactoriamente / total de asistencias tecnicas realizadas)*100</t>
  </si>
  <si>
    <t>Evaluaciones de las asistencias técnicas realizadas</t>
  </si>
  <si>
    <t xml:space="preserve">100%
</t>
  </si>
  <si>
    <t xml:space="preserve">En el primer trimestre de la vigencia 2026, se realizaron 5 asistencias tecnicas sobre el Protocolo para Identificar, Proteger y Asistir a las Víctimas de Trata de Personas en Contextos Migratorios, impactando  en los departamentos de Nariño el comite departamental de Nariño, Comite municipal de la lucha contra la trata de pasto e Ipiales  y en Guainia, el comite departamental del Guainia y el comite municipal de Inirida. </t>
  </si>
  <si>
    <t>https://mininteriorgovco.sharepoint.com/:f:/r/sites/EvidenciasOAP/Documentos%20compartidos/Evidencias%20Indicadores%20de%20Proceso%202026/04.%20Gesti%C3%B3n%20Pol%C3%ADtica%20y%20Gobierno/Subdirecci%C3%B3n%20de%20Gobierno%20y%20Gesti%C3%B3n%20Territorial%20y%20Lucha%20Contra%20la%20Trata/Ind024/Primer%20Trimestre?csf=1&amp;web=1&amp;e=qwF406</t>
  </si>
  <si>
    <t>En el segundo trimestre de la vigencia 2026, se realizaron 16 asistencias técnicas sobre el Protocolo para Identificar, Proteger y Asistir a las Víctimas de Trata de Personas en Contextos Migratorios, asistencias realizadas en comités municipales y Departamentales en los departamentos de: Boyacá, Meta, Casanare, choco, guajira, putumayo y Antioquia</t>
  </si>
  <si>
    <t>https://mininteriorgovco.sharepoint.com/:f:/r/sites/EvidenciasOAP/Documentos%20compartidos/Evidencias%20Indicadores%20de%20Proceso%202026/04.%20Gesti%C3%B3n%20Pol%C3%ADtica%20y%20Gobierno/Subdirecci%C3%B3n%20de%20Gobierno%20y%20Gesti%C3%B3n%20Territorial%20y%20Lucha%20Contra%20la%20Trata/II%20Trimestre/Ind024?csf=1&amp;web=1&amp;e=3PnYaQ</t>
  </si>
  <si>
    <t>Gestionar el relacionamiento entre el Gobierno Nacional y el Congreso de República, presentando e implementando políticas públicas en materia de gobernabilidad en el territorio nacional y garantizando el acceso correcto a la democracia y participación ciudadana.
Formular, ejecutar, evaluar y hacer seguimiento a las políticas públicas en materia de participación ciudadana y el fortalecimiento de la democracia</t>
  </si>
  <si>
    <t xml:space="preserve">paula.sierra@mininterior.gov.co									</t>
  </si>
  <si>
    <t xml:space="preserve">Realizar visitas de asistencia técnica y jurídica a las entidades de segundo nivel (Gobernaciones y Alcaldías delegadas) de conformidad con el Art. 74 y 75 de la Ley 2166 de 2021. Lo anterior, en cumplimiento de las competencias que la Ley otorga a la Dirección para la Democracia, la participación ciudadana y la acción comunal en el Capítulo XII de la mencionada Ley, para ejercer inspección, vigilancia y control). 									</t>
  </si>
  <si>
    <t>Visitas de asistencia técnica y jurídica a entidades de segundo nivel realizadas</t>
  </si>
  <si>
    <t>Sumatoria de número de visitas de asistencia técnica y jurídica a entidades de segundo nivel realizadas</t>
  </si>
  <si>
    <t>Actas de las visitas de asistencia técnica y jurídica realizadas por el equipo y reportadas por el enlace del Grupo de Acción Comunal durante el trimestre.</t>
  </si>
  <si>
    <t>Actas o informes de visitas</t>
  </si>
  <si>
    <t>I Trimestre: Se realizaron 35 visitas de asistencias técnicas y jurídicas a los entes territoriales:
•19 de febrero: 1 Gobernación Chocó
•19 de febrero: 1 Alcaldía Quibdó
•20 de febrero: 1 Gobernación Caquetá y Alcaldías delegadas: 1 Solano, 1 Doncello, 1 Cartagena del Chaira, 1 Florencia, 1 Valparaiso, 1 La montañita, 1 Solita, 1 Morelia, 1 Albania.
•23 de febrero: 1 Gobernación Quindío.
•25 de febrero: 1 Gobernación Atlántico, 1 Alcaldía delegada: Barranquilla.
•26 de febrero: 1 Gobernación Nariño
•27 de febrero: 1 Gobernación del Huila, 1 Alcaldía de Neiva
29 de Febrero: 1 Gobernación de Cauca, 1 alcaldía de Popayán.
•10 de marzo: 1 Gobernación Casanare.
•11 de marzo: 1 Gobernación Vaupés y alcaldía delegada de 1 Mitú
•12 de marzo: 1 Gobernación Guaviare
•13 de marzo: 1 Gobernación Amazonas
•17 de marzo: 1 Gobernación Santander y alcaldías delegadas 1 Bucaramanga, 1 Floridablanca y 1 Piedecuesta.
•19 de marzo: 1 Gobernación Boyacá
•20 de marzo: 1 Gobernación La Guajira
•25 de marzo: 1 Gobernación Vichada y Alcaldías delegadas: 1 Puerto Carreño, 1 Primavera, 1 Cumaribo.
Ene: 0; Feb: 20; Mar: 15</t>
  </si>
  <si>
    <t xml:space="preserve"> Ind025</t>
  </si>
  <si>
    <r>
      <t xml:space="preserve">II Trimestre: </t>
    </r>
    <r>
      <rPr>
        <sz val="10"/>
        <color rgb="FF000000"/>
        <rFont val="Arial"/>
        <family val="2"/>
      </rPr>
      <t>Se realizaron 48 visitas de asistencias técnicas y jurídicas a los entes territoriales:</t>
    </r>
    <r>
      <rPr>
        <b/>
        <sz val="10"/>
        <color rgb="FF000000"/>
        <rFont val="Arial"/>
        <family val="2"/>
      </rPr>
      <t xml:space="preserve">
Febrero</t>
    </r>
    <r>
      <rPr>
        <sz val="10"/>
        <color rgb="FF000000"/>
        <rFont val="Arial"/>
        <family val="2"/>
      </rPr>
      <t>:
*20 de Febrero: 1 Gobernación de Norte de Santander y alcaldía delegada 1 San José Cucuta
*23 de Febrero: 1 Gobernación del Magdalena.
*26 de febrero: 1 Gobernación de Cauca.
*27 de febrero: 1 Gobernación del Tolima y alcaldías delegadas 1 Ibagué, 1 Chaparral.</t>
    </r>
    <r>
      <rPr>
        <b/>
        <sz val="10"/>
        <color rgb="FF000000"/>
        <rFont val="Arial"/>
        <family val="2"/>
      </rPr>
      <t xml:space="preserve">
Marzo</t>
    </r>
    <r>
      <rPr>
        <sz val="10"/>
        <color rgb="FF000000"/>
        <rFont val="Arial"/>
        <family val="2"/>
      </rPr>
      <t>:
*19 de marzo: 1 Gobernación del Cesar
*20 de marzo: 1 Gobernación de San Andrés
*24 de marzo: 1 Gobernación del Putumayo y alcaldías delegadas 1 Santiago, 1 Colón, 1 Puerto Guzman, 1 Orito, 1 Valle de Guamuez, 1 San miguel, 1 Puerto Leguízamo.
*25 de marzo: 1 Gobernación de Cordoba
*26 de marzo: 1 Gobernación de Cundinamarca- IDACO y alcaldías delegadas 1 Soacha, 1 Fusagasugá, 1 Chia.</t>
    </r>
    <r>
      <rPr>
        <b/>
        <sz val="10"/>
        <color rgb="FF000000"/>
        <rFont val="Arial"/>
        <family val="2"/>
      </rPr>
      <t xml:space="preserve">
Junio</t>
    </r>
    <r>
      <rPr>
        <sz val="10"/>
        <color rgb="FF000000"/>
        <rFont val="Arial"/>
        <family val="2"/>
      </rPr>
      <t>:
*10 Junio: 1 Gobernación de Bolívar y alcaldías delegadas: 1cartagena, 1 Turbaco, 1 Turbaná, 1 Villanueva, 1 clemencia, 1 Soplaviento, 1 San juan de Nepomuceno, 1 San Estanislao, 1 Santa catalina; 1 Instituto distrital de Cartagena, 1 Gobernación del valle del cauca y alcaldías delegadas 1 Cali, 1 Buenaventura, 1 Palmira, 1 Yumbo
*16 Junio: 1 Gobernación de Caldas y 1 alcaldía delegada de Manizales.
*23 de Junio: 1 Gobernación del Huila y alcaldías delegadas 1 Pitalito, 1 Neiva, 1 La Plata.
*25 Junio: 1 Gobernación de Santander y alcaldías delegadas 1 Piedecuesta, 1 Girón, 1 Bucaramanga.
Ene: 0, Feb: 7, Mar: 15 
Abr: 0, May: 0, Jun: 26</t>
    </r>
  </si>
  <si>
    <t>NA</t>
  </si>
  <si>
    <t xml:space="preserve">Realizar visitas de inspección, vigilancia y control a las organizaciones de tercer y cuarto grado, de conformidad con el Art. 74 y 75 de la Ley 2166 de 2021. Lo anterior, en cumplimiento de las competencias que la Ley otorga a la Dirección para la Democracia, la participación ciudadana y la acción comunal en el Capítulo XII de la mencionada Ley, para ejercer inspección, vigilancia y control. 									</t>
  </si>
  <si>
    <t xml:space="preserve">Visitas de inspección, vigilancia y control a organizaciones de tercer y cuarto grado realizadas									</t>
  </si>
  <si>
    <t xml:space="preserve">Sumatoria de número de visitas de inspección, vigilancia y control a organizaciones de tercer y cuarto grado realizadas									</t>
  </si>
  <si>
    <t>Actas de las visitas de IVC realizadas por el equipo y reportadas por el enlace del Grupo de Acción Comunal durante el trimestre.</t>
  </si>
  <si>
    <t>I Trimestre: Se realizaron 9 visitas de Inspección, Vigilancia y Control a las Federaciones de Acción Comunal:
19 de febrero: IVC Federación del Caquetá.
20 de febrero: IVC Federación de Chocó.
24 de febrero: IVC Federación de Magdalena
28 de febrero: IVC Federación de Tolima
11 de marzo: IVC Federación de Vaupés.
19 de marzo: IVC Federación Meta.
20 de marzo: IVC Federación de La Guajira.
20 de marzo: IVC Federación de Cesar
26 de marzo: IVC Federación de Vichada.
Ene: 0; Feb: 4; Mar:5</t>
  </si>
  <si>
    <t xml:space="preserve"> Ind026</t>
  </si>
  <si>
    <r>
      <t>II Trimestre</t>
    </r>
    <r>
      <rPr>
        <sz val="10"/>
        <color rgb="FF000000"/>
        <rFont val="Arial"/>
        <family val="2"/>
      </rPr>
      <t>: Se realizaron 9 visitas de Inspección, Vigilancia y Control a las Federaciones de Acción Comunal:
8 de Abril: IVC Federación de Cauca
8 de Abril: IVC Federación de Risaralda
8 de Abril: IVC Federación de Pereira.
11 de Junio: IVC Federación  Santiago de Cali
11 de Junio: IVC Federación del Valle del Cauca
12 de Junio: IVC Federación de Cartagena
20 de Junio: IVC: Federación de Santa Marta
24 de Junio: IVC Federación de Putumayo
24 de Junio: Federación de Neiva
Abr: 3, May: 0, Jun: 6</t>
    </r>
  </si>
  <si>
    <t>La ejecución del indicador presentó afectaciones por la imposibilidad de materializar algunas visitas programadas, debido a la ausencia de condiciones que permitieran su desarrollo por parte de las federaciones objeto de inspección, vigilancia y control, lo que incidió en el cumplimiento de la meta establecida.
Se reforzará la planificación de las actuaciones administrativas mediante la notificación oportuna de las visitas, la coordinación con las autoridades competentes y el seguimiento permanente a la programación, con el fin de reducir las cancelaciones o reprogramaciones y mejorar el cumplimiento del indicador.</t>
  </si>
  <si>
    <t>Realizar acciones de fortalecimiento de la política pública de participación ciudadana y electoral en su fase de implementación, mediante la divulgacion y socialización en los 32 departamentos del Pais.</t>
  </si>
  <si>
    <t>Acciones de fortalecimiento de la política pública de participación ciudadana y electoral - PPPCyE realizadas</t>
  </si>
  <si>
    <t>Sumatoria de acciones de fortalecimiento de la política pública de participación ciudadana y electoral - PPPCyE realizadas</t>
  </si>
  <si>
    <t>Actas o informes de las acciones realizadas por el equipo y reportadas por el enlace del Grupo de Participación Ciudadana durante el trimestre.</t>
  </si>
  <si>
    <t>I Trimestre: Se realizaron 13 eventos de fortalecimiento y socialización de La política pública de participación ciudadana y electoral en los siguientes departamentos: 1 Bolívar, 1 Risaralda, 1 Quindío, 1 Caldas, 1 Magdalena, 1 Valle del Cauca, 1 Atlántico, 1 Santander, 1 Tolima, 1 Meta, 1 Sucre, 1 Boyacá, 1 Cauca
Ene: 5, Feb: 6, Mar: 2</t>
  </si>
  <si>
    <t xml:space="preserve"> Ind027</t>
  </si>
  <si>
    <t>II Trimestre:
Se realizaron 12 eventos de fortalecimiento y socialización de La política pública de participación ciudadana y electoral en los siguientes departamentos: 1 Arauca, 1 Caquetá, 1 Casanare, 1 Córdoba, 2 Cundinamarca, 1 La Guajira, 1 Norte de Santander,1 Sucre 1 Putumayo, 1 San Andrés y 1 Vichada.
Abr: 2, May: 5, Jun: 5</t>
  </si>
  <si>
    <t>Ind028</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</si>
  <si>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</si>
  <si>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carlos.espitia@mininterior.gov.co</t>
  </si>
  <si>
    <t>El indicador mide la elaboración de documentos técnicos orientados al seguimiento, cumplimiento y fortalecimiento de las obligaciones derivadas de la Sentencia T-025 de 2004 y sus autos de seguimiento, los cuales consolidan, analizan y sistematizan la información necesaria para la toma de decisiones institucionales. Su medición es importante porque permite verificar la disponibilidad, calidad y oportunidad de estos insumos técnicos, asegurando la continuidad y el mantenimiento del cumplimiento de las obligaciones establecidas.</t>
  </si>
  <si>
    <t>Documentos técnicos, orientados al seguimiento y cumplimiento de la Sentencia T-025 de 2004 y sus autos de seguimiento, en el marco de las competencias del Grupo de Articulación Interna para la Política de Víctimas, elaborados y entregados.</t>
  </si>
  <si>
    <t>(No. de documentos técnicos elaborados y entregados en respuesta a requerimientos recibidos en el marco de la Sentencia T-025 de 2004 / No. total de requerimientos recibidos relacionados con la Sentencia T-025 de 2004) * 100</t>
  </si>
  <si>
    <t>Registros institucionales de producción documental, incluidos los repositorios internos, bases de datos y sistemas de gestión documental donde se almacenan los documentos técnicos elaborados en el marco del seguimiento a la Sentencia T-025 de 2004 y sus autos de seguimiento.</t>
  </si>
  <si>
    <t>Documentos técnicos elaborados en el marco de la Sentencia T-025 de 2004, que permitan verificar el desarrollo de los análisis, contenidos y productos requeridos para el seguimiento a dicha Sentencia y sus autos de seguimiento.</t>
  </si>
  <si>
    <t>Durante el primer trimestre no se elaboraron documentos técnicos en el marco de la Sentencia T-025 de 2004 y sus autos de seguimiento. No obstante, el Grupo de Articulación Interna para la Política Pública de Víctimas adelantó acciones preparatorias orientadas a la consolidación de insumos técnicos, mediante espacios de articulación y reuniones con las direcciones del Ministerio del Interior y entidades del Sistema Nacional de Atención y Reparación Integral a las Víctimas, con el fin de recopilar, validar y depurar la información necesaria para la posterior elaboración de los reportes.</t>
  </si>
  <si>
    <t>Durante el primer trimestre no se generaron solicitudes de reporte en el marco del seguimiento a la Sentencia T-025 de 2004 y sus autos, razón por la cual no se adelantó la elaboración de los documentos técnicos correspondientes en este periodo.</t>
  </si>
  <si>
    <t>Durante el segundo trimestre de la vigencia se elaboró un (1) informe en el marco del seguimiento a la Sentencia T-025 de 2004 y sus autos de seguimiento, en cumplimiento de los requerimientos institucionales y de las obligaciones derivadas de este proceso. En consecuencia, durante este periodo las acciones se concentraron en la consolidación, análisis y presentación de la información requerida para la elaboración del citado informe.</t>
  </si>
  <si>
    <t>La consolidación de la información requerida para la elaboración del informe de seguimiento a la Sentencia T-025 de 2004 dependió de la oportunidad y calidad de los insumos remitidos por las diferentes dependencias e instituciones involucradas, lo que implicó un proceso permanente de validación, ajuste y articulación técnica para garantizar la consistencia de la información presentada dentro de los tiempos establecidos.</t>
  </si>
  <si>
    <t>Brindar asistencia técnica oportuna y especializada a las entidades territoriales para fortalecer y mantener sus capacidades institucionales en la planeación, gestión e implementación de la política pública de víctimas. Medir este indicador es importante porque permite verificar el nivel de acompañamiento brindado, asegurar la continuidad del fortalecimiento territorial y orientar acciones de mejora para optimizar los resultados en los procesos operativos y de gestión.</t>
  </si>
  <si>
    <t>Asistencias técnicas realizadas a las entidades territoriales para la articulación de la política pública de víctimas.</t>
  </si>
  <si>
    <t>Sumatoria de entidades territoriales que reciben asistencia técnica durante el año.</t>
  </si>
  <si>
    <t>Listas de asistencia y registros de participación asociados a las sesiones de asistencia técnica realizadas durante la vigencia, consolidadas en los reportes internos de la entidad.</t>
  </si>
  <si>
    <t>Listas de asistencia y registros formales de participación que respalden la ejecución de las sesiones de asistencia técnica</t>
  </si>
  <si>
    <t>Para el primer trimestre se estableció como meta brindar asistencia técnica a 99 entidades territoriales. No obstante, se logró atender a 1041 entidades territoriales en temas relacionados con la planeación, gestión e implementación de la política pública de víctimas, superando la meta prevista.
Estas asistencias técnicas se desarrollaron a través de cinco (5) jornadas, en las cuales participaron 32 gobernaciones y 1009 alcaldías municipales. Distribuidas en las siguientes fechas:
• Una (1) jornada desarrollada el (3/02/2026) Sobre: Aspectos Técnicos del Reporte Unificado del Sistema de Información, Coordinación y Seguimiento Territorial – RUSICST
• Una (1) jornada desarrollada el (4/02/2026) Sobre: Aspectos Técnicos de RUSICST, Restitución de Tierras y Territorio, Acción Integral contra Minas Antipersona
• Una (1) jornada desarrollada el (5/02/2026) Sobre: Asistencia técnicas virtuales diligenciamientos RUSICST 2025-2
• Una (1) jornada desarrollada el (6/02/2026) Sobre: Aspectos Técnicos del Reporte Unificado del Sistema de Información, Coordinación y Seguimiento Territorial – RUSICST; Acciones e Iniciativas de Memoria Histórica
• Una (1) jornada desarrollada el (18/02/2026) Sobre: Asistencia técnicas virtuales diligenciamientos RUSICST 2025-2
Durante las jornadas se abordaron, entre otros, los siguientes temas: diligenciamiento del RUSICST; socialización de la estrategia Tejer Territorio; capacitación en el proceso de Certificación Territorial por parte de la Unidad para las Víctimas; capacitación de la Oficina de Apoyo para la Búsqueda de Personas dadas por Desaparecidas; fortalecimiento de la gestión de cementerios como aporte a la búsqueda de personas dadas por desaparecidas (DDHH – Ministerio del Interior); capacitación en Planes de Acción Integral contra Minas Antipersonal (AICMA); y socialización de la oferta institucional del Ministerio del Interior.</t>
  </si>
  <si>
    <t>Teniendo en cuenta las dinámicas de contratación y los cambios en los equipos de trabajo de las entidades territoriales, se han presentado dificultades para contar oportunamente con la actualización de los datos de contacto de algunos enlaces territoriales responsables de los temas asociados. No obstante, desde el Grupo de Articulación Interna se han adelantado acciones orientadas a garantizar la difusión de las jornadas de capacitación, remitiendo las respectivas invitaciones a las oficinas de las alcaldías correspondientes, con el fin de asegurar la participación de los equipos técnicos vinculados a la implementación de las actividades programadas.</t>
  </si>
  <si>
    <t>Para el segundo trimestre se estableció como meta brindar asistencia técnica a 354 entidades territoriales. Durante el periodo de seguimiento, se brindó asistencia técnica a 135 entidades territoriales en temas relacionados con la planeación, gestión e implementación de la Política Pública de Víctimas, alcanzando el cumplimiento previsto para las actividades programadas en el trimestre.
Las asistencias técnicas se desarrollaron mediante tres (3) jornadas, en las que participaron 135 alcaldías municipales, de acuerdo con el siguiente detalle:
• Una (1) jornada, realizada el 28 de abril de 2026, sobre asistencia técnica para el diligenciamiento del RUSICST y el fortalecimiento de capacidades para el reporte de información de la Política Pública de Víctimas.
• Una (1) jornada, realizada el 14 de mayo de 2026, sobre la presentación de la oferta institucional del FONSECON (Fondo Nacional de Seguridad y Convivencia Ciudadana).
•Una (1) jornada, realizada el 15 de abril de 2026, sobre el fortalecimiento de capacidades de las entidades territoriales en el marco de la respuesta rápida a las Alertas Tempranas – CIPRAT.
Durante estas jornadas se fortalecieron las capacidades técnicas de las entidades territoriales mediante la orientación en el diligenciamiento del RUSICST, la socialización de la oferta institucional del FONSECON y la asistencia técnica para la implementación de acciones relacionadas con la respuesta rápida a las Alertas Tempranas en el marco del CIPRAT, contribuyendo al fortalecimiento de la gestión territorial de la Política Pública de Víctimas.</t>
  </si>
  <si>
    <t>La programación y desarrollo de las jornadas de asistencia técnica estuvieron condicionados por la disponibilidad y participación de las entidades territoriales convocadas, así como por las diferencias en sus capacidades técnicas e institucionales, lo que requirió adaptar las estrategias de acompañamiento para garantizar la apropiación de los contenidos y el cumplimiento de las actividades previstas.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</si>
  <si>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</si>
  <si>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jomary.ortegon@mininterior.gov.co</t>
  </si>
  <si>
    <t>Fortalecer la politica pública de preveción de violaciones a los Derechos a la vida , integridad y seguridad de personas , grupos y comunidades.</t>
  </si>
  <si>
    <t>Planes integrales de prevención formulados o actualizados frente a violaciones de Derechos Humanos e infracciones al Derecho Internacional Humanitario</t>
  </si>
  <si>
    <t>Sumatoria de número de Planes Integrales de prevención a las violaciones de Derechos Humanos e infracciones al derecho internacional humanitario  formulados o actualizados</t>
  </si>
  <si>
    <t>La herramienta de la cual se obtine la información del indicador es el Plan Estrategico y de acción de cada vigencia.</t>
  </si>
  <si>
    <t xml:space="preserve">Documento Planes Integrales de Protección </t>
  </si>
  <si>
    <t xml:space="preserve">Trimestral </t>
  </si>
  <si>
    <t>La meta del trimestre no se cumple debido a la demora en el inicio del proceso de operación logística y tiquetes; no obstante avanzan las coordinación con los territorios priorizados para la vigencia.</t>
  </si>
  <si>
    <t>https://mininteriorgovco.sharepoint.com/:f:/r/sites/EvidenciasOAP/Documentos%20compartidos/Evidencias%20Indicadores%20de%20Proceso%202026/05.%20Gesti%C3%B3n%20para%20la%20Protecci%C3%B3n%20de%20los%20derechos/Direcci%C3%B3n%20de%20Derechos%20Humanos/Ind030?csf=1&amp;web=1&amp;e=kDW1dh</t>
  </si>
  <si>
    <t xml:space="preserve">Demora en el inicio de los procesos de operación logística y tiquetes
</t>
  </si>
  <si>
    <t>Durante el Trimestre objeto de reporte se acompañaron 77 entidades territoriales para la formulación y/o actualización de los documentos de los Planes Integrales de Prevención – PIP, así:
• Amazonas: Departamento, Leticia y Puerto Nariño
• Caldas: Departamento
• Chocó: Departamento, Medio San Juan, Bahía Solano, Bagadó, Medio Atrato, Atrato y San José del Palmar
• Cundinamarca: Departamento, Chía, Puerto Salgar
• Nariño: El Tambo, El Peñol, Policarpa, El Rosario, Leiva, Cumbitara, Los Andes Sotomayor, Samaniego, Ipiales
• Norte de Santander: Cáchira, La Esperanza, Ocaña, Ábrego
• Risaralda: Departamento, Belén de Umbría, Mistrató, Pueblo Rico
• San Andrés: Departamento
• Tolima: Departamento, Planadas, Ataco
• Valle del Cauca: Cartago, Buenaventura
• Sucre: Chalán, Ovejas, Galeras
• Córdoba: Departamento, Tierralta, Ayapel, Puerto Libertador, Montelíbano
• Meta: Mapiripán, Mesetas, Vistahermosa, Departamento, Macarena, Puerto Gaitán
• Bolívar: San Jacinto
• Quindío: Quimbaya
• Antioquia: Remedios, Segovia, Amalfi, Anorí, Vegachí, Apartadó, Carepa, Chigorodó, Murindó, Yondó, Vigía del Fuerte, Turbo
• Vichada: Departamento, Santa Rosalía
• Guaviare: Departamento, San José del Guaviare, Calamar
• Atlántico: Departamento
• Caquetá: Cartagena del Chairá, Florencia, La Montañita, Milán, San Vicente del Caguán Solano, Puerto Rico
• Huila: Pitalito
• Magdalena: El Banco</t>
  </si>
  <si>
    <t>Política de Prevención</t>
  </si>
  <si>
    <t xml:space="preserve">Fortalecer el Programa Integral de Seguridad y protección para comunidades y Organizaciones en los Territorios </t>
  </si>
  <si>
    <t xml:space="preserve">Actividades de la Dirección de Derechos Humanos implementadas en el marco del Programa Integral de Seguridad y Protección para Comunidades y Organizaciones en los Territorios.									</t>
  </si>
  <si>
    <t xml:space="preserve">(Número de actividades realizadas en el fortalecimiento e implementación del Programa Integral de Seguridad y Protección para Comunidades y Organizaciones en los Territorios /número de actividades programadas en el fortalecimiento e implementación del Programa Integral de Seguridad y Protección para Comunidades y Organizaciones en los Territorios )*100% </t>
  </si>
  <si>
    <t>Informes de Gestión  de implementación del Programa Integral de Seguridad y Protección para Comunidades y Organizaciones en los Territorios., Actas de seguimiento y asistencia técnica.</t>
  </si>
  <si>
    <t>Se cumple el 100% de la meta programada para el trimestre realizándose la formulación del Plan Integral de Prevención  de la Asociación de Campesinos Desplazados al Retorno (ASOCADAR) ubicada en el departamento de Cesar.</t>
  </si>
  <si>
    <t>https://mininteriorgovco.sharepoint.com/:f:/r/sites/EvidenciasOAP/Documentos%20compartidos/Evidencias%20Indicadores%20de%20Proceso%202026/05.%20Gesti%C3%B3n%20para%20la%20Protecci%C3%B3n%20de%20los%20derechos/Direcci%C3%B3n%20de%20Derechos%20Humanos/Ind031?csf=1&amp;web=1&amp;e=MBwo9k</t>
  </si>
  <si>
    <t>Durante el Trimestre Objeto de Resporte se avanzo: Se formularon 10 PIP el 27/05/2026 con las siguientes organizaciones: (1) FUNDESOS, de los departamentos de Magdalena y Atlántico; (2) JAC de la Pascuala del departamento de Bolívar; (3) ASOCAMPO de los departamentos de Cauca, Antioquia, Atlántico, Bolívar, Cesar, Córdoba, Cundinamarca, Huila, Magdalena, Sucre y Bogotá; (4) Comité de Derechos Humanos de la provincia de Lengupá del departamento de Boyacá; (5) ADHES del departamento de Caldas; (6) Cooperativa Multiactiva Coosaviunidos de los departamentos de Tolima, Bogotá, Risaralda y Cauca; (7) ASOMUCAVYE del departamento de Tolima; (8) ASOVISNA del departamento de Antioquia; (9) ASOMINACOL del departamento de Antioquia; (10) Corporación Mujer Denuncia y Muévete – Red de Mujeres Feminista Unidas por los Derechos y la Acción Política del departamento de Norte de Santander</t>
  </si>
  <si>
    <t>Fortalecer el Programa Integral de Seguridad y protección para comunidades y Organizaciones en los Territorios</t>
  </si>
  <si>
    <t>Apoyar la implementación del Plan de Acción Nacional del programa Integral de Garantias para Lideresas y Defensoras de DDHH, en el marco del auto 737, sentencia T-025</t>
  </si>
  <si>
    <t>Actividades de la Dirección de Derechos Humanos como impulso a la implementación del Plan de Acción Nacional del Programa Integral de Garantías para Lideresas y Defensoras de Derechos Humanos.</t>
  </si>
  <si>
    <t xml:space="preserve">(Número de actividades realizadas para apoyar la implementación del Plan de Acción Nacional del Programa Integral de Garantías para Lideresas y Defensoras de DDHH a cargo de la Dirección de Derechos Humanos /número de actividades programadas para apoyar la implementación del Plan de Acción Nacional del Programa Integral de Garantías para Lideresas y Defensoras de DDHH a cargo de la Dirección de Derechos Humanos )*100% </t>
  </si>
  <si>
    <t>Informes de Gestión  del Programa Integral de Garantías para Lideresas y Defensoras de Derechos Humanos., Actas de seguimiento.</t>
  </si>
  <si>
    <t xml:space="preserve">Se cumple el 100% de la meta programada para el trimestre el avance en la implementación del Programa mediante el desarrollo de acciones enfocadas: reunión de los comités de impulso de Meta, Norte de Santander y Tolima  y la actualización de los informes individuales de territorialización en 19 departamentos. </t>
  </si>
  <si>
    <t>https://mininteriorgovco.sharepoint.com/:f:/r/sites/EvidenciasOAP/Documentos%20compartidos/Evidencias%20Indicadores%20de%20Proceso%202026/05.%20Gesti%C3%B3n%20para%20la%20Protecci%C3%B3n%20de%20los%20derechos/Direcci%C3%B3n%20de%20Derechos%20Humanos/Ind032?csf=1&amp;web=1&amp;e=dEcUXe</t>
  </si>
  <si>
    <t>Durante el Trimestre se presenta el informe donde se avanzo: En el proceso de territorialización se evidenciaron brechas en el acceso a recursos y en el acompañamiento institucional, lo que permitió diseñar estrategias diferenciadas adaptadas a las realidades de cada región.
Las comunidades reconocieron la presencia institucional como un respaldo fundamental a sus procesos locales, otorgando gran importancia al acompañamiento recibido. Este acercamiento fortaleció la confianza y legitimidad del programa, especialmente en territorios con alta conflictividad, donde la acción del PIGMLD se percibió como un mecanismo de protección y garantía de derechos.
•Se realizo 12 jornadas territoriales realizadas en 8 departamentos.Bolívar, La Guajira, Guaviare, Caquetá, Atlántico, Caldas, Quindio, Bolívar
•356 lideresas participantes en procesos de formación y acompañamiento.
•24 informes técnicos consolidados con datos de cobertura y resultados.</t>
  </si>
  <si>
    <t>Apoyar la implementación del Plan de Acción Nacional del programa Integral de Garantias para Lideresas y Defensoras de DDHH, en el marco del auto 737, sentencia T-025.docx</t>
  </si>
  <si>
    <t>Fortalecer la gestión de los cementerios como acción de apoyo al proceso de búsqueda de personas desaparecidas en Colombia.</t>
  </si>
  <si>
    <t>Número de cementerios que tienen en sus terrenos inhumados cuerpos o restos humanos de personas no identificadas diagnosticados multidimensionalmente.</t>
  </si>
  <si>
    <t>Cementerios que tienen inhumados cuerpos o restos humanos de personas no identificadas diagnosticados multidimensionalmente</t>
  </si>
  <si>
    <t>Informes de Gestión  de implementación - Informe de gestión del proyecto.</t>
  </si>
  <si>
    <t>Aunque no hay meta programada para el trimestre como avance del mes se cuenta con el cuatro diagnósticos multidimensionales de los cementerios de Anapoima y Pandi en Cundinamarca; Soracá y Ramiriquí en Boyacá.</t>
  </si>
  <si>
    <t>https://mininteriorgovco.sharepoint.com/:f:/r/sites/EvidenciasOAP/Documentos%20compartidos/Evidencias%20Indicadores%20de%20Proceso%202026/05.%20Gesti%C3%B3n%20para%20la%20Protecci%C3%B3n%20de%20los%20derechos/Direcci%C3%B3n%20de%20Derechos%20Humanos/Ind033?csf=1&amp;web=1&amp;e=999PuF</t>
  </si>
  <si>
    <t>Como avance de trimestre tenemos lo siguiente:
Abril: Realización de 11 mesas de trabajo desarrolladas en municipios priorizados en los departamentos de Antioquia (1), Cesar (2), Cundinamarca (4), Meta (1), Nariño (1), Sucre (1) y Valle (1).
Mayo: Realización de 10 mesas de trabajo desarrolladas en municipios priorizados en los departamentos de Boyacá (1), Casanare (4), Cesar (2), Córdoba (1), y Cundinamarca (2).
Junio: Realización de 13 mesas de trabajo desarrolladas en municipios priorizados en los departamentos de Antioquia (1), Cesar (2), Córdoba (1), Cundinamarca (1), Meta (1), Sucre (6) y Valle del Cauca (1).</t>
  </si>
  <si>
    <t>ABRIL 2026. Fortalecer la gestión de los cementerios como acción de apoyo al proceso de búsqueda de personas desaparecidas en Colombia.pdf
MAYO 2026 Fortalecer la gestión de los cementerios como acción de apoyo al proceso de búsqueda de personas desaparecidas en Colombia.pdf
JUNIO 2026 Fortalecer la gestión de los cementerios como acción de apoyo al proceso de búsqueda de personas desaparecidas en Colombia.pdf</t>
  </si>
  <si>
    <t>Fortalecer la Política de Garantía y Respeto a la labor de defensa de los Derechos Humanos</t>
  </si>
  <si>
    <t>Porcentaje de actividades de fortalecimiento e implementación desarrolladas por la Dirección de Derechos Humanos en el marco de la Política de Garantía y Respeto a la labor de defensa de los Derechos Humanos.</t>
  </si>
  <si>
    <t xml:space="preserve">(Número de actividades realizadas para el fortalecimiento e implementación de la Política de Garantía y Respeto a la labor de defensa de los Derechos Humanos  a cargo de la Dirección de Derechos Humanos /número de actividades programadas para el  fortalecimiento e implementación de la Política de Garantía y Respeto a la labor de defensa de los Derechos Humanos a cargo de la Dirección de Derechos Humanos )*100% </t>
  </si>
  <si>
    <t>Informes de Avance de la Politica para Fortalecer la Política de Garantía y Respeto a la labor de defensa de los Derechos Humanos</t>
  </si>
  <si>
    <t>Se cumple el 100% de la meta programada con el avance en la estructuración de los espacios de garantías para la defensa de los derechos humanos y la realización de  2 jornadas territoriales en Santander y Bogotá. Así la realización de sesiones de los subgrupos de las mesas de garantías donde se establecieron rutas de trabajo, analizaron riesgos y se hizo seguimiento a casos y decisiones judiciales.</t>
  </si>
  <si>
    <t>https://mininteriorgovco.sharepoint.com/:f:/r/sites/EvidenciasOAP/Documentos%20compartidos/Evidencias%20Indicadores%20de%20Proceso%202026/05.%20Gesti%C3%B3n%20para%20la%20Protecci%C3%B3n%20de%20los%20derechos/Direcci%C3%B3n%20de%20Derechos%20Humanos/Ind034?csf=1&amp;web=1&amp;e=V7pMiU</t>
  </si>
  <si>
    <t>"Durante el trimestre  se realizaron las siguientes actividades :
Abril( 4): Se realizaron cuatro espacios de articulación territorial orientados al fortalecimiento y reactivación de las Mesas Territoriales de Garantías. En Bolívar sesionó la Mesa Territorial de Garantías el 27 de abril de 2026 en el municipio de Mompox. Asimismo, se llevaron a cabo grupos de apoyo en Norte de Santander, Huila y Costa Pacífica, en los que se analizó la situación actual de las mesas, se identificaron desafíos para su funcionamiento y se definieron acciones para su reactivación, incluyendo la necesidad de convocar una sesión plenaria en Norte de Santander y abordar el impacto del contexto de seguridad en Huila.
Mayo: (2) :Se realizaron sesiones de la Mesa Territorial de Garantías del Atlántico, el 20 de mayo de 2026 en Barranquilla, y de la Mesa Nacional de Garantías, el 6 de mayo de 2026 en Bogotá.
Junio: (3): Se acompañó la realización de las Mesas Territoriales de Garantías de Sucre (3 de julio de 2026, Sincelejo), Bogotá (10 de junio de 2026) y Putumayo (18 de junio de 2026), fortaleciendo la articulación entre entidades e interlocución con organizaciones sociales para el análisis de la situación de derechos humanos, el seguimiento a las garantías de líderes sociales y personas defensoras, y la revisión de compromisos institucionales en los territorio"</t>
  </si>
  <si>
    <t>Impulsar la garantía del ejercicio efectivo de los derechos de los integrantes de los sectores sociales LGBTIQ+ en los territorios.</t>
  </si>
  <si>
    <t>Planes de autoprotección de organizaciones y colectividades de los sectores sociales LGBTIQ+ formulados en los territorios</t>
  </si>
  <si>
    <t xml:space="preserve">Sumatoria de número de Planes de autoprotección de organizaciones y colectividades de los sectores sociales LGBTIQ+ en los territorios, formulados </t>
  </si>
  <si>
    <t>Documentos Planes de autoprotección de organizaciones y colectividades de los sectores sociales LGBTIQ+</t>
  </si>
  <si>
    <t>La meta del trimestre no se cumple, sin embargo  se conformó el equipo encargado de los Planes de Autoprotección y se definió una priorización territorial a partir del trabajo con liderazgos LGBTIQ+ de la Orinoquía y Amazonía.</t>
  </si>
  <si>
    <t>https://mininteriorgovco.sharepoint.com/:f:/r/sites/EvidenciasOAP/Documentos%20compartidos/Evidencias%20Indicadores%20de%20Proceso%202026/05.%20Gesti%C3%B3n%20para%20la%20Protecci%C3%B3n%20de%20los%20derechos/Direcci%C3%B3n%20de%20Derechos%20Humanos/Ind035?csf=1&amp;web=1&amp;e=kk2uee</t>
  </si>
  <si>
    <t>Durante el segundo trimestre de 2026 se desarrollaron ocho planes de autoprotección dirigidos a poblaciones y liderazgos diversos en distintos territorios del país. En abril se realizó un plan con la Mesa de Participación LGBTI de Inírida. En mayo se implementaron dos planes: uno con mujeres lesbianas y bisexuales en El Carmen de Bolívar y otro con la Juntanza Diversa y Disidente de Popayán y la Universidad del Cauca. Finalmente, en junio se llevaron a cabo dos planes adicionales, uno con líderes y lideresas del departamento de Caldas y otros dos con mujeres privadas de la libertad en Popayán y con hombres privados de la libertad del mismo departamento y en el marco de la planeación de las marchas por el orgullo LGBTI en Cauca y Popayán, fortaleciendo las capacidades de autoprotección y prevención en poblaciones priorizadas.</t>
  </si>
  <si>
    <t>ABRIL
MAYO
JUNIO</t>
  </si>
  <si>
    <t>Fortalecer e implementar la Política de Convivencia, Reconciliación, Tolerancia, y No Estigmatización.</t>
  </si>
  <si>
    <t>Porcentaje de actividades a cargo de la Dirección de Derechos Humanos fortalecidas e implementadas en el marco de la Política de Convivencia, Reconciliación, Tolerancia y No Estigmatización.</t>
  </si>
  <si>
    <t xml:space="preserve">(Número de actividades realizadas para el fortalecimiento e implementación de la Política de Convivencia, Reconciliación, Tolerancia, y No Estigmatización a cargo de la Dirección de Derechos Humanos /número de actividades programadas para el fortalecimiento e implementación de la de la Política de Convivencia, Reconciliación, Tolerancia, y No Estigmatización a cargo de la Dirección de Derechos Humanos )*100% </t>
  </si>
  <si>
    <t>Informes de Gestión  de implementación de la  Política de Convivencia, Reconciliación, Tolerancia, y No Estigmatización a cargo de la Dirección de Derechos Humanos, Actas de seguimiento de la Politica.</t>
  </si>
  <si>
    <t xml:space="preserve">Se cumple el 100% de la meta programada para el trimestre avanzando en la reactivación del Plan de Acción Nacional de la Política mediante la articulación con entidades nacionales, el seguimiento a compromisos y la creación de mecanismos de reporte y monitoreo para fortalecer su implementación. Asimismo, se realizó el alistamiento institucional para su ejecución territorial, definiendo prioridades y territorios focalizados. </t>
  </si>
  <si>
    <t>https://mininteriorgovco.sharepoint.com/:f:/r/sites/EvidenciasOAP/Documentos%20compartidos/Evidencias%20Indicadores%20de%20Proceso%202026/05.%20Gesti%C3%B3n%20para%20la%20Protecci%C3%B3n%20de%20los%20derechos/Direcci%C3%B3n%20de%20Derechos%20Humanos/Ind036?csf=1&amp;web=1&amp;e=j6YPbi</t>
  </si>
  <si>
    <t>Durante el segundo trimestre de 2026 se presenta el informe de la implementación y seguimiento del Plan de Acción de la Política Pública de Reconciliación, Convivencia y No Estigmatización (PPRCNE), fortaleciendo la articulación interinstitucional y territorial para su ejecución.
En abril se promovió la coordinación con el Ministerio de Justicia y del Derecho y el Ministerio de las Culturas, las Artes y los Saberes para impulsar acciones simbólicas de socialización de la política en territorios priorizados. Asimismo, se realizó seguimiento a los avances de los planes territoriales, requiriendo información a los departamentos y principales ciudades capitales del país.
Durante mayo se fortaleció el seguimiento al Plan de Acción Nacional mediante el alistamiento del primer monitoreo semestral, la revisión y actualización de los instrumentos de planeación y la consolidación de la información de las 24 entidades vinculadas al plan. De estas, 18 reportaron avances, lo que permitió identificar oportunidades de mejora en la articulación interinstitucional e incorporar una nueva acción estratégica relacionada con la Estrategia de Cultura de Paz.
En junio se consolidó la fase preparatoria del primer seguimiento semestral, con la validación técnica de la información institucional y la actualización del instrumento de seguimiento. Adicionalmente, se fortaleció la coordinación con entidades estratégicas, entre ellas el Ministerio de Justicia, el Ministerio de las Culturas, el ICBF, la ART, la ARN y la Consejería Presidencial para la Reconciliación Nacional, concertando nuevas acciones para el segundo semestre, incluyendo el acompañamiento al Encuentro Ecuménico de Inclusión Ciudadana y No Estigmatización de Personas Habitantes de Calle en Bogotá como acción nacional de implementación de la política.</t>
  </si>
  <si>
    <t>Fortalecer e implementar la Política de Convivencia, Reconciliación, Tolerancia, y No Estigmatización.pdf</t>
  </si>
  <si>
    <t>roquelina.blanco@mininterior.gov.co</t>
  </si>
  <si>
    <t>El indicador mide la realización de espacios de diálogo y concertación del orden nacional entre las autoridades de los pueblos indígenas y las entidades del Gobierno Nacional. Lo mide a través del porcentaje de los espacios efectivamente convocados y desarrollados durante el periodo de seguimiento. Su propósito es verificar el nivel de avance en la creación y garantía de escenarios formales para la participación, concertación y coordinación entre los pueblos indígenas y el Gobierno Nacional.</t>
  </si>
  <si>
    <t>Espacios de diálogo y concertación de orden nacional realizados entre autoridaes de los Pueblos Indígenas y entidades estatales.</t>
  </si>
  <si>
    <t>(Número de espacios de diálogo de orden nacional realizados/Número de espacios de diálogo de orden nacional programados)*100</t>
  </si>
  <si>
    <t>Cronograma de espacios convocados por la Coordinación de Dialogo</t>
  </si>
  <si>
    <t>Matriz de seguimiento de espacios de diálogo programados</t>
  </si>
  <si>
    <t>DURANTE EL TRIMESTRE NO SE REGISTRARON ACTOS ADMINISTRATIVO PESE A RECIBIR COMO CONSTA EN LA MATRIZ DE SEGUIMIENTO 19 SOLICITUDES.</t>
  </si>
  <si>
    <t>https://mininteriorgovco.sharepoint.com/:f:/r/sites/EvidenciasOAP/Documentos%20compartidos/Evidencias%20Indicadores%20de%20Proceso%202026/05.%20Gesti%C3%B3n%20para%20la%20Protecci%C3%B3n%20de%20los%20derechos/Direcci%C3%B3n%20Asuntos%20Ind%C3%ADgenas,%20ROM%20y%20Minor%C3%ADa/I%20TRIMESTRE/Ind037?e=5%3a0bd48bcba8f64f1288493f4c960626c5&amp;sharingv2=true&amp;fromShare=true&amp;at=9&amp;xsdata=MDV8MDJ8bGVhbmRyYS5kdXJhbkBtaW5pbnRlcmlvci5nb3YuY298M2VmYjc3YmU5YmU5NDIwZWYwNmQwOGRlOWM4MmUzMmN8YzRmNzg3MGNlYjA4NGQwMWIwMjNhNzFkZDk0ZTg4M2J8MHwwfDYzOTEyMDI4MzE0OTEwNTAyOXxVbmtub3dufFRXRnBiR1pzYjNkOGV5SkZiWEIwZVUxaGNHa2lPblJ5ZFdVc0lsWWlPaUl3TGpBdU1EQXdNQ0lzSWxBaU9pSlhhVzR6TWlJc0lrRk9Jam9pVFdGcGJDSXNJbGRVSWpveWZRPT18MHx8fA%3d%3d&amp;sdata=WktiK0xJM25Ed0RTZmRZWnh1VmlJMHJ2UW5VcEYyOWJKSHRzcWFodldGZz0%3d</t>
  </si>
  <si>
    <t>LA REORGANIZACION DE LA DIRECCION Y LOS FALLOS DE SEGUIRIDAD INFORMATICA QUE RETRAZARON EL AVANCE EN EL INDICADOR.</t>
  </si>
  <si>
    <t>Debido a las directrices impartidas desde el Viceministerio la DAI no atendió espacios de dialogo relacionado con las diferentes mesas a cargo de la Coordinación de Registro.</t>
  </si>
  <si>
    <t>https://mininteriorgovco.sharepoint.com/sites/EvidenciasOAP/Documentos%20compartidos/Forms/AllItems.aspx?e=5%3Ae93188392f4d4135b2faafa4549f90a4&amp;sharingv2=true&amp;fromShare=true&amp;at=9&amp;CT=1784118355472&amp;OR=OWA%2DNT%2DMail&amp;CID=0e3dc6fa%2Dc1aa%2D19dd%2De0c7%2Dbf85e59e6de7&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037</t>
  </si>
  <si>
    <t>Las instrucciones impartidas por la Alta Dirección se convienten en la principal limitante para avanzar en el cumplimiento de los indicadores de gestión de la Dirección.</t>
  </si>
  <si>
    <t>El indicador mide el nivel de cumplimiento de las órdenes judiciales emitidas por las altas cortes dirigidas a la entidad. Lo mide mediante la verificación y registro del porcentaje de órdenes atendidas frente al total de órdenes recibidas durante el periodo evaluado. Su propósito es garantizar el acatamiento oportuno y adecuado de los mandatos judiciales, asegurando la responsabilidad institucional y la protección de los derechos asociados a dichas decisiones.</t>
  </si>
  <si>
    <t xml:space="preserve">Órdenes judiciales de las altas cortes cumplidas por la entidad que vinculan a la DAIRM									</t>
  </si>
  <si>
    <t>(Número de órdenes judiciales atendidas/Número total de órdenes judiciales recibidas)*100</t>
  </si>
  <si>
    <t>Matriz de control de seguimiento del equipo Juridico de la DAI</t>
  </si>
  <si>
    <t xml:space="preserve">Matriz de control ordenes judiciales </t>
  </si>
  <si>
    <t>SE RECIBIERON 134 SOLICITUDES LAS CUALES FUERON ATENDIDAS EN SU TOTALIDAD</t>
  </si>
  <si>
    <t>https://mininteriorgovco.sharepoint.com/:f:/r/sites/EvidenciasOAP/Documentos%20compartidos/Evidencias%20Indicadores%20de%20Proceso%202026/05.%20Gesti%C3%B3n%20para%20la%20Protecci%C3%B3n%20de%20los%20derechos/Direcci%C3%B3n%20Asuntos%20Ind%C3%ADgenas,%20ROM%20y%20Minor%C3%ADa/I%20TRIMESTRE/Ind038?e=5%3a40b85c16ea2f4133bc51df09df94db84&amp;sharingv2=true&amp;fromShare=true&amp;at=9&amp;xsdata=MDV8MDJ8bGVhbmRyYS5kdXJhbkBtaW5pbnRlcmlvci5nb3YuY298YTUyYzU2NmU5MWQzNDY4OWJjZmEwOGRlOWM4MmYwNTF8YzRmNzg3MGNlYjA4NGQwMWIwMjNhNzFkZDk0ZTg4M2J8MHwwfDYzOTEyMDI4MzM1NDE4MzA3MHxVbmtub3dufFRXRnBiR1pzYjNkOGV5SkZiWEIwZVUxaGNHa2lPblJ5ZFdVc0lsWWlPaUl3TGpBdU1EQXdNQ0lzSWxBaU9pSlhhVzR6TWlJc0lrRk9Jam9pVFdGcGJDSXNJbGRVSWpveWZRPT18MHx8fA%3d%3d&amp;sdata=UXgrbUxDR05GOHBVQkRnNUJZeExQMmR5MElLNmZMWVQ1Z09hV0FuSldlQT0%3d</t>
  </si>
  <si>
    <t>LA CAPACIDAD DE RESPUESTA DE LA DIRECCION SIGUE SIENDO MINIMA DADAS LAS PQRSD QUE INGRESAN DIARIAMENTE</t>
  </si>
  <si>
    <t>Durante el segundo trimestre de 2026, el equipo jurídico de la DAI dio cumplimiento a las órdenes judiciales de las altas cortes que vinculan a la Dirección, así:
Acciones constitucionales (tutelas): se notificaron 437 acciones, atendidas en su totalidad dentro de los términos establecidos por los despachos judiciales (abril: 130; mayo: 148; junio: 159).
Sentencias de la Honorable Corte Constitucional: se realizó seguimiento a 50 sentencias, con 46 gestiones adelantadas en el periodo (13 informes remitidos, 3 reportes de audiencias asistidas y 30 trámites en el marco de cumplimiento de sentencias; abril: 9; mayo: 14; junio: 23).
Restitución de derechos territoriales: se realizó seguimiento a 224 procesos, con 37 gestiones adelantadas (5 requerimientos, 15 reportes de audiencias asistidas y 17 trámites de cumplimiento; abril: 13; mayo: 13; junio: 11).
Jurisdicción Especial para la Paz (JEP): se realizó seguimiento a 11 procesos, con 2 gestiones adelantadas en abril. Justicia y Paz: se realizó seguimiento a 4 procesos, con 1 gestión adelantada en junio.
Autos de prueba: se notificaron 37 autos, atendidos en su totalidad dentro de los términos establecidos (abril: 3; mayo: 13; junio: 21).</t>
  </si>
  <si>
    <t>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038%20TRIMESTRE%2FInd038</t>
  </si>
  <si>
    <t>Si bien es cierto se avanzó en los cumplimientos de las acciones recibidas por la Dirección, sigue siendo un cuello de botella la cantidad de PQRSD que ingresan al los diferentes equipos de trabajo y la oportunidad de respuesta dadas las limitaciones documentales al momento de atender las solicitudes.</t>
  </si>
  <si>
    <t>El indicador mide el análisis realizado a las solicitudes de registro de asociaciones de autoridades tradicionales y/o cabildos indígenas, así como a sus novedades. Lo mide mediante el porcentaje de las solicitudes  a través de los actos administrativos en firme. Su propósito es verificar el avance y la oportunidad en la gestión en el marco de los registros generados, garantizando la actualización en la información de las autoridades tradicionales indígenas.</t>
  </si>
  <si>
    <t>Registro de asociaciones de autoridades tradicionales y/o cabildos indígenas revisadas en cumplimiento de los requisitos establecidos en la DAIRM</t>
  </si>
  <si>
    <t>(Número total de actos administrativos de registro en firme /Número de solicitudes de registro recibidas)×100</t>
  </si>
  <si>
    <t>Sistema Indigena de Información Colombiano y la matriz de consecutivos de actos administrativos generados.</t>
  </si>
  <si>
    <t>Matriz solicitudes realizadas versus actos administrativos en firme</t>
  </si>
  <si>
    <t>Durante el segundo trimestre de 2026, la DAI expidió 32 actos administrativos en firme relacionados con solicitudes de registro de asociaciones de autoridades tradicionales y/o cabildos indígenas y sus novedades, universo que corresponde de manera exclusiva a este indicador (abril: 12; mayo: 7; junio: 13). Estas 32 resoluciones comprendieron 38 novedades registrales: 8 constituciones, 2 afiliaciones posteriores, 8 desafiliaciones, 15 inscripciones de órgano de dirección y 5 reformas de estatutos.
Adicionalmente, y solo para efectos de trazabilidad, en el mismo periodo se expidieron 16 resoluciones de corrección, aclaración, modificación o recurso, 4 relacionadas con consejos indígenas en el marco del Decreto 488 de 2025 y 1 relacionada con el Registro de Comunidades Indígenas; estas actuaciones no hacen parte del alcance del indicador.</t>
  </si>
  <si>
    <t>https://mininteriorgovco.sharepoint.com/sites/EvidenciasOAP/Documentos%20compartidos/Forms/AllItems.aspx?e=5%3A9d10999d505d415e97e5617eb5caa245&amp;sharingv2=true&amp;fromShare=true&amp;at=9&amp;CT=1784118396525&amp;OR=OWA%2DNT%2DMail&amp;CID=d9b2420b%2D367d%2Dbcd6%2Dedb7%2D92cd9e61c0ee&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039</t>
  </si>
  <si>
    <t>La principal limitante durante el periodo se enmarcó en la articulación del nuevo equipo de trabajo para avanzar en el cumplimiento de las solicitudes que ingresas a la coordinación de Registro, sin embargo cabe reconocer el esfuerzo del equipo por atender los requermientos dadas las limitaciones técnicas y procedimentales.</t>
  </si>
  <si>
    <t>dickson.gomez@mininterior.gov.co</t>
  </si>
  <si>
    <t>Número de entidades territoriales que reciben socialización sobre el proceso de incorporación del enfoque de género, identidad de género, orientación sexual y/o perspectiva interseccional en los instrumentos de planificación territorial, con el propósito de fortalecer sus capacidades para integrar estos enfoques en la planeación pública, impulsar la garantía del derecho a una vida libre de violencias y ampliar los espacios de socialización y apropiación institucional para su implementación efectiva.</t>
  </si>
  <si>
    <t>Proceso de incorporación del enfoque de género y diversidad en los instrumentos de planificación territorial, socializado a las entidades territoriales</t>
  </si>
  <si>
    <t>Número de espacios virtuales o presenciales de socialización realizados con entidades territoriales</t>
  </si>
  <si>
    <t xml:space="preserve">Actas de reunión									</t>
  </si>
  <si>
    <t>Actas</t>
  </si>
  <si>
    <t>Durante el primer trimestre de la vigencia, se dio cumplimiento al indicador mediante la realización de dos (2) espacios de socialización. El primero se llevó a cabo en el municipio de San José del Guaviare, en articulación con la Alcaldía municipal, y el segundo en la ciudad de Popayán, en coordinación con la Secretaría Departamental de la Mujer. Estos espacios permitieron avanzar en la divulgación y apropiación de los lineamientos relacionados con la incorporación del enfoque de género en la gestión territorial, fortaleciendo las capacidades institucionales de las entidades participantes, así como promover el intercambio de experiencias y buenas prácticas entre actores territoriales, identificar necesidades específicas de asistencia técnica y generar compromisos para la implementación efectiva del enfoque de género en los instrumentos de planeación y en las acciones orientadas a la convivencia y la seguridad humana.</t>
  </si>
  <si>
    <t>https://mininteriorgovco.sharepoint.com/:f:/r/sites/EvidenciasOAP/Documentos%20compartidos/Evidencias%20Indicadores%20de%20Proceso%202026/05.%20Gesti%C3%B3n%20para%20la%20Protecci%C3%B3n%20de%20los%20derechos/Grupo%20enfoque%20de%20g%C3%A9nero%20y%20diversidad/Ind040?csf=1&amp;web=1&amp;e=dFiWfM</t>
  </si>
  <si>
    <t>Durante el primer trimestre de la vigencia, se dio cumplimiento al indicador mediante la realización de cuatro (4) espacios de socialización:
1. Nilo, Cundinamarca (15 de abril de 2026)
2. Montería, Córdoba (20 de abril de 2026)
3. Puracé, Cauca (9 de mayo de 2026)
4. Leticia, Amazonas (10 de junio de 2026)
Estas jornadas permitieron socializar herramientas conceptuales y metodológicas para la incorporación del enfoque de género y diversidad en los instrumentos de planeación territorial, la gestión pública, la convivencia y la seguridad humana. Se promovieron ejercicios participativos orientados al reconocimiento de las violencias basadas en género, las violencias por prejuicio y discriminación, la identificación de estereotipos y roles de género, y la reflexión sobre nuevas masculinidades. Los espacios facilitaron la apropiación de lineamientos técnicos para transversalizar el enfoque de género en programas, planes de desarrollo y procesos organizativos, fortaleciendo la capacidad de incidencia de lideresas, organizaciones sociales, víctimas del conflicto armado, consejeras consultivas, actores institucionales y comunitarios en sus territorios.</t>
  </si>
  <si>
    <t>https://mininteriorgovco.sharepoint.com/:f:/r/sites/EvidenciasOAP/Documentos%20compartidos/Evidencias%20Indicadores%20de%20Proceso%202026/05.%20Gesti%C3%B3n%20para%20la%20Protecci%C3%B3n%20de%20los%20derechos/Grupo%20enfoque%20de%20g%C3%A9nero%20y%20diversidad/II%20Trimestre/Ind040?csf=1&amp;web=1&amp;e=Nc2Ze6</t>
  </si>
  <si>
    <t xml:space="preserve">tito.lovo@mininterior.gov.co									</t>
  </si>
  <si>
    <t xml:space="preserve">Mide el porcentaje de atención y/o gestión a las alertas tempranas emitidas por la Defensoria del Pueblo por parte de la Secretaría Técnica de la Comisión Intersectorial para la Respuesta Rápida a las Alertas Tempranas -CIPRAT de la Dirección de Seguridad, Convivencia Ciudadana y Gobierno, en concordancia con las funciones descritas en el Decreto 2124 de 2017. Es importante medirlo, porque la CIPRAT debe dar atención dentro de los 10 dias habiles establecidos apenas se emite la Alerta Temprana, con el fin de que se articulen las entidades tanto del territorio Nacional como Territorial para formular acciones y/o estrategias que contribuyan a la prevencion, mitigacion  de los riesgos advertidos en los territorios. El indicador debe mantenerse en un 100% de cumplimiento de atención a las Alertas por la normatividad mencionada anteriormente y dado que también la vida y seguridad de la población. </t>
  </si>
  <si>
    <t>Alertas tempranas atendidas por la CIPRAT de conformidad con el Decreto 2124 de 2017</t>
  </si>
  <si>
    <t xml:space="preserve">(Número de sesiones de articulación para la atención de alertas tempranas / No de alertas tempranas emitidas por la Defensoria del Pueblo)* 100%									</t>
  </si>
  <si>
    <t>Diciembre de 2025</t>
  </si>
  <si>
    <t>Actas de sesiones de seguimiento a las alertas tempranas y  Sistema de Información de seguimiento a la CIPRAT</t>
  </si>
  <si>
    <t xml:space="preserve">Actas de seguimiento y/o listados de asistencia </t>
  </si>
  <si>
    <t>Durante el primer trimestre del año,la Dirección de seguridad, Convivencia Ciudadana y Gobierno, a través de la Secretaria Técnica de la CIPRAT, realizó 9 sesiones de articulación para la atención y seguimiento de las 9 alertas tempranas emitidas por la Defensoría del Pueblo detalladas a continuación: Enero (1): AT001-26 Belén de Umbría, Mistrató,Pueblo Rico (Risaralda); Febrero (3): AT002-26 El Roble (Sucre); AT003-26 Montecristo, Norosí, Regidor, Río Viejo (Bolivar);AT004-26 El Doncello, Puerto Rico (Caquetá);  Marzo (5): AT005-26 El Peñol, El Tambo (Nariño); AT006-26 González, Río de Oro (Cesar), Ábrego, Ocaña (Norte de Santander); AT007-26 Cáchira,La Esperanza (Norte de Santander); AT008-26 Cacahual, La Esperanza (Norte de Santander); AT009-26 Algeciras,Campoalegre (Huila).</t>
  </si>
  <si>
    <t>https://mininteriorgovco.sharepoint.com/:f:/r/sites/EvidenciasOAP/Documentos%20compartidos/Evidencias%20Indicadores%20de%20Proceso%202026/05.%20Gesti%C3%B3n%20para%20la%20Protecci%C3%B3n%20de%20los%20derechos/Direcci%C3%B3n%20de%20Seguridad,%20Convivencia%20Ciudadana%20y%20Gobierno/Ind041?csf=1&amp;web=1&amp;e=GuJEQC</t>
  </si>
  <si>
    <t>Durante el primer trimestre No se presentaron dificultades al respecto.</t>
  </si>
  <si>
    <r>
      <t>Durante el segundo trimestre del año,la Dirección de seguridad, Convivencia Ciuda</t>
    </r>
    <r>
      <rPr>
        <sz val="10"/>
        <color rgb="FF000000"/>
        <rFont val="Arial"/>
        <family val="2"/>
      </rPr>
      <t>dana y Gobierno, a través de la Secretaria Técnica de la CIPRAT, realizó 3</t>
    </r>
    <r>
      <rPr>
        <sz val="10"/>
        <rFont val="Arial"/>
        <family val="2"/>
      </rPr>
      <t xml:space="preserve"> sesiones de articulación para la atención y seguimiento de las </t>
    </r>
    <r>
      <rPr>
        <sz val="10"/>
        <color rgb="FF000000"/>
        <rFont val="Arial"/>
        <family val="2"/>
      </rPr>
      <t xml:space="preserve">3 </t>
    </r>
    <r>
      <rPr>
        <sz val="10"/>
        <rFont val="Arial"/>
        <family val="2"/>
      </rPr>
      <t>alertas tempranas emitidas por la Defensoría del Pueblo detalladas a continuación: Abril (1):  AT010-26 El Litoral del San Juan (Chocó); Mayo (2):AT011-26 Atrato (Chocó); AT012-26 Balboa (Cauca);</t>
    </r>
    <r>
      <rPr>
        <sz val="10"/>
        <color rgb="FF000000"/>
        <rFont val="Arial"/>
        <family val="2"/>
      </rPr>
      <t xml:space="preserve"> Junio (0): No se programaron sesiones de articulación para el mes. Se adjuntan actas por mes como soporte.</t>
    </r>
  </si>
  <si>
    <t>https://mininteriorgovco.sharepoint.com/:f:/r/sites/EvidenciasOAP/Documentos%20compartidos/Evidencias%20Indicadores%20de%20Proceso%202026/05.%20Gesti%C3%B3n%20para%20la%20Protecci%C3%B3n%20de%20los%20derechos/Direcci%C3%B3n%20de%20Seguridad,%20Convivencia%20Ciudadana%20y%20Gobierno/Trimestre%20II/Ind041?csf=1&amp;web=1&amp;e=d3DSJe</t>
  </si>
  <si>
    <t>Durante el segundo trimestre No se presentaron dificultades al respecto.</t>
  </si>
  <si>
    <t xml:space="preserve">Mide el número de entidades territoriales asistidas en temas relacionados con la gestión territorial de la convivencia y seguridad ciudadana (Planes integrales de Seguridad y Convivencia Ciudadana, administración de Fondos de Seguridad Territorial, Socialización de politica pública de seguridad y convivencia, Socialización del Código Nacional de Convivencia Ciudadana), dado que misionalmente la Dirección de Seguridad, Convivencia Ciudadana y Gobierno tiene la competencia de asistir técnicamente a las entidades territoriales,  dada la importancia de  fortalecer los territorios en los temas relacionados con la seguridad y convivencia ciudadana.Para este indicador se programa una meta, pero también se atiende bajo demanda de las entidades territoriales y/o entidades del orden Nacional que las soliciten. La orientación de este indicador es aumentar el número de entidades territoriales asistidas durante la vigencia. 													</t>
  </si>
  <si>
    <t>Asistencias técnicas realizadas a entidades territoriales para fortalecer la gestión territorial de la convivencia y seguridad ciudadana</t>
  </si>
  <si>
    <t>Sumatoria del número de entidades territoriales asistidas en temáticas de gestión territorial.</t>
  </si>
  <si>
    <t>Actas y/o listados de asistencia generadas por el grupo de gestión territorial de la Dirección de Seguridad, Convivencia Ciudadana y Gobierno</t>
  </si>
  <si>
    <t>Actas y/o listados de asistencia soporte de las asistencias técnicas.</t>
  </si>
  <si>
    <t>Durante el primer trimestre del año, se reportan 30 entidades territoriales participantes en 134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y socialización de politica pública de convivencia y seguridad humana, por parte del equipo de Gestión Territorial de la Dirección de Seguridad, Convivencia Ciudadana y Gobierno, de la siguiente manera: Febrero: Se realizaron 10 asistencias con participación de 5 entidades territoriales, enlistadas a continuación: 1.Gobernación del departamento del Cauca (PISCC,FONSET,CNSCC,INSPECTORES), 2. Municipio de La Tebaidad  - Quindio y 3.municipio de Circasia - Quindio (PISCC-FONSET), 4.Municipio de Inirida - Guainia (CNSCC, INSPECTORES) y la  5.Gobernación del departamento del Quindío (PISCC- FONSET); Marzo: se realizaron 124 asistencias con participación de 25 entidades territoriales: NORTE DEL CAUCA (12 entidades): Gobernación del departamento del Cauca, Santander de Quilichao - Cauca, Villarica- Cauca, Súarez - Cauca, Padilla - Cauca, Guachené-Cauca, La Maria (Piendamo) -Cauca, Puerto Tejada - Cauca, Buenos Aires - Cauca, Miranda - Cauca, Padilla - Cauca, Caloto - Cauca. SUR DEL CAUCA (11 entidades): La Sierra - Cauca, El Bordo - Cauca, Patía - Cauca, Balboa - Cauca, San Sebastian - Cauca, Santa Rosa - Cauca, Mercaderes- Cauca, Florencia - Cauca, Popayán - Cauca, Sucre - Cauca, Bolivar - Cauca. DEPARTAMENTO DEL VICHADA ( 2 entidades): Municipio de Puerto Carreño - Vichada y Gobernación del departamento del Vichada (PISCC, FONSET, CNSCC, INSPECTORES PPCSH).</t>
  </si>
  <si>
    <t>https://mininteriorgovco.sharepoint.com/:f:/r/sites/EvidenciasOAP/Documentos%20compartidos/Evidencias%20Indicadores%20de%20Proceso%202026/05.%20Gesti%C3%B3n%20para%20la%20Protecci%C3%B3n%20de%20los%20derechos/Direcci%C3%B3n%20de%20Seguridad,%20Convivencia%20Ciudadana%20y%20Gobierno/Ind042?csf=1&amp;web=1&amp;e=cldbRA</t>
  </si>
  <si>
    <t>Durante el periodo del mes de Enero, se realizó la contratación del personal mediante la figura de contratos de prestación de servicios en el marco de la "Ley de Garantías", iniciando ejecucion los ultimos dias del mes de Enero, por lo cual, las labores propias de organizacion, realización de planes de trabajo y ejecución de actividades iniciaron en el mes de febrero de 2026. Adicionalmente, que se contraba en proceso la contratación de operador de tiquetes y operador logistico para la realización de las labores en territorio Nacional.</t>
  </si>
  <si>
    <t>Durante el segundo trimestre del año, se reportan 61 entidades territoriales participantes en 238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y socialización de politica pública de convivencia y seguridad humana, por parte del equipo de Gestión Territorial de la Dirección de Seguridad, Convivencia Ciudadana y Gobierno, de la siguiente manera: Abril: Se realizaron 14 asistencias con participación de 6 entidades territoriales, enlistadas a continuación: 1.Municipio de Curumaní - César (PISCC, FONSET), 2.Municipio de Girón, Santander (PISCC,FONSET), 3.Municipio de Piedecuesta, Santander (PISCC,FONSET),4. Municipio de Bucaramanga, Santander  (PISCC,FONSET),5. Municipio de Floridablanca, Santander (PISCC,FONSET), 6. San Andrés islas (PISCC, FONSET, FONSECON,INSPECTORES DE CONVIVENCIA) ; Mayo: se realizaron 36 asistencias con participación de 8 entidades territoriales: 1. Municipio de Valledupar, César (PISCC, FONSET,CNSCC,INSPECTORES DE CONVIVENCIA), 2.Municipio de Becerril, César  (PISCC, FONSET,CNSCC,INSPECTORES DE CONVIVENCIA), 3.Municipio de Agustín Codazzi, César  (PISCC, FONSET,CNSCC,INSPECTORES DE CONVIVENCIA), 4. La Jagua César  (PISCC, FONSET,CNSCC,INSPECTORES DE CONVIVENCIA), 5. Municipio de Chimichagua, César  (PISCC, FONSET,CNSCC,INSPECTORES DE CONVIVENCIA), 6.Municipio de Bosconia, César  (PISCC, FONSET,CNSCC,INSPECTORES DE CONVIVENCIA) 7.Municipio de San Martin, César  (PISCC, FONSET,CNSCC,INSPECTORES DE CONVIVENCIA); Junio: Se realizaron 188 asistencias con participación de 47 entidades territoriales: Departamento del Huila (PISCC, FONSET-FONSECON, CNSCC, INSPECTORES DE CONVIVENCIA Y PAZ)(23): Timaná – Huila, Palestina – Huila, San Agustín – Huila, La plata – Huila, Elías – Huila, Paicol – Huila, Hobo – Huila, Isnos – Huila, Suaza – Huila, Altamira – Huila, Aipe – Huila, Nátaga – Huila, Iquira – Huila, Palermo – Huila, Tello – Huila, Rivera – Huila, Baraya – Huila, Algeciras – Huila, Colombia – Huila, Neiva – Huila, Saladoblanco – Huila, La Argentina – Huila y la Gobernación del Huila; Departamento de Bolivar (PISCC, FONSET-FONSECON, CNSCC, INSPECTORES DE CONVIVENCIA Y PAZ) (21): Córdoba – Bolívar , San Martin – Bolívar , Villanueva – Bolívar , Santa Rosa del sur- Bolívar, Santa Rosa – Bolívar, Cartagena - Bolívar, Arjona - Bolívar, Carmen de Bolívar – Bolívar , Barú – Bolívar ,Turbaco – Bolívar , San Estanislao – Bolívar , Mahates – Bolívar, Cicuco – Bolívar, Tiquisio – Bolívar, Zambrano – Bolívar, Calamar – Bolívar, San Pablo – Bolívar, San Jacinto – Bolívar, San Juan Nepumoceno – Bolívar, El Guamo – Bolívar y la Gobernación de Bolívar; Departamento de Amazonas (PISCC, FONSET-FONSECON, CNSCC, INSPECTORES DE CONVIVENCIA Y PAZ) (3): Leticia - Amazonas, Puerto Nariño - Amazonas y la Gobernación del Amazonas. Se adjuntan actas por mes como soporte.</t>
  </si>
  <si>
    <t>https://mininteriorgovco.sharepoint.com/:f:/r/sites/EvidenciasOAP/Documentos%20compartidos/Evidencias%20Indicadores%20de%20Proceso%202026/05.%20Gesti%C3%B3n%20para%20la%20Protecci%C3%B3n%20de%20los%20derechos/Direcci%C3%B3n%20de%20Seguridad,%20Convivencia%20Ciudadana%20y%20Gobierno/Trimestre%20II/Ind042?csf=1&amp;web=1&amp;e=QxgVQc</t>
  </si>
  <si>
    <t xml:space="preserve">Durante el segundo trimestre, se presentan algunas dificultades para concertar la asistencias de varias entidades territoriales a las asistencias técnicas programadas, por temas de cruces de agenda, desplazamientos a la ciudad principal, y otros factores ajenos a la Dirección de Seguridad, Convivencia Ciudadan y Gobierno. </t>
  </si>
  <si>
    <t>Mide el número de talleres técnicos realizados para el fortalecimiento de las capacidades de las entidades territoriales y la formulación de planes de acción asociados a la mitigación de riesgos en materia de DDHH, afectaciones de la convivencia y seguridad; es importante medirlo para mostrar la gestión realizada en los diferentes territorios complementando el ejercicio que se realiza desde la CIPRAT en la atención de alertas tempranas. Se busca hacer un seguimiento a las estrategias que se aplican en los territorios para la mitigación de riesgos y poder brindar un acompañamiento a las entidades territoriales. El objetivo del indicador es aumentar el número de talleres técnicos realizados para la mitigación de riesgso en los territorios.</t>
  </si>
  <si>
    <t>Talleres técnicos realizados para el fortalecimiento de las capacidades de las entidades territoriales para la mitigación de riesgos en materia de DDHH, convivencia y seguridad</t>
  </si>
  <si>
    <t>Sumatoria del número de talleres técnicos para la mitigación de riesgos en materia de DDHH, convivencia y seguridad</t>
  </si>
  <si>
    <t>Actas y/o listados de asistencia generadas por el grupo de la Comisión Intersectorial para la Respuesta Rápida a las Alertas Tempranas - CIPRAT de la Dirección de Seguridad, Convivencia Ciudadana y Gobierno</t>
  </si>
  <si>
    <t>Actas y/o listados de asistencias de los talleres tecnicos desarrollados virtuales y/o presenciales</t>
  </si>
  <si>
    <t>Durante el primer trimestre del año, la Dirección de Seguridad, Convivencia Ciudadana y Gobierno, reporta la realización de 63 talleres técnicos para la mitigación de los riesgos advertidos en materia de convivencia y seguridad humana.</t>
  </si>
  <si>
    <t>https://mininteriorgovco.sharepoint.com/:f:/r/sites/EvidenciasOAP/Documentos%20compartidos/Evidencias%20Indicadores%20de%20Proceso%202026/05.%20Gesti%C3%B3n%20para%20la%20Protecci%C3%B3n%20de%20los%20derechos/Direcci%C3%B3n%20de%20Seguridad,%20Convivencia%20Ciudadana%20y%20Gobierno/Ind043?csf=1&amp;web=1&amp;e=1HJCpq</t>
  </si>
  <si>
    <t>Durante el periodo del mes de Enero, se realizó la contratación del personal mediante la figura de contratos de prestación de servicios en el marco de la "Ley de Garantías", iniciando ejecucion los ultimos dias del mes de Enero, por lo cual, las labores propias de organizacion, realización de planes de trabajo y ejecución de actividades iniciaron en el mes de febrero de 2026. Adicionalmente, que se encontraba en proceso la contratación de operador de tiquetes y operador logistico para la realización de las labores en territorio Nacional.</t>
  </si>
  <si>
    <r>
      <t>Durante el segundo trimestre del año, la Dirección de Seguridad, Convivencia Ciudadana y Gobierno, reporta la realización de</t>
    </r>
    <r>
      <rPr>
        <sz val="10"/>
        <color rgb="FFFF0000"/>
        <rFont val="Arial"/>
        <family val="2"/>
      </rPr>
      <t xml:space="preserve"> </t>
    </r>
    <r>
      <rPr>
        <sz val="10"/>
        <color rgb="FF000000"/>
        <rFont val="Arial"/>
        <family val="2"/>
      </rPr>
      <t>95</t>
    </r>
    <r>
      <rPr>
        <sz val="10"/>
        <color rgb="FFFF0000"/>
        <rFont val="Arial"/>
        <family val="2"/>
      </rPr>
      <t xml:space="preserve"> </t>
    </r>
    <r>
      <rPr>
        <sz val="10"/>
        <rFont val="Arial"/>
        <family val="2"/>
      </rPr>
      <t>talleres técnicos para la mitigación de los riesgos advertidos en materia de convivencia y seguridad humana, detallados de la siguiente manera: Abril:  38 talleres técnicos, Mayo: 41 talleres técnicos, Junio: 16 talleres técnicos. Se adjuntan actas como soporte.</t>
    </r>
  </si>
  <si>
    <t>https://mininteriorgovco.sharepoint.com/:f:/r/sites/EvidenciasOAP/Documentos%20compartidos/Evidencias%20Indicadores%20de%20Proceso%202026/05.%20Gesti%C3%B3n%20para%20la%20Protecci%C3%B3n%20de%20los%20derechos/Direcci%C3%B3n%20de%20Seguridad,%20Convivencia%20Ciudadana%20y%20Gobierno/Trimestre%20II/Ind043?csf=1&amp;web=1&amp;e=icjv0u</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</si>
  <si>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losmecanismos para la prevención de violencias masivas de los Derechos a la vida, y la Integridad enfocados al restablecimiento y la preservación de la seguridad ciudadana y el orden público; y la libertad e igualdad
religiosa.</t>
  </si>
  <si>
    <t>amelia.cotes@mininterior.gov.co</t>
  </si>
  <si>
    <t xml:space="preserve">La  Dirección de Asuntos para Comunidades Negras, Afrocolombianas, Raizales y Palenqueras, participa en la aprobación de Condonaciones del Fondo Especial de Créditos Educativos para Comunidades Negras (FECECN)  Administrado por ICETEX, esto es importante medirlo por los beneficios que trae para los jovenes de las Comunidades y garantizar el acceso a la educación superior, y la medición del presente indicador se proyecta con una tendencia de inclementar en cada trimestre </t>
  </si>
  <si>
    <t>Fondo especial de créditos educativos condonables de Comunidades Negras -FECECN, administrado por el ICETEX, en las cuales partipa la Dirección de Asuntos para Comunidades Negras, Afrocolombianas, Raizales y Palenqueras para las condonaciones</t>
  </si>
  <si>
    <t>Sumatoria de participaciones de la  la Dirección de Asuntos para Comunidades Negras, Afrocolombianas, Raizales y Palenqueras en la aprobación de Condonaciones del Fondo Especial de Créditos Educativos para Comunidades Negras (FECECN)  Administrado por ICETEX</t>
  </si>
  <si>
    <t>Plan estratégico y de acción 2026</t>
  </si>
  <si>
    <t>Actas de participación Fondo especial de créditos educativos condonables de Comunidades Negras -FECECN, administrado por el ICETEX</t>
  </si>
  <si>
    <t xml:space="preserve">246
</t>
  </si>
  <si>
    <t>Para el trimestre se adelantaron 246 acciones en el marco de Participar en la aprobación de las condonaciones del fondo especial de créditos educativos condonables de Comunidades Negras -FECECN, administrado por el ICETEX asi;
Marzo (246) El ICETEX  cito a Comité Técnico Nacional para someter a aprobación la condonacion de  (246) solicitudes  por un valor de CUATRO MIL NOVECIENTOS SESENTA Y CINCO MILLONES CUATROCIENTOS CINCUENTA Y CUATRO MIL QUINIENTOS CINCUENTA Y DOS PESOS CON DIECISIETE CENTAVOS MCTE. ($4.965.454.552,17, las cuales fueron aprobadas.</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</si>
  <si>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044?csf=1&amp;web=1&amp;e=rqQhNv</t>
  </si>
  <si>
    <t>Para el trimestre se adelantaron  (730) acciones en el marco de la participación en la aprobación de condonaciones del Fondo Especial de Créditos Educativos Condonables de Comunidades Negras – FECECN, administrado por ICETEX.
En este contexto, se desarrollaron las siguientes actividades:
Abril(304) El ICETEX  cito a Comité Técnico Nacional para someter a aprobación la condonacion de  (304) beneficiarios  por un valor de CINCO MIL DOSCIENTOS VEINTITRES MILLONES NOVECIENTOS DIEZ MIL QUINIENTOS SETENTA Y NUEVE CON ONCE CENTAVOS MCTA  ($5.923.910.579,11) las cuales fueron aprobadas.
Mayo(426) El 25 de mayo de 2026 el Icetex cito a Comité Técnico Nacional para poner en consideración la condonación de  426 solicitudes de Condonación por un valor total de OCHO MIL SEISCIENTOS TREINTA Y OCHO MILLONES QUINIENTOS OCHENTA Y CINCO MIL SESENTA Y SIETE PESOS CON CUARENTA Y SIETE CON ONCE CENTAVOS MCTE ($638.585.067,47). De estas, 246 corresponden a solicitudes de condonaciones por medidas excepcionales, mientras que 180 son condonaciones ordinarias presentadas dentro de los plazos establecidos en el Reglamento Operativo.</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</si>
  <si>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044?csf=1&amp;web=1&amp;e=gPudpE</t>
  </si>
  <si>
    <t xml:space="preserve">La  Dirección de Asuntos para Comunidades Negras, Afrocolombianas, Raizales y Palenqueras, expide  cerificaciones de Autorreconocimiento como miembro de la  Comunidades Negras, Afrocolombianos, Raizales y Palenqueras y  Exoneración del servicio militar establecido en la sentencia 433 de 2021,  esto es importante medirlo por  los beneficios a las comunidades y que puedan acceder a los programas y oferta institucional del gobierno nacional, y la medición del presente indicador se proyecta con una tendencia de incremental para cada trimestre </t>
  </si>
  <si>
    <t>Cerificaciones de Autorreconocimiento como miembro de la  Comunidades Negras, Afrocolombianos, Raizales y Palenqueras y  Exoneración del servicio militar establecido en la sentencia 433 de 2021, que se presenten ante la Dirección, expedidas por la Dirección de Asuntos para Comunidades Negras, Afrocolombianas, Raizales y Palenqueras</t>
  </si>
  <si>
    <t>Sumatoria de certificaciones de Autorreconocimiento como miembro de la  Comunidades Negras, Afrocolombianos, Raizales y Palenqueras y de Exoneración del servicio militar establecido en la sentencia 433 de 2021</t>
  </si>
  <si>
    <t>SISTEMA DE INFORMACIÓN DE ASUNTOS PARA COMUNIDADES NEGRAS, AFROCOLOMBIANAS, RAIZALES Y PALENQUERAS</t>
  </si>
  <si>
    <t xml:space="preserve">Informe emitido por el SISTEMA DE INFORMACIÓN DE ASUNTOS PARA COMUNIDADES NEGRAS, AFROCOLOMBIANAS, RAIZALES Y PALENQUERAS </t>
  </si>
  <si>
    <t>Para el el primer trimestre se adelantaron 18960 acciones en el marco de Expedir las certificaciones de Autorreconocimiento para:
1. Autorreconocimiento como miembro de la  Comunidades Negras, Afrocolombianos, Raizales y Palenqueras
2. Exoneración del servicio militar establecido en la sentencia 433 de 2021, que se presenten ante la Dirección asi;
Durante el mes de enero se expidieron 5351:
4634 auto reconocimientos para comunidades negras, afrocolombianas, raizales y palenqueras.
52 certificaciones de exoneración de servicio militar C-433 de 2021.
665 certificacicones de cupos y/o descuentos
Durante el mes de febrero se expidieron 7644 :
7056 auto reconocimientos para comunidades negras, afrocolombianas, raizales y palenqueras
17  certificaciones de exoneración de servicio militar C-433 de 2021.
571 certificaciones de cupos y descuentos.
Durante el mes de marzo se expidieron 5965:
5483 auto reconocimientos para comunidades negras, afrocolombianas, raizales y palenqueras
34 certificaciones certificaciones de exoneración de servicio militar C-433 de 2021.
448 certificaciones de cupos y descuentos</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</si>
  <si>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045?csf=1&amp;web=1&amp;e=XmlffT</t>
  </si>
  <si>
    <t>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</si>
  <si>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045?csf=1&amp;web=1&amp;e=jeLt57</t>
  </si>
  <si>
    <t xml:space="preserve">La  Dirección de Asuntos para Comunidades Negras, Afrocolombianas, Raizales y Palenqueras, realiza el registros y Actualizaciones Realizadas sobre el Total de Registros y Actualizaciones de Organizaciones de Comunidades Negras, Afrocolombianas, Raizales y Palenqueras, esto es importante medirlo por que  las organizaciones legalmente organizadas puedan acceder a los proyectos de inversión que oferta el gobierno nacional; la medición del presente indicador se proyecta con una tendencia de incremental para cada trimestre. </t>
  </si>
  <si>
    <t>Registro Público Único Nacional y/o actualización de los Consejos Comunitarios,  Formas o Expresiones Organizativas, Organizaciones de Base y las demás que cree la Ley, de las Comunidades Negras, Afrocolombianas, Raizales y Palenqueras, realizadas por la Dirección de Asuntos para Comunidades Negras, Afrocolombianas, Raizales y Palenqueras</t>
  </si>
  <si>
    <t>Sumatoria de Registro, actualización realizadas de los Consejos Comunitarios,  Formas o Expresiones Organizativas, Organizaciones de Base y las demás que cree la Ley, de las Comunidades Negras, Afrocolombianas, Raizales y Palenqueras</t>
  </si>
  <si>
    <t>Matriz de excel, registros, actualizaciones, informes controldoc</t>
  </si>
  <si>
    <t>En el trimestre se recibieron y atendieron 99 solicitudes en el proceso de Registro Público Único Nacional y/o actualización de los Consejos Comunitarios, Formas o Expresiones Organizativas, Organizaciones de Base, para un cumplimiento del 100% de la actividad, así:
Enero. (11) 1 inscripciones Organizaciones de base, 2 Actualizaciones organizaciones de base, 0 Inscripciones consejos comunitarios, 8 Actualizaciones consejos comunitarios, 0 Inscripciones de formas o expresiones, 0 Actualizaciones de formas o expresiones.
Febrero. (52) 11 Inscripciones Organizaciones de base, 8 Actualizaciones organizaciones de base, 1 Inscripciones consejos comunitarios, 32 Actualizaciones consejos comunitarios, 0 Inscripciones de formas o expresiones, 0 Actualizaciones de formas o expresiones.
Marzo. (36) 3 Inscripciones Organizaciones de base, 5 Actualizaciones organizaciones de base, 1 Inscripciones consejos comunitarios, 25 Actualizaciones consejos comunitarios, 0 Inscripciones de formas o expresiones, 2 Actualizaciones de formas o expresiones.</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</si>
  <si>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046?csf=1&amp;web=1&amp;e=zGMowN</t>
  </si>
  <si>
    <t>En el segundo se recibieron y atendieron 179 solicitudes en el proceso de Registro Público Único Nacional y/o actualización de los Consejos Comunitarios, Formas o Expresiones Organizativas, Organizaciones de Base, para un cumplimiento del 100% de la actividad, así:
Abril. (69) . 9 Inscripciones Organizaciones de base, 32 Actualizaciones organizaciones de base, 1 Inscripciones consejos comunitarios, 27 Actualizaciones consejos comunitarios, 0 Inscripciones de formas o expresiones, 0 Actualizaciones.
Mayo. (84) 17 Inscripciones Organizaciones de base, 41 Actualizaciones organizaciones de base, 0 Inscripciones consejos comunitarios, 26 Actualizaciones consejos comunitarios, 0 Inscripciones de formas o expresiones, 0 Actualizaciones de formas o expresiones.
Junio. (26) 7 Inscripciones Organizaciones de base, 4 Actualizaciones organizaciones de base, 0 Inscripciones consejos comunitarios, 14 Actualizaciones consejos comunitarios, 1 Inscripciones de formas o expresiones, 0 Actualizaciones de formas o expresiones,</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</si>
  <si>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046?csf=1&amp;web=1&amp;e=xjXGRD</t>
  </si>
  <si>
    <t>Procesos de Consulta Previa Realizados para Medidas Legislativas y Administrativas Afectando a Comunidades Negras, Afrocolombianas, Raizales y Palenqueras, los cuales aumentan en el periodo espeficico, su inportancia se debe a la Consulta Previa es un derecho fundamental (Sent. C-169/01, Convenio 169 OIT). Medir cuántos procesos se realizan permite.Verificar que el Estado está cumpliendo con la protección de los derechos de las comunidades. Evidenciar que las entidades responsables están aplicando las normas y protocolos vigentes.</t>
  </si>
  <si>
    <t>Procesos de Consulta Previa para la adopción de Medidas Legislativas y Administrativas de Amplio Alcance Susceptibles de Afectar a las Comunidades Negras, Afrocolombianas, Raizales y Palenqueras  (Espacio Nacional de Consulta Previa - ENCP y Sesiones de las Comisiones, coordinados y realizados</t>
  </si>
  <si>
    <t xml:space="preserve">Sumatoria de  procesos de Consulta Previa para la adopción de Medidas Legislativas y Administrativas de Amplio Alcance Susceptibles de Afectar a las Comunidades Negras, Afrocolombianas, Raizales y Palenqueras  (Espacio Nacional de Consulta Previa - ENCP y Sesiones de las Comisiones) realizados </t>
  </si>
  <si>
    <t>Actas de los procesos de Consulta Previa para la adopción de Medidas Legislativas y Administrativas de Amplio Alcance Susceptibles de Afectar a las Comunidades Negras, Afrocolombianas, Raizales y Palenqueras  (Espacio Nacional de Consulta Previa - ENCP y Sesiones de las Comisiones, informes, listas de asistencia</t>
  </si>
  <si>
    <t>Para el I trimestre se adelantaron 5 acciones en el marco de Coordinar y realizar los procesos de Consulta Previa para la adopción de Medidas Legislativas y Administrativas de Amplio Alcance Susceptibles de Afectar a las Comunidades Negras, Afrocolombianas, Raizales y Palenqueras con el Espacio Nacional de Consulta Previa – ENCP (Decreto 1372 de 2018); así como la secretaría técnica de la Comisión Consultiva de Alto Nivel (Decreto 1640 de 2020). asi;
Febrero; (1) Comisión IV del Espacio Nacional de Consulta Previa, en el marco de la Consulta Previa Libre e Informada del Capítulo de las comunidades Negras, Afrocolombianas, Raizales y Palenqueras del Plan Nacional de Cultura 2024-2038, en el marco de la ejecución del contrato 1923 de 2025.
Marzo; (4) (1) Sesión Comisión V del Espacio Nacional de Consulta Previa de Comunidades Negras Afrocolombianas, Raizales y Palenqueras – ENCP, para el desarrollo de un espacio de diálogo de temas relacionados con la misionalidad de la Unidad de Restitución de Tierras – URT. (2) Sesión Comisión Consultiva de Alto Nivel – CCAN, para la participación en el proceso de reglamentación del Decreto Ley 4635 de 2011 (3,4) Sesióne de la Comisión VI del ENCP y la Unidad de Víctimas – UARIV para la consolidación de los preacuerdos y predesacuerdos de la consulta del Decreto Ley 4635 de 2011.</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</si>
  <si>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047?csf=1&amp;web=1&amp;e=qAwahc</t>
  </si>
  <si>
    <t xml:space="preserve">Para el segundo trimestre se adelantaron 5 acciones en el marco de la coordinación y realización de los procesos de Consulta Previa para la adopción de medidas legislativas y administrativas de amplio alcance, susceptibles de afectar a las comunidades Negras, Afrocolombianas, Raizales y Palenqueras, en articulación con el Espacio Nacional de Consulta Previa – ENCP (Decreto 1372 de 2018); así como en el ejercicio de la Secretaría Técnica de la Comisión Consultiva de Alto Nivel – CCAN (Decreto 1640 de 2020). En este contexto, se desarrollaron las siguientes actividades:
Mayo(4)  *Convocatoria a la Sesión de Seguimiento y Balance al Plan Nacional de Desarrollo 2022- 2026 Colombia Potencia Mundial de la Vida con la Comisión Segunda del Espacio Nacional de Consulta Previa de las Comunidades Negras, Afrocolombianas, Raizales y Palenqueras, *Apoyar desde la DCN en la articulación del alcance de la convocatoria a sesión de la Subcomisión V de la Comisión Consultiva de Alto Nivel de Comunidades Negras, para el proyecto de resolución ‘Por medio de la cual se declara una reserva de recursos naturales
renovables en el bioma amazónico colombiano, y se adoptan otras.* Acompañar en la estrategia de cumplimiento indicador NT2-23: La Dirección de Seguridad y Convivencia Ciudadana y Gobierno, incluirá en la ruta de construcción de los modelos de Seguridad, la participación de las Comisiones consultivas departamentales en articulación con las gobernaciones.* Participar en la primera sesión de trabajo entre la Agencia de Desarrollo Rural y la Comisión Segunda del Espacio Nacional de Consulta Previa – para la Co construcción del Programa de Economía Propia, Etnodesarrollo y Género para las Comunidades Negras,
Afrocolombianas, Raizales y Palenqueras.
Junio(1) Sesión de seguimiento a los acuerdos y compromisos del capitulo étnico del Plan Nacional de desarrollo 2023-2026-Ministerio de Educación y entidades adscritas-Comisión IV del ENCP </t>
  </si>
  <si>
    <t>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047?csf=1&amp;web=1&amp;e=rp6RXn</t>
  </si>
  <si>
    <t>jaime.guzman@mininterior.gov.co</t>
  </si>
  <si>
    <t>Este indicador mide el número de entidades del orden nacional y territorial e instancias de paz que se mantienen articuladas para la implementación de la Política de Paz Total. Es importante porque permite asegurar la coordinación institucional necesaria para ejecutar de manera efectiva las acciones de paz. Su objetivo es mantener el nivel de articulación dentro de un rango que garantice la implementación adecuada de la política.</t>
  </si>
  <si>
    <t>Entidades o instancias articuladas para la implementación de acciones asociadas a la Paz</t>
  </si>
  <si>
    <t xml:space="preserve">Número de  entidades y/o instancias articuladas  para la implementación de acciones asociadas a la Paz  </t>
  </si>
  <si>
    <t>Informes de Articulacion de Entidades o Instancias asociadas a la Paz</t>
  </si>
  <si>
    <t>Reportes o Informes de Iniciativas gestionadas, articuladas y/o coordinadas</t>
  </si>
  <si>
    <t>No se reporta avance ya que la meta para el I Trimestre se encuentra en cero (0)</t>
  </si>
  <si>
    <t xml:space="preserve">No aplica </t>
  </si>
  <si>
    <t>Para el II Trimestre de 2026,  se desarrollaron acciones de seguimiento, articulación y fortalecimiento de las instancias de implementación del Acuerdo Final de Paz, mediante el avance del Pacto Político Nacional, la elaboración de informes para la Comisión de Seguimiento, Impulso y Verificación a la Implementación del Acuerdo Final (CSIVI), el Consejo Nacional de Paz, Reconciliación y Convivencia y el Fondo Multidonante de las Naciones Unidas para el Sostenimiento de la Paz. Asimismo, se impulsó la implementación del Plan de Choque para la Implementación del Acuerdo Final de Paz, priorizando el fortalecimiento de los Pactos Territoriales para la Transformación del Territorio como mecanismo para acelerar el cumplimiento de los compromisos estatales en los municipios PDET, promover la articulación institucional y consolidar la paz territorial. Abril: 1 Mayo:2 Junio:2</t>
  </si>
  <si>
    <t>https://mininteriorgovco.sharepoint.com/sites/EvidenciasOAP/Documentos%20compartidos/Forms/AllItems.aspx?id=%2Fsites%2FEvidenciasOAP%2FDocumentos%20compartidos%2FEvidencias%20Indicadores%20de%20Proceso%202026%2F05%2E%20Gesti%C3%B3n%20para%20la%20Protecci%C3%B3n%20de%20los%20derechos%2FGrupo%20Equipo%20de%20Paz%2FII%20Trimestre%2FInd048&amp;viewid=f06b705c%2D1d5c%2D4fc5%2Db2b2%2D6247424e1781&amp;csf=1&amp;CT=1783434415977&amp;OR=OWA%2DNT%2DMail&amp;CID=b9d885d1%2De6b4%2D9cee%2De842%2D6fd9f0a978f7&amp;SI=NonSentItems&amp;SLSync=F&amp;FolderCTID=0x01200071BA4BEEC5A4884E88FD3CFB2470F298</t>
  </si>
  <si>
    <t>Ninguna</t>
  </si>
  <si>
    <t>Este indicador mide la gestión de la implementación de iniciativas sociales, comunitarias e institucionales del Sector Interior en articulación con entidades del orden nacional, territorial, organismos de cooperación internacional y organizaciones sociales y étnicas. Es importante porque permite fortalecer la acción conjunta para atender necesidades territoriales y poblacionales. Su objetivo es aumentar el nivel de implementación articulada de estas iniciativas.</t>
  </si>
  <si>
    <t>Iniciativas del Sector Interior, articuladas con entidades del Orden Nacional, Territorial, Organismos de Cooperación Internacional y Multilaterales y Organizaciones sociales y etnicas.</t>
  </si>
  <si>
    <t>Numero de Iniciativas gestionadas, articuladas y/o coordinadas</t>
  </si>
  <si>
    <t>Soportes de Articulacion e Implementacion de las Iniciativas sociales y comuntarias asociadas al sector Interior</t>
  </si>
  <si>
    <t xml:space="preserve">Durante el I trimestre de la vigencia, se avanzó con la gestión e implementación de dos iniciativas en las subregiones PDET: Sierra Nevada y Perijá, en el municipio de La Paz (Cesar), y Sur del Tolima, en el municipio de Ataco (Tolima), en coadyuvancia con el Convenio No. 1638 de 2024 suscrito con la OIM, mediante acciones de planificación, coordinación y seguimiento orientadas a garantizar la pertinencia territorial y sostenibilidad de las intervenciones; estas acciones se enmarcan en los lineamientos del Plan Nacional de Desarrollo 2022–2026 “Colombia, Potencia Mundial de la Vida”, contribuyendo a la consolidación de la paz territorial, el cierre de brechas y el fortalecimiento institucional en territorios priorizados, </t>
  </si>
  <si>
    <t>En el segundo trimestre de la vigencia 2026, se avanzó con la implementación de 5 iniciativas en las subregiones Montes de Maria, Sierra Nevada y Perija y Chocó, en los municipios de Morroa (Sucre), La Paz (Cesar) y Bojayá (Chocó), en coadyuvancia con el convenio 1638 d 2024 entre el Ministerio del Interior y la OIM, mediante acciones de implementación enfocados en fortalecimiento comunitario, social y organizacional, en el marco de los lineamientos del Plan Nacional de Desarrollo Colombia Potencia Mundial de la Vida, contribuyendo a la consolidación de la paz territorial, el cierre de brechas y el fortalecimiento institucional. Abr: 2 May:3 Jun:0</t>
  </si>
  <si>
    <t>https://mininteriorgovco.sharepoint.com/sites/EvidenciasOAP/Documentos%20compartidos/Forms/AllItems.aspx?csf=1&amp;web=1&amp;e=akWI0T&amp;CT=1783548122105&amp;OR=OWA%2DNT%2DMail&amp;CID=1b0942a1%2Da287%2D3f14%2D1dd7%2D414032353c30&amp;SI=NonSentItems&amp;SLSync=F&amp;FolderCTID=0x01200071BA4BEEC5A4884E88FD3CFB2470F298&amp;id=%2Fsites%2FEvidenciasOAP%2FDocumentos%20compartidos%2FEvidencias%20Indicadores%20de%20Proceso%202026%2F05%2E%20Gesti%C3%B3n%20para%20la%20Protecci%C3%B3n%20de%20los%20derechos%2FGrupo%20Equipo%20de%20Paz%2FII%20Trimestre%2FInd049</t>
  </si>
  <si>
    <t>dire.alfonso.jimenez@mininterior.gov.co</t>
  </si>
  <si>
    <t xml:space="preserve">Medir la determinación de la procedencia o no de consulta previa mediante el porcentaje de actos administrativos expedidos para la toma de decisiones. Es importante la medición para establecer el volumen de actos administrativos, para la toma de decisiones, relacionadas con el procedimiento de la procedencia o no de la consulta previa. El indicador es de mantener  </t>
  </si>
  <si>
    <t xml:space="preserve">Porcentaje de actos administrativos expedidos para determinar la procedencia o no de la consulta previa </t>
  </si>
  <si>
    <t xml:space="preserve">(Número de actos administrativos expedidos para determinar la procedencia o no de la consulta previa / Número de actos administrativos programados para determinar la procedencia o no de la consulta previa ) x 100 	</t>
  </si>
  <si>
    <t>Matriz de actos administrativos 2026 de la Subdirección Ténica</t>
  </si>
  <si>
    <t xml:space="preserve">Matriz de actos administrativos 2026 de la Subdirección Técnica  </t>
  </si>
  <si>
    <t>"En el primer trimestre del año 2026, fueron programados y emitidos 290 actos administrativos de Determinación de Procedencia y Oportuna de la Consulta previa, así: Enero: 88, febrero: 109, marzo: 93
Por sectores: energía, 122 actos;  sector de infraestructura, 46 actos;  el sector minero, 35 actos; el sector ambiental, 23 actos: el sector de hidrocarburos, 18 actos; el sector de telecomunicaciones, 18 actos;  el grupo de otros sectores sumó 28 actos administrativos, para un total de 290 actos administrativos emitidos."</t>
  </si>
  <si>
    <t>1. Ind 050. 1er Trimestre</t>
  </si>
  <si>
    <t xml:space="preserve">En el segundo trimestre de 2026, fueron programados y emitidos 431 actos administrativos de Determinacion de Procedencia y Oportuna de la Consulta Previa, asi: Abril 151, Mayo 158, Junio 122.
Por sectores: Minero 54, Energia 211, Ambiental 30, Hidrocarburos 15, Infraestructura 82, Telecomunicaciones 8 y otros 31. </t>
  </si>
  <si>
    <t>Medir la gestión y coordinación de los procesos consultivos mediante el porcentaje de reuniones atendidas y convocadas en el marco de procesos de consulta previa. Es importante medirlo para el monitoreo y toma de decisiones de la gestión del desarrollo de los procesos consultivos . El indicador es de mantener</t>
  </si>
  <si>
    <t xml:space="preserve">Porcentaje de reuniones convocadas y atendidas en el marco de procesos de consulta previa </t>
  </si>
  <si>
    <t>SI((Número de reuniones atendidas en el marco de procesos de consulta previa/Número de reunioones convocados en el marco de procesos de consulta previa)&gt;=85%;1;(Número de reuniones atendidas en el marco de procesos de consulta previa/Número de reunioones convocados en el marco de procesos de consulta previa)/85%)</t>
  </si>
  <si>
    <t>Matriz de reuniones convocadas y atendidas en el marco de la Consulta Previa de la Subdirección de Gestión.</t>
  </si>
  <si>
    <t xml:space="preserve">Matriz de reuniones convocadas y atendidas en el marco de la Consulta Previa de la Subdirección de Gestión </t>
  </si>
  <si>
    <t>Durante el primer trimestre se atendieron 269 reuniones de las 284 reuniones convocadas de consultra previa, cumpliendo con la meta para el trimestre; especificamente por mes las Atendidas: Enero 8, febrero 99, marzo 162 , y las convocadas: Enero: 8, Febrero 102, marzo, 174.</t>
  </si>
  <si>
    <t>2.Ind. 051. 1er Trimestre</t>
  </si>
  <si>
    <t xml:space="preserve">Durante el segundo trimestre de 2026 se atendieron 520 reuniones de las 577 reuniones convocadas de consulta previa, cumpliendo con la meta para el trimestre; especificamente por mes: Abril 190, Mayo 176, Junio 154 .   </t>
  </si>
  <si>
    <t xml:space="preserve">Medir la estrategias implementadas de los procesos de formación en consulta previa desde la escuela de formación para grupos de interés, a fin de establecer el avance de la sensibilización en materia de consulta previa de los grupos de interés.  Es importante la medición porque mediante la implementacion de estrategias de formación se fortalecen las capacidades y habilidades para grupos de interes en materia de consulta previa. El indicador es de mantener  </t>
  </si>
  <si>
    <t>Porcentaje de estrategias de formación implementadas desde la escuela de formación para grupos de interés.</t>
  </si>
  <si>
    <t>(Número de estrategias de formación implementadas desde la escuela de formación para grupos de interés / Número de estrategias de formación programadas a implementar desde la escuela de formación para grupos de interés) x 100</t>
  </si>
  <si>
    <t xml:space="preserve">Reporte del número de estrategias de formación implementadas desde la escuela de formación para  grupos de interés 									</t>
  </si>
  <si>
    <t>En el marco de la implementación de estrategias desde la Escuela de Formación para grupos de interés en el primer trimestre se adelantaron 4 estrategias así: 
Enero: 2 estrategias 1, se proyecta documento base para la jornada de inducción y reinducción para servidores de la DANCP. 2. estrategias de jornadas de capacitación:  (Se realizó jornada de capacitación a servidores de la Dirección de formalización minera del Ministerio de Minas y Energía. (8 personas).
Febrero: 1 estrategia de jornada de capacitación: Se adelantaron tres (3) capacitaciones: 1) A la comunidad del Cabildo Menor Indígena Cascaloa (11 personas). 2) Jornada de inducción en el derecho fundamental a la consulta previa dirigida a nuevos servidores de la DANCP (57 personas). 3) Capacitación en consulta previa dirigida a colaboradores de la Alcaldía Municipal de Filadelfia – Caldas y la Personería Municipal (23 personas).
Marzo: 1  estrategias de jornadas de capacitación: (1. Consejo comunitario PUA ll .(46 personas) 2. Capacitación a la Comunidad Indígena San Rafael (67 personas). 3. Capacitación al Consejo Comunitario Arroyo  (53 personas) 4.Capacitación al Consejo Comunitario de Punta Arena – Cartagena (49 personas). 5.Capacitación al Consejo Comunitario Santa Ana en Barú – Cartagena (36 personas). 6. Capacitación a servidores públicos en Guainía; 7. La comunidad de Punta Canoa – Cartagena) (5 personas), Comunidad de punta canoa  (59 personas); 8. Comision de servicio civil (15 personas) para un total (las 7 capacitaciones) de 315 personas.</t>
  </si>
  <si>
    <t>3. Ind.052. 1er Trimestre</t>
  </si>
  <si>
    <t>En el marco de la implementación de estrategias desde la Escuela de Formación para grupos de interés, durante el segundo trimestre de 2026 se adelantaron 3 estrategias de formación, distribuidas de la siguiente manera:
1. Estrategia: Se desarrollaron 43 Capacitaciones en los diferentes territorios del país a las comunidades Indígenas, servidores públicos de diferentes entidades así:
ABRIL: implementaron 10 capacitaciones así:
Asistencia a la comunidad del Consejo Comunitario de Comunidades Negras Villa Estela (6 personas). 2. Capacitación a funcionarios de la Corporación Autónoma del Consejo Comunitario de Comunidades Negras Villa Estela (15 personas). 3. Capacitación a funcionarios y contratistas de la Corporación Autónoma Regional del Valle del Cauca – Cali (25 personas). 4 y 5. Capacitación a estudiantes de los grados 10° y 11° del Colegio Técnico Agropecuario José Celestino Mutis, del municipio de Puerto Nariño – Amazonas (69 personas). 6. Capacitación a estudiantes de la Institución Educativa Francisco José de Caldas, Resguardo Indígena Tarapacá (34 personas). 7. Capacitación a funcionarios y colaboradores de la Alcaldía Municipal de Mistrató – Risaralda (21 personas). 8. Capacitación a autoridades indígenas Wayuu E'Iruku en Manaure (72 personas). 9. Capacitación a estudiantes de los grados 10° y 11° de la Institución Educativa Francisco de Orellana del Resguardo Indígena de Macedonia y de la Institución Educativa Francisco José de Caldas del Resguardo Indígena Tarapacá, en Leticia – Amazonas (38 personas). 10. Jornada de capacitación sobre el derecho fundamental a la consulta previa dirigida a servidores de la Alcaldía Mayor de Bogotá (37 personas). Durante el mes se beneficiaron un total de 317 personas.
MAYO: se implementaron 14 capacitaciones así:
Capacitación a funcionarios de la Dirección de Proyectos Estratégicos de la Gobernación de Sucre (7 personas). 2. Capacitación a servidores públicos de la Gobernación de Guainía y de la Alcaldía de Puerto Inírida (30 personas). 3. Capacitación a autoridades indígenas de Guainía (56 personas). 4. Capacitación a colaboradores de la Alcaldía Municipal de Pradera – Valle del Cauca (22 personas). 5. Capacitación a líderes y comunidad de la Parcialidad Indígena Jabalcón (56 personas). 6. Capacitación a colaboradores de la Alcaldía, Personería y Concejo Municipal de Hispania – Antioquia (18 personas). 7. Capacitación dirigida a la empresa UG21 (13 personas). 8. Capacitación a líderes y comunidad del Resguardo Indígena Sikuani de Domo Planas, en Puerto Gaitán – Meta (30 personas). 9. Capacitación a comunidades indígenas del Resguardo Nasa Planes y de la Parcialidad Misak Nuevo Milenio (33 personas). 10. Capacitación a la comunidad indígena de la Parcialidad Nasa Candilejas (48 personas). 11. Capacitación a la Parcialidad Emberá Chamí El Paraíso y a la Asociación Colectivo Afro (37 personas). 12. Capacitación a la comunidad del Resguardo Indígena Chamy La Julia (44 personas). 13. Capacitación dirigida a funcionarios y colaboradores de la Alcaldía Municipal de Belén de Umbría (13 personas). 14. Capacitación a estudiantes indígenas de la Institución Educativa Francisco de Orellana (89 personas). Durante el mes se beneficiaron un total de 494 personas.
JUNIO: se implementaron 19 capacitaciones así:
Capacitación al Resguardo Indígena Senú Omagá (31 personas). 2. Capacitación a funcionarios de la Superintendencia Nacional de Salud (6 personas). 3. Capacitación a funcionarios de la Gobernación de Nariño (36 personas). 4. Capacitación a funcionarios de la Alcaldía Distrital de Barrancabermeja (38 personas). 5. Capacitación a servidores de la Corporación Autónoma Regional de Nariño (57 personas). 6. Capacitación a servidores del Ministerio de Minas y Energía (44 personas). 7. Capacitación al Resguardo Indígena Wounaan Río Taparal (29 personas). 8. Capacitación a miembros de consejos comunitarios del municipio de Jamundí (35 personas). 9. Capacitación a la Asociación Caldense de Personeros – ASOCALPER (8 personas). 10. Capacitación a miembros de los cabildos indígenas del municipio de Jamundí (38 personas). 11. Capacitación a miembros de la comunidad Mokaná (69 personas). 12. Capacitación a miembros de la comunidad Puerto Galve del Resguardo Indígena Río Taparal (29 personas). 13. Capacitación a la comunidad Playa Linda del Resguardo Indígena Río Orpúa (51 personas). 14. Capacitación a colaboradores de la Alcaldía Municipal de Florida (12 personas). 15. Capacitación a miembros de la comunidad Wayuu Numain y Laulayuu de Maicao (26 personas). 16. Capacitación a miembros de la comunidad Wayuu Numain y Laulayuu de Uribia (26 personas). 17. Capacitación a servidores públicos de la Alcaldía Municipal de Jardín – Antioquia (29 personas). 18. Capacitación a miembros de los pueblos indígenas Chimila y Kogui (47 personas). 19. Capacitación a miembros del Consejo Comunitario Mayor de la Cuenca Media y Alta del Río Dagua (15 personas). Durante el mes se beneficiaron un total de 632 personas.
2. Estrategia: En mayo se realizó la capacitación sobre las sentencias en el marco de la implementación de la política de drogas y la erradicación de cultivos de uso ilícito, así como sobre consulta previa, dirigida a la comunidad del Resguardo Indígena Valles del Sol (62 personas).
3. Estrategia: En mayo se realizó la capacitación sobre el Decreto Ley 480 de 2025 dirigida a la comunidad Uncacía y a los pueblos Makaguán y Sikuani (30 personas).</t>
  </si>
  <si>
    <t>richard.gamboa@mininterior.gov.co</t>
  </si>
  <si>
    <t>Incrementar la cantidad de asistencias técnicas y acompañamientos efectuados por la DAR a las Gobernaciones y Alcaldías, tanto de manera presencial como virtual, en relación con las metodologías y kit de herramientas determinados, permite identificar el grado de cumplimiento en la gestión del proceso de asesoría y asistencia técnica brindado por la DAR a las entidades territoriales, de igual forma facilita evaluar el cumplimiento de la estrategia de relacionamiento Nación - Territorio, garantizar la transferencia de conocimiento y mejorar la gestión en las entidades territoriales. la tendencia de este indicador es incremental.</t>
  </si>
  <si>
    <t xml:space="preserve">Asistencias técnicas realizadas a las entidades territoriales (Gobernaciones y Alcaldías)  de manera presencial y virtual, sobre las metodologías y kit de herramientas realizadas por la Dirección de Asuntos Religiosos </t>
  </si>
  <si>
    <t>Sumatoria del número de asistencias técnicas realizadas a las entidades territoriales (Gobernaciones y Alcaldías) de manera presencial y virtual</t>
  </si>
  <si>
    <t>Bitácora de eventos DAR 2026</t>
  </si>
  <si>
    <t>Registros de asistencia técnica y acompañamientos (actas, informes de comisión, Listas de asistencia, reportes de plataformas virtuales y registros fotográficos).</t>
  </si>
  <si>
    <t>Durante el primer (1) trimestre: Se realizaron (40) asistencias técnicas y acompañamientos a las entidades territoriales (Gobernaciones y Alcaldías) de manera presencial y virtual, sobre las metodologías y kit de herramientas proferidas por la Dirección así: Enero (2): 19/01/2026 Valle del Cauca Palmira, 27/01/2026 Antioquia Medellín;  Febrero (19): 03/02/2026 Cundinamarca Soacha, 10/02/2026 Soledad Atlántico, 12/02/2026 Bogotá Bogotá D.C,13/02/2026 Bogotá , 16/02/2026 Bolívar Cicuco,   16/02/2026 Mompós Bolivar, 17/02/2026 Bolívar Cicuco, 18/02/2026 Bolívar Magangué, 19/02/2026 Bolívar Mompós,  Vaupés Mitú, 20/02/2026 Atlántico Barranquilla, 21/02/2026 Atlántico Barranquilla, 22/02/2026 Atlántico Barranquilla, 24/02/2026 Bolívar Turbaco, 25/02/2026 Bolívar Turbaco, 26/02/2026 Bolívar Turbaco,  Tolima San Luis; Marzo (19): 06/03/2026 Meta Villavicencio, 07/03/2026 Bogotá Bogotá, 09/03/2026 Vaupés Mitú, 10/03/2026 Casanare Yopal, 11/03/2026 Sucre San Onofre, 13/03/2026 Cauca Popayán,  Nariño Pasto, 16/03/2026 La Guajira Riohacha,  Nariño Pasto, 17/03/2026 La Guajira Riohacha, 18/03/2026 Antioquia Medellín,  Bolívar Magangué, 19/03/2026 Antioquia Caldas,   Medellín,  Chocó Quibdó,  Tolima Ibagué, 24/03/2026 Antioquia Caldas, 25/03/2026 Huila Neiva.</t>
  </si>
  <si>
    <t>https://mininteriorgovco.sharepoint.com/:f:/r/sites/EvidenciasOAP/Documentos%20compartidos/Evidencias%20Indicadores%20de%20Proceso%202026/05.%20Gesti%C3%B3n%20para%20la%20Protecci%C3%B3n%20de%20los%20derechos/Direcci%C3%B3n%20de%20Asuntos%20Religiosos/Ind053?csf=1&amp;web=1&amp;e=CDDh9A</t>
  </si>
  <si>
    <t>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segundo (2) trimestre: (104) asistencias técnicas y acompañamientos a las entidades territoriales (Gobernaciones y Alcaldías) de manera presencial y virtual, sobre las metodologías y kit de herramientas proferidas por la Dirección así: Abril (38): 07/04/2026 Bogotá Bogotá, 07/04/2026 Cesar Valledupar, 08/04/2026 Cesar Valledupar, 14/04/2026 Cesar Valledupar, 14/04/2026 Nariño Pasto, Colombia, 15/04/2026 San Andrés and Providencia San Andrés, San Andrés y Providencia, 15/04/2026 Cesar Valledupar, 16/04/2026 Cesar Valledupar, 16/04/2026 San Andrés and Providencia San Andrés, San Andrés y Providencia, 16/04/2026 Nariño Pasto, 16/04/2026 Sucre Sampués, 17/04/2026 San Andrés and Providencia San Andrés, San Andrés y Providencia, 20/04/2026 Antioquia Girardota, 20/04/2026 Antioquia La Estrella, Antioquia, 20/04/2026 La Guajira Maicao, 20/04/2026 Santander Bucaramanga, 21/04/2026 Santander Bucaramanga, 21/04/2026 Santander Bucaramanga, 21/04/2026 Sucre Sincelejo, 21/04/2026 Sucre Sincelejo, 21/04/2026 Guaviare San José del Guaviare,22/04/2026 Santander Bucaramanga,22/04/2026 Cauca Popayán,22/04/2026 Cauca Popayán,22/04/2026 Cauca Popayán,22/04/2026 Chocó Nóvita,23/04/2026 Cauca Popayán,23/04/2026 Cauca Popayán,24/04/2026 Cauca Popayán,24/04/2026 Antioquia Medellín,24/04/2026 Tolima Carmen de Apicalá,27/04/2026 Antioquia Girardota,27/04/2026 Antioquia Marinilla,27/04/2026 Risaralda Pereira, Colombia,28/04/2026 Risaralda Pereira, Colombia,28/04/2026 Atlántico Soledad, Atlántico,28/04/2026 Casanare Yopal,29/04/2026 Atlántico Barranquilla; Mayo(42): 04/05/2026 Atlántico Barranquilla,05/05/2026 Chocó Condoto,05/05/2026 Caquetá Florencia, Caquetá,05/05/2026 La Guajira Maicao,06/05/2026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Itagüí,14/05/2026 Bolívar Cartagena, Colombia,15/05/2026 Bolívar Cartagena, Colombia,16/05/2026 Bolívar Cartagena, Colombia,18/05/2026 Chocó El Carmen del Darién,19/05/2026 Chocó El Carmen del Darién,20/05/2026 Chocó El Carmen del Darién,19/05/2026 Bogotá Bogotá,19/05/2026 Antioquia Marinilla,20/05/2026 Bolívar Cartagena, Colombia,20/05/2026 Bolívar Cartagena, Colombia,21/05/2026 Bolívar Cartagena, Colombia,21/05/2026 Nariño Tanguá,21/05/2026 Nariño Túquerres,22/05/2026 Nariño Nariño ,22/05/2026 Bolívar Cartagena, Colombia,22/05/2026 Antioquia Medellín,22/05/2026 Amazonas , Colombia Leticia, Amazonas,27/05/2026 Guainía Inírida, Guainía,27/05/2026 Sucre Sincelejo,27/05/2026 Sucre Sincelejo,27/05/2026 Antioquia Apartadó,27/05/2026 Bogotá Bogotá,28/05/2026 Sucre Sincelejo,29/05/2026 Atlántico Barranquilla; Junio (24): 03/06/2026 La Guajira  La Jagua de Ibirico, Cesar,04/06/2026 Atlántico  Galapa, Colombia,05/06/2026 Tolima  Piedras,06/06/2026 Antioquia  Caldas, Antioquia,06/06/2026 Antioquia  Sabaneta, Antioquia,07/06/2026 Antioquia  Copacabana,10/06/2026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t>
  </si>
  <si>
    <t>https://mininteriorgovco.sharepoint.com/:f:/r/sites/EvidenciasOAP/Documentos%20compartidos/Evidencias%20Indicadores%20de%20Proceso%202026/05.%20Gesti%C3%B3n%20para%20la%20Protecci%C3%B3n%20de%20los%20derechos/Direcci%C3%B3n%20de%20Asuntos%20Religiosos/II%20Trimestre/Ind053?csf=1&amp;web=1&amp;e=ai3xTi&amp;xsdata=MDV8MDJ8bHVpcy5wdWxpZG9AbWluaW50ZXJpb3IuZ292LmNvfDkxNGQ2MDJlYWFmMzRlNTUxODgyMDhkZWQxNDJmNjIxfGM0Zjc4NzBjZWIwODRkMDFiMDIzYTcxZGQ5NGU4ODNifDB8MHw2MzkxNzgyODMxOTg2NTU2MTF8VW5rbm93bnxUV0ZwYkdac2IzZDhleUpGYlhCMGVVMWhjR2tpT25SeWRXVXNJbFlpT2lJd0xqQXVNREF3TUNJc0lsQWlPaUpYYVc0ek1pSXNJa0ZPSWpvaVRXRnBiQ0lzSWxkVUlqb3lmUT09fDB8fHw%3d&amp;sdata=OTl5b1RGV3hzZzByd3lzaEppNnEzZDFGY1R2b2hiTUhGTTh6UUh2SFQzbz0%3d</t>
  </si>
  <si>
    <t>Se aumentó el número de asistencias técnicas de 40 a 104 considerando que se fortaleció el equipo de trabajo y se promovió de manera intensa la gestión territorial de la implementación de la política pública de libertad religiosa</t>
  </si>
  <si>
    <t>Mantener el porcentaje de solicitudes de trámites atendidos de manera efectiva dentro de los tiempos establecidos por el Sistema de Gestión Documental. Es importante, porque permite garantizar la eficiencia y oportunidad en la gestión documental, asegurando la custodia adecuada de los expedientes y el cumplimiento normativo. Además, contribuye a la transparencia y a la satisfacción de los usuarios internos y externos. La tendencia de este indicador es de "Mantener".</t>
  </si>
  <si>
    <t xml:space="preserve">Trámites del Sistema de gestión documental y custodia de los expedientes realizados  por la Dirección de Asuntos Religiosos </t>
  </si>
  <si>
    <t>((Sumatoria del número de actos administrativos por solicitud de personerías jurídicas especiales y extendidas y otros trámites de las entidades religiosas atendidos y en custodia) / (el número de solicitudes de trámites recibidos en el periodo)) multiplicado por 100</t>
  </si>
  <si>
    <t>Sistema de gestión documental,  tablero de reparto  y registro de custodia de los expedientes</t>
  </si>
  <si>
    <t>Reportes del Sistema de gestión documental,  tablero de reparto  y registro de custodia de los expedientes; clasificadospor trámites así: 2. reforma de estatutos, 3. personería jurídica especial, 4. personería jurídica extendida, 5. dignatarios, y 6. tutelas</t>
  </si>
  <si>
    <t>Durante el primer trimestre: se realizó la actualización del sistema de gestión documental y la custodia de los expedientes de personerías jurídicas de la siguiente manera: enero: reforma de estatutos 5, personería jurídica especial 42, personería jurídica extendida 5, dignatarios 28, tutelas 10 total 90, febrero: reforma de estatutos 13, personería jurídica especial 58, personería jurídica extendida 6, dignatarios 66, tutelas 13, total 156, y marzo: reforma de estatutos 34, personería jurídica especial 94, personería jurídica extendida 3, dignatarios 83, tutelas 20, total 234, Acumulado trimestre: reforma de estatutos 52, personería jurídica especial 194, personería jurídica extendida 14, dignatarios 177, tutelas 43, para un total de 480 trámites atendidos</t>
  </si>
  <si>
    <t>https://mininteriorgovco.sharepoint.com/:f:/r/sites/EvidenciasOAP/Documentos%20compartidos/Evidencias%20Indicadores%20de%20Proceso%202026/05.%20Gesti%C3%B3n%20para%20la%20Protecci%C3%B3n%20de%20los%20derechos/Direcci%C3%B3n%20de%20Asuntos%20Religiosos/Ind054?csf=1&amp;web=1&amp;e=ScFoU5</t>
  </si>
  <si>
    <t>Durante el segundo (2) trimestre: se realizó la actualización del sistema de gestión documental y la custodia de los expedientes de personerías jurídicas de la siguiente manera: Abril: reforma de estatutos 30, personería jurídica especial 108, personería jurídica extendida 4, dignatarios 130, tutelas 33 total 305, Mayo: reforma de estatutos 18, personería jurídica especial 68, personería jurídica extendida 3, dignatarios 81, tutelas 38, total 208, y Junio: reforma de estatutos 16, personería jurídica especial 127, personería jurídica extendida 5, dignatarios 105, tutelas 20, total 273, Acumulado trimestre: reforma de estatutos 64, personería jurídica especial 303, personería jurídica extendida 12, dignatarios 316, tutelas 91, para un total de 786 trámites atendidos. </t>
  </si>
  <si>
    <t>https://mininteriorgovco.sharepoint.com/:f:/r/sites/EvidenciasOAP/Documentos%20compartidos/Evidencias%20Indicadores%20de%20Proceso%202026/05.%20Gesti%C3%B3n%20para%20la%20Protecci%C3%B3n%20de%20los%20derechos/Direcci%C3%B3n%20de%20Asuntos%20Religiosos/II%20Trimestre/Ind054?csf=1&amp;web=1&amp;e=BxFrFG&amp;xsdata=MDV8MDJ8bHVpcy5wdWxpZG9AbWluaW50ZXJpb3IuZ292LmNvfDkxNGQ2MDJlYWFmMzRlNTUxODgyMDhkZWQxNDJmNjIxfGM0Zjc4NzBjZWIwODRkMDFiMDIzYTcxZGQ5NGU4ODNifDB8MHw2MzkxNzgyODMxOTg2OTcyNjZ8VW5rbm93bnxUV0ZwYkdac2IzZDhleUpGYlhCMGVVMWhjR2tpT25SeWRXVXNJbFlpT2lJd0xqQXVNREF3TUNJc0lsQWlPaUpYYVc0ek1pSXNJa0ZPSWpvaVRXRnBiQ0lzSWxkVUlqb3lmUT09fDB8fHw%3d&amp;sdata=UTFHSEJXcnlMT2NNdEFobFR4OFVYRGwyWjVicHBPenFvb1ljTXlVWG5mYz0%3d</t>
  </si>
  <si>
    <t>Mantener el porcentaje de expedición de certificados de existencia y representación legal dentro del tiempo establecido por la normativa, es importante porque garantiza la eficiencia y oportunidad en la atención de trámites, lo cual permite asegurar la transparencia, la eficiencia administrativa y la satisfacción de las entidades religiosas.</t>
  </si>
  <si>
    <t xml:space="preserve">Certificados de existencia y representación legal de las entidades religiosas expedidos por la Dirección de Asuntos Religiosos </t>
  </si>
  <si>
    <t>((Número certificaciones de representacion legal  de las entidades religiosas expedidos) /( número de solicitudes de certificación de representacion legal  de las entidades religiosas recibidos)) multiplicado por 100</t>
  </si>
  <si>
    <t>Registro público de entidades religiosas (Plataforma BPM)</t>
  </si>
  <si>
    <t>Reportes del Sistema de gestión documental BPM, tablero de reparto  y registro de custodia de los expedientes; clasificadospor trámites así: 1. Certificados de existencia y representacion legal</t>
  </si>
  <si>
    <t>Durante el primer (1) trimestre se expidieron 5037 certificados de existencia y representación legal así: enero 1495, febrero 1809 y marzo 1733.
Los certificados de existencia y representación legal se solicitan en el aplicativo: https://arncbpm.mininterior.gov.co/
Para facilitar la generación de datos estadísticos de registros administrativos consultar el enlace.
Enlace reporte Cantidad Solicitudes Certificado
https://bpmproduccion.mininterior.gov.co/BPM_Mensajes_Crear.aspx?Tu9QX7FiJeYMmKBSEE4Yxo7Oza7oLOoAQwF4WhW4mZQ=</t>
  </si>
  <si>
    <t>https://mininteriorgovco.sharepoint.com/:f:/r/sites/EvidenciasOAP/Documentos%20compartidos/Evidencias%20Indicadores%20de%20Proceso%202026/05.%20Gesti%C3%B3n%20para%20la%20Protecci%C3%B3n%20de%20los%20derechos/Direcci%C3%B3n%20de%20Asuntos%20Religiosos/Ind055?csf=1&amp;web=1&amp;e=Iz3kt5</t>
  </si>
  <si>
    <t xml:space="preserve">Durante el segundo (2) trimestre: se expidieron 5037 certificados de existencia y representación legal así: abril 1727, mayo 1744 y junio 1566 para un total de 5037 certificados expedidos </t>
  </si>
  <si>
    <t>https://mininteriorgovco.sharepoint.com/:f:/r/sites/EvidenciasOAP/Documentos%20compartidos/Evidencias%20Indicadores%20de%20Proceso%202026/05.%20Gesti%C3%B3n%20para%20la%20Protecci%C3%B3n%20de%20los%20derechos/Direcci%C3%B3n%20de%20Asuntos%20Religiosos/II%20Trimestre/Ind055?csf=1&amp;web=1&amp;e=xA23PQ&amp;xsdata=MDV8MDJ8bHVpcy5wdWxpZG9AbWluaW50ZXJpb3IuZ292LmNvfDkxNGQ2MDJlYWFmMzRlNTUxODgyMDhkZWQxNDJmNjIxfGM0Zjc4NzBjZWIwODRkMDFiMDIzYTcxZGQ5NGU4ODNifDB8MHw2MzkxNzgyODMxOTg3MzA3NDF8VW5rbm93bnxUV0ZwYkdac2IzZDhleUpGYlhCMGVVMWhjR2tpT25SeWRXVXNJbFlpT2lJd0xqQXVNREF3TUNJc0lsQWlPaUpYYVc0ek1pSXNJa0ZPSWpvaVRXRnBiQ0lzSWxkVUlqb3lmUT09fDB8fHw%3d&amp;sdata=UmgrLytOS2szaVJzalZxVWh3bC9hVUZRVXpXSVNkcXAzSDZaVkhTTlhtbz0%3d</t>
  </si>
  <si>
    <t>tito.lovo@mininterior.gov.co</t>
  </si>
  <si>
    <t xml:space="preserve">Mide el número de jornadas integrales realizadas por la Subdirección de Proyectos para la Seguridad y Convivencia Coudadana a entes territoriales y Fuerza Pública, orientadas a socializar la oferta institucional y fortalecer capacidades en formulación, gestión y radicación de proyectos a través del Sistema de Información de Proyectos Institucionales (SIPI). Estas jornadas buscan facilitar la adecuada estructuración de las iniciativas y su tránsito por el proceso de viabilización técnica, financiera y jurídica. El objetivo del indicador es mantener el número de jornadas ejecutadas conforme a la programación establecida para la vigencia 2026.									</t>
  </si>
  <si>
    <t xml:space="preserve">Jornadas integrales de fortalecimiento y socialización de la oferta institucional realizadas a entes territoriales y Fuerza Pública																</t>
  </si>
  <si>
    <t xml:space="preserve">Número de jornadas integrales de fortalecimiento y socialización de la oferta institucional realizadas en el periodo.									</t>
  </si>
  <si>
    <t>Registro consolidado de jornadas de fortalecimiento y socialización administrado por la Subdirección; reportes del Sistema de Información de Proyectos Institucionales (SIPI), cuando aplique.</t>
  </si>
  <si>
    <t>Listados de asistencia firmados; informes de ejecución de jornadas; reportes del registro de jornadas en el SIPI (cuando aplique); material de soporte (actas, memorandos de convocatoria y evidencias fotográficas).</t>
  </si>
  <si>
    <t>Semestral</t>
  </si>
  <si>
    <t>La meta esta programada para el II y IV trimestre, por lo anterior no se reporta el avance del indicador</t>
  </si>
  <si>
    <t>Durante el período evaluado se realizaron 72 mesas de apoyo y asistencia técnica, superando ampliamente la meta programada de 6 jornadas integrales establecida para el primer semestre de 2026, lo anterior representa un cumplimiento acumulado que ubica al cumplimiento del indicador en un nivel de desempeño sobresaliente, de acuerdo con los parámetros definidos en la ficha técnica.
La ejecución alcanzada evidencia una alta capacidad de respuesta institucional frente a los requerimientos de acompañamiento técnico formulados por entidades territoriales y organismos de la Fuerza Pública. Las actividades desarrolladas permitieron fortalecer las capacidades técnicas para la formulación, estructuración y radicación de proyectos en el Sistema de Información de Proyectos Institucionales (SIPI), así como ampliar el conocimiento sobre la oferta institucional del Ministerio del Interior en materia de seguridad y convivencia ciudadana.</t>
  </si>
  <si>
    <t>https://mininteriorgovco.sharepoint.com/:f:/r/sites/EvidenciasOAP/Documentos%20compartidos/Evidencias%20Indicadores%20de%20Proceso%202026/05.%20Gesti%C3%B3n%20para%20la%20Protecci%C3%B3n%20de%20los%20derechos/Subdirecci%C3%B3n%20de%20Proyectos%20para%20la%20Seguridad%20y%20la%20Convivencia%20Ciudadana/II%20Trimestre/Ind056?csf=1&amp;web=1&amp;e=16voMp</t>
  </si>
  <si>
    <t>Mide el porcentaje de proyectos evaluados frente al total de proyectos radicados en la Subdirección durante el periodo de referencia, con el fin de determinar el nivel de cumplimiento en la gestión de evaluación técnica. El objetivo del indicador es mantener el resultado dentro del rango meta definido (≥ 90%).</t>
  </si>
  <si>
    <t>Proyectos evaluados frente a proyectos radicados en la Subdirección de Proyectos para la Seguridad y la Convivencia Ciudadana.</t>
  </si>
  <si>
    <t xml:space="preserve">Número de proyectos evaluados / Número de proyectos radicados en la plataforma  * 100									</t>
  </si>
  <si>
    <t>no aplica</t>
  </si>
  <si>
    <t>Reporte consolidado del Sistema de Información de Proyectos Institucionales (SIPI) sobre proyectos radicados y evaluados en el periodo.</t>
  </si>
  <si>
    <t xml:space="preserve">Registros del SIPI sobre proyectos radicados y proyectos que se le hallan realizado evaluación.									</t>
  </si>
  <si>
    <t>La meta esta programada para el II y IV trimestre, por lo snterior no se reporta el avance del indicador</t>
  </si>
  <si>
    <t>Para el periodo de reporte el indicador presenta el siguiente comportamiento:
Fórmula:
(Número de proyectos evaluados / Número de proyectos radicados) × 100
Cálculo:
(265 / 273) × 100 = 97,07 %
Con un resultado de 97,07 %, el indicador presenta un desempeño superior a la meta establecida, evidenciando la eficacia del proceso de evaluación de proyectos desarrollado por la Subdirección de Proyectos para la Seguridad y la Convivencia Ciudadana. El comportamiento registrado refleja una adecuada capacidad de gestión, seguimiento y control, permitiendo atender de manera oportuna la mayor parte de los proyectos radicados durante el período. No obstante, se recomienda continuar fortaleciendo los mecanismos de monitoreo y control de los proyectos pendientes, con el propósito de optimizar los tiempos de respuesta y consolidar un desempeño sostenido en futuras mediciones.</t>
  </si>
  <si>
    <t>https://mininteriorgovco.sharepoint.com/:f:/r/sites/EvidenciasOAP/Documentos%20compartidos/Evidencias%20Indicadores%20de%20Proceso%202026/05.%20Gesti%C3%B3n%20para%20la%20Protecci%C3%B3n%20de%20los%20derechos/Subdirecci%C3%B3n%20de%20Proyectos%20para%20la%20Seguridad%20y%20la%20Convivencia%20Ciudadana/II%20Trimestre/Ind057?csf=1&amp;web=1&amp;e=yrJdsS</t>
  </si>
  <si>
    <t>Administrar y satisfacer las necesidades de bienes, servicios e impactos y aspectos ambientales que permitan la continuidad de la operación y funcionamiento de la entidad en cumplimiento de la normatividad vigente.</t>
  </si>
  <si>
    <t>diana.olmos@mininterior.gov.co</t>
  </si>
  <si>
    <t>Hacer seguimiento a la ejecución del presupuesto asignado para atender las necesidades de funcionamiento del Ministerio del Interior, dicha ejecución debe ir en aumento durante la vigencia.</t>
  </si>
  <si>
    <t xml:space="preserve">Ejecución presupuestal apropiada para el funcionamiento </t>
  </si>
  <si>
    <t>(Total presupuesto ejecutado en el periodo (Comprometido)/Total de presupuesto asignado) * 100</t>
  </si>
  <si>
    <t>Sistema Integrado de Información Financiera SIIF</t>
  </si>
  <si>
    <t>Reporte de ejecución SIIF</t>
  </si>
  <si>
    <t>El porcentaje de ejecución de los recursos de funcionamiento ejecutado, fue superior al establecido en la meta para el primer trimestre, debido a que por la ley de garantías se suscribieron nuevos contratos en el mes de enero de 2026, con el fin de garantizar la atención de las necesidades de funcionamiento en las sedes del Ministerio.</t>
  </si>
  <si>
    <t>La ley de garantías conlleva a que varios contratos se suscriban antes de lo previsto con relación a otras vigencias.</t>
  </si>
  <si>
    <t xml:space="preserve">El porcentaje de ejecución de los recursos de funcionamiento ejecutado con corte al segundo trimestre es del 61%, fue superior al establecido en la meta desde el primer trimestre, debido a que por la ley de garantías se suscribieron nuevos contratos en el mes de enero de 2026, con el fin de garantizar la atención de las necesidades de funcionamiento en las sedes del Ministerio. </t>
  </si>
  <si>
    <t xml:space="preserve">Hacer seguimiento a las tomas física realizadas anualmente a los bienes de las 27 dependencias del Ministerio del Interior, con el objeto de conservar el inventario de la entidad, el numero de tomas físicas debe aumentar en durante la vigencia.  </t>
  </si>
  <si>
    <t xml:space="preserve">Tomas físicas realizadas anualmente a las dependencias del Ministerio del Interior </t>
  </si>
  <si>
    <t>Sumatoria de tomas físicas realizadas por dependencia</t>
  </si>
  <si>
    <t xml:space="preserve">Formato Informe Toma Física </t>
  </si>
  <si>
    <t>Actividad programada a parir del segundo trimestre de 2026</t>
  </si>
  <si>
    <t>Durante el segundo trimestre de 2026 se realizaron diez (10) tomas físicas de inventario a dependencias del Ministerio del Interior, alcanzando un cumplimiento del 100% de la meta programada para el trimestre (10 tomas físicas). Las actividades desarrolladas permitieron verificar la existencia física de los bienes, su estado y la concordancia con los registros del sistema de inventarios, contribuyendo al fortalecimiento del control y seguimiento de los bienes asignados a las dependencias intervenidas.</t>
  </si>
  <si>
    <t>Durante la ejecución de las tomas físicas de inventario se presentaron algunas situaciones operativas propias del proceso, principalmente relacionadas con la disponibilidad de algunos servidores públicos al momento de realizar la verificación física de los bienes bajo su responsabilidad, lo que dificultó en ciertos casos la validación inmediata y la suscripción de los inventarios correspondientes. No obstante, estas situaciones fueron atendidas mediante la coordinación con los funcionarios y las dependencias involucradas, permitiendo completar las verificaciones y obtener las firmas requeridas. En consecuencia, se ejecutaron las diez (10) tomas físicas programadas para el segundo trimestre de 2026, cumpliendo en su totalidad la meta establecida, sin que se presentaran novedades que afectaran el desarrollo del proceso o el logro del indicador.</t>
  </si>
  <si>
    <t>Asegurar la oportunidad y calidad de los registros de las operaciones financieras cumpliendo la normatividad vigente con el fin de generar estados financieros razonables para la toma de decisiones</t>
  </si>
  <si>
    <t xml:space="preserve">Hacer segmento a los pagos realizados con base en las solicitudes y el cumplimiento de requisitos por parte de las dependencias del Ministerio; el porcentaje de pagos debe aumentar durante la vigencia. </t>
  </si>
  <si>
    <t>Pagos realizados de las obligaciones de ministerio del interior</t>
  </si>
  <si>
    <t>(Número de pagos oportunos realizados/Número Total de solicitudes de pagos radicados)*100</t>
  </si>
  <si>
    <t>Listado ordenes de pago</t>
  </si>
  <si>
    <t>Desde la Subdirección Administrativa y Financiera - Grupo de Gestión Financiera y Contable, se realizaron 4.510 pagos que corresponden a radicaciones de las áreas, por valor de $46.679.333.484,52; que corresponden al 100% de los pagos solicitados y aprobados.
Dando así un cumplimiento al 100% correspondiente al primer trimestre de la vigencia 2026, con el siguiente detalle:
Reservas: 254 por valor de $ 14.673.919.692.425,00
Enero: 21 por valor de $2.988.505.569,25
Febrero: 605 por valor de $7.979.091.062,16
Marzo: 3884 por valor de $35.711.736.853,11</t>
  </si>
  <si>
    <t>Desde la Subdirección Administrativa y Financiera - Grupo de Gestión Financiera y Contable, se realizaron 8.012 pagos que corresponden a radicaciones de las áreas, por valor de $129.553.736.874; que corresponden al 100% de los pagos solicitados y aprobados.
Dando así un cumplimiento al 100% correspondiente al segundo trimestre de la vigencia 2026, con el siguiente detalle:
Abril: 2810 por valor de $38.773.540.263,43
Mayo: 2534 por valor de $53.008.270.240,75
Junio: 2668 por valor de $37.771.926.369,82</t>
  </si>
  <si>
    <t xml:space="preserve">Hacer seguimiento a la expedición de CDP y RP solicitados por las dependencias del Ministerio; el porcentaje de CDP y RP expedidas  debe aumentar durante la vigencia. </t>
  </si>
  <si>
    <t>CDP y RP expedidos por el Grupo de Gestión Financiera y Contable del Ministerio</t>
  </si>
  <si>
    <t>(Número de CDP y rp expedidos en el periodo/Número total de CDP y RP solicitados en el periodo)*100</t>
  </si>
  <si>
    <t>Consolidado cuentas radicadas y aprobadas</t>
  </si>
  <si>
    <t>Durante el I trimestre de la vigencia 2026, se da cumplimiento a la meta del 100% de las solicitudes recibidas en la Subdirección Administrativa y Financiera - Grupo de Gestión Financiera y Contable del Ministerio del interior gestionando 6.240 solicitudes detalladamente así:
Se expidieron los siguientes CDP:
Enero: 2.236 por valor de $888.950.972,505,48
Febrero: 86 por valor de $143.331.978.912,86
Marzo: 28 por valor de $103.845.392.566,95
Se expidieron los siguientes RP:
Enero: 2.088 por valor de $750.632.080.867,83
Febrero: 806 por valor de $13.453.577.805,00
Marzo: 996 por valor de $67.312.406.124,00</t>
  </si>
  <si>
    <t>El Grupo de Gestión Financiera y Contable de la SAF, en el segundo trimestre realizo seguimiento y control periódico mensual al PAA, en lo que respecta a su competencia, gestiono las solicitudes de ajuste al PAA, así como el cumplimiento de lo registrado en el mismo.
Así mismo atendió el 100% de las solicitudes de registro, adicion y reducción por parte de las dependencias. En  CDPs se atendieron 76 nuevos registros y RPs 5.116 registros.
También realizo 4.510 pagos correspondientes a radicaciones de las áreas, por valor de $46.679.333.484,52; que corresponden al 100% de los pagos solicitados y aprobados.
Adicionalmente recibió 5.397cuentas para trámite de revisión, aprobación y pago, de las cuales 4.443 fueron aprobadas y dieron continuidad al trámite de la cadena presupuestal, cumpliendo el 100% de la meta de la actividad.</t>
  </si>
  <si>
    <t>Hacer seguimiento al porcentaje de cuentas aprobadas en el Ministerio, esto permite evidenciar la gestión de la dependencia; el porcentaje debe aumentar durante la vigencia.</t>
  </si>
  <si>
    <t>Cuentas aprobadas por el Grupo de Gestión Financiera y Contable del Ministerio</t>
  </si>
  <si>
    <t>(Número de cuentas aprobadas/ Número total de cuentas radicadas)*100</t>
  </si>
  <si>
    <t>Información estadística consolidada por el Grupo de Gestión Financiera y Contable de Ministerio</t>
  </si>
  <si>
    <t>Desde la Subdirección Administrativa y Financiera - Grupo de Gestión Financiera y Contable, se recepcionaron 5.397 cuentas para trámite de revisión, aprobación y pago, y de las cuales 4.443 fueron aprobadas y dieron continuidad al trámite de la cadena presupuestal, dando así cumplimiento al 100% de la actividad.
Con el Siguiente detalle correspondiente al primer trimestre de la Vigencia 2026, así:
Enero: 1173
Febrero: 2567
Marzo: 1657
Presentando una diferencia entre cuentas radicadas y aprobadas de 954, lo que obedece a las devoluciones realizadas.
Por lo anterior desde la Subdirección Administrativa y Financiera - Grupo de Gestión Financiera y Contable, se mantiene el apoyo a los áreas, así como la constante comunicación con los enlaces a fin de disminuir el índice de error, que conlleva a estás devoluciones.</t>
  </si>
  <si>
    <t>Desde la Subdirección Administrativa y Financiera - Grupo de Gestión Financiera y Contable, se recepcionaron 8.059 cuentas para trámite de revisión, aprobación y pago, y de las cuales 8.012 fueron aprobadas y dieron continuidad al trámite de la cadena presupuestal, dando así cumplimientl al 100% de la actividad.
Con el Siguiente detalle correspondiente al primer trimestre de la Vigencia 2026, así:
Abril: 2522 +954 cuentas de meses anteriores radicadas corregidas.
Febrero: 2676
Marzo: 1907
Presentando una diferencia entre cuentas radicadas y aprobadas de 47, lo que obedece a las devoluciones realizadas.
Por lo anterior desde la Subdirección Administrativa y Financiera - Grupo de Gestión Financiera y Contable, se mantiene el apoyo a los áreas, así como la constante comunicación con los enlaces a fin de disminuir el índice de error, que conlleva a estás devoluciones.</t>
  </si>
  <si>
    <t>Realizar el proceso contractual, para la adquisición de Bienes y servicios que requiera el Ministerio del Interior para el ejercicio de sus funciones, en observancia de la normatividad vigente.</t>
  </si>
  <si>
    <t>lina.vacca@mininterior.gov.co</t>
  </si>
  <si>
    <t xml:space="preserve">El presente indicador medirá el cumplimiento de los reportes mensuales que se realiza mensualmente a la Contraloría Genetal de la Republica a través de la plataforma SIRECI, con el fin de verificar que se mantega dentro del rango que indica la Ley; adicionalmente la tendencia de dicho indicador es incremental acumulado. </t>
  </si>
  <si>
    <t xml:space="preserve">Certificaciones expedidas en el aplicativo Sistema de Rendición Electrónica de la Cuenta e Informes - SIRECI </t>
  </si>
  <si>
    <t>Sumatoria del número de certificaciones de informes reportados en SIRECI</t>
  </si>
  <si>
    <t>Sistema de Rendición de la Cuenta e Informes - SIRECI</t>
  </si>
  <si>
    <t>Certificaciones Sistema de Rendición Electrónica de la Cuenta e Informes - SIRECI expedidas</t>
  </si>
  <si>
    <t>Durante el primer trimestre del año 2026, la Subdirección de Gestión Contractual reportó mensualmente a la Contraloría General de la República, a través de la plataforma SIRECI, los contratos y/o convenios suscritos por el Ministerio del interior, reportes realizados durante los meses de enero, febrero y marzo de 2026.</t>
  </si>
  <si>
    <t>https://mininteriorgovco.sharepoint.com/:f:/r/sites/EvidenciasOAP/Documentos%20compartidos/Evidencias%20Indicadores%20de%20Proceso%202026/08.%20Gesti%C3%B3n%20de%20Bienes%20y%20Servicios/I%20Trimestre/Ind.063?csf=1&amp;web=1&amp;e=iJHRfv</t>
  </si>
  <si>
    <t>Según la Resolución orgánica 6289 DE 2011 de la CGR, el término establecido para la rendición corresponderá al décimo (10º) día hábil del mes inmediatamente siguiente del trimestre a rendir. Por tanto, para el reporte del mes de marzo en el aplicativo SIRECI, el Ministerio del Interior tiene plazo hasta el 16 de abril de 2026.</t>
  </si>
  <si>
    <t>Durante el segundo trimestre del año 2026, la Subdirección de Gestión Contractual reportó mensualmente a la Contraloría General de la República, a través de la plataforma SIRECI, los contratos y/o convenios suscritos por el Ministerio del interior, reportes realizados durante los meses de abril, mayo y junio de 2026.</t>
  </si>
  <si>
    <t>https://mininteriorgovco.sharepoint.com/:f:/r/sites/EvidenciasOAP/Documentos%20compartidos/Evidencias%20Indicadores%20de%20Proceso%202026/08.%20Gesti%C3%B3n%20de%20Bienes%20y%20Servicios/II%20Trimestre/Ind.%20063?csf=1&amp;web=1&amp;e=aVvhnw</t>
  </si>
  <si>
    <t>Según la Resolución orgánica 6289 DE 2011 de la CGR, el término establecido para la rendición corresponderá al décimo (10º) día hábil del mes inmediatamente siguiente del trimestre a rendir. Por tanto, para el reporte del mes de junio en el aplicativo SIRECI, el Ministerio del Interior tiene plazo hasta el 15 de julio de 2026.</t>
  </si>
  <si>
    <t xml:space="preserve">
El presente indicador medirá  las modificaciones del Plan Anual de Adquisiciones que revisa la Subdirección de Gestión Contractual las cuales deben coincidir con la cantidad de modificaciones adelantadas por la Entidad, lo anterior con el fin de garantizar que el Plan Anual de Adquisiciones tenga coherencia con la contratación de la entidad. La tendencia del presente indicador es mantenimiento. 
</t>
  </si>
  <si>
    <t xml:space="preserve">Modificaciones al Plan Anual de Adquisiciones revisadas por la Subdirección de Gestión Contractual </t>
  </si>
  <si>
    <t>(Número de modificaciones revisadas/modificaciones adelantadas)*100</t>
  </si>
  <si>
    <t xml:space="preserve">Constancia de verificación por la Subdirección </t>
  </si>
  <si>
    <t xml:space="preserve">Correos electronicos de trazabilidad de verificación </t>
  </si>
  <si>
    <t>Previo a la publicación de las diferentes versiones del Plan Anual de Adquisiciones, la Subdirección de Gestión Contractual realizó durante los meses de enero a marzo de 2026, la revisión de 6 modificaciones al PAA (V1 a V6).</t>
  </si>
  <si>
    <t>https://mininteriorgovco.sharepoint.com/:f:/r/sites/EvidenciasOAP/Documentos%20compartidos/Evidencias%20Indicadores%20de%20Proceso%202026/08.%20Gesti%C3%B3n%20de%20Bienes%20y%20Servicios/I%20Trimestre/Ind064?csf=1&amp;web=1&amp;e=epjCFi</t>
  </si>
  <si>
    <t>Previo a la publicación de las diferentes versiones del Plan Anual de Adquisiciones, la Subdirección de Gestión Contractual realizó durante los meses de abril a junio de 2026, la revisión de 5 modificaciones al PAA (V7 a V11).</t>
  </si>
  <si>
    <t>https://mininteriorgovco.sharepoint.com/:f:/r/sites/EvidenciasOAP/Documentos%20compartidos/Evidencias%20Indicadores%20de%20Proceso%202026/08.%20Gesti%C3%B3n%20de%20Bienes%20y%20Servicios/II%20Trimestre/Ind.%20064?csf=1&amp;web=1&amp;e=cFehla</t>
  </si>
  <si>
    <t xml:space="preserve">Mediante este indicador se identificará la cantidad de capacitaciones que realizó la Subdirección de Gestión Contractual a los supervisores del Ministerio del Interior, con el objetivo de mantener el rango y aportar al fortalecimiento de la supervisión. La tendencia de este indicador es incremental. 
</t>
  </si>
  <si>
    <t xml:space="preserve">Capacitaciones adelantadas a los Supervisores por la Subdirección de Gestión Contractual </t>
  </si>
  <si>
    <t>Sumatoria del número de capacitaciones realizadas a los supervisores de los contratos y/o convenios</t>
  </si>
  <si>
    <t>Lista de asistencia a capacitaciones</t>
  </si>
  <si>
    <t>Lista de asistencia de capacitaciones</t>
  </si>
  <si>
    <t>Durante los meses de enero a marzo de 2026, la Subdirección de Gestión Contractual realizó una (1) capacitación en temas relacionados con el seguimiento a la ejecución y liquidación de contratos/convenios.</t>
  </si>
  <si>
    <t>Para el avance cuantitativo, se ingresa la fórmula de cálculo indicada pero al parecer la celda está mal formulada para la unidad de medida</t>
  </si>
  <si>
    <t>Durante los meses de abril a junio de 2026, la Subdirección de Gestión Contractual realizó una (1) capacitación a supervisores y demás colaboradores, sobre el proceso sancionatorio contractual para el fortalecimiento de la supervisón.</t>
  </si>
  <si>
    <t>https://mininteriorgovco.sharepoint.com/:f:/r/sites/EvidenciasOAP/Documentos%20compartidos/Evidencias%20Indicadores%20de%20Proceso%202026/08.%20Gesti%C3%B3n%20de%20Bienes%20y%20Servicios/II%20Trimestre/Ind.%20065?csf=1&amp;web=1&amp;e=6ftahh</t>
  </si>
  <si>
    <t>Para el avance cuantitativo, la fórmula de cálculo es sumatoria y no porcentual, pero al parecer la celda está mal formulada.</t>
  </si>
  <si>
    <t xml:space="preserve">
Verificar que los contratos y/o convenios suscritos tengan coherencia del Plan Anual de Adquisiones (PAA) con el objetivo de cumplir con el prinicipio de planeación y mantener la misma cantidad de procesos publicados y verificados con el PAA. La tendencia del presente indicador es de mantenimiento
</t>
  </si>
  <si>
    <t xml:space="preserve">Contratos y/o convenios publicados por la Subdirección de Gestión Contractual  en la plataforma establecida por  "Colombia Compra Eficiente" </t>
  </si>
  <si>
    <t>(Sumatoria de contratos y/o convenios revisados / Sumatoria de contratos y/o convenios publicados)*100</t>
  </si>
  <si>
    <t>Plataforma establecida por "Colombia Compra Eficiente"</t>
  </si>
  <si>
    <t xml:space="preserve">Base de datos de contratación de la Subdirección de Gestión Contractual con relacion de link de publicación en la plataforma </t>
  </si>
  <si>
    <t>Previa la publicación de cada uno de los procesos de contratación, la subdirección de gestión contractual realizó la verificación de la coherencia de los 1542 procesos de contratación celebrados en el primer trimestre de 2026 con el PAA. En enero se suscribieron 1541 contratos y en marzo se celebró 1 contrato, para un total de 1542.</t>
  </si>
  <si>
    <t>https://mininteriorgovco.sharepoint.com/:f:/r/sites/EvidenciasOAP/Documentos%20compartidos/Evidencias%20Indicadores%20de%20Proceso%202026/08.%20Gesti%C3%B3n%20de%20Bienes%20y%20Servicios/I%20Trimestre/Ind066?csf=1&amp;web=1&amp;e=17a4rG</t>
  </si>
  <si>
    <t>Previa la publicación de cada uno de los procesos de contratación, la subdirección de gestión contractual realizó la verificación de la coherencia de los 6 procesos de contratación celebrados en el segundo trimestre de 2026 con el PAA. En abril se suscribió 1 contrato, en mayo 1 y en junio 4 contratos, para un total de 6.</t>
  </si>
  <si>
    <t>https://mininteriorgovco.sharepoint.com/:f:/r/sites/EvidenciasOAP/Documentos%20compartidos/Evidencias%20Indicadores%20de%20Proceso%202026/08.%20Gesti%C3%B3n%20de%20Bienes%20y%20Servicios/II%20Trimestre/Ind.%20066?csf=1&amp;web=1&amp;e=uy9IMV</t>
  </si>
  <si>
    <t>Representar a la Nación - Ministerio del Interior en los procesos judiciales y extrajudiciales en los que haga parte y asesorar en la expedición de actos administrativos y emisión de conceptos que sean de su competencia, para la salvaguarda de sus intereses.</t>
  </si>
  <si>
    <t>juan.duran@mininterior.gov.co.</t>
  </si>
  <si>
    <t>Ejercer la representación judicial en los procesos en los que  el Ministerio del Interior sea convocado.</t>
  </si>
  <si>
    <t>Audiencias judiciales atendidas en los procesos en los que el Ministerio del Interior sea convocado.</t>
  </si>
  <si>
    <t xml:space="preserve">(Número de audiencias atendidas/número de audiencias judiciales programadas)*100								</t>
  </si>
  <si>
    <t>Base de datos de registro y control de audiencias judiciales</t>
  </si>
  <si>
    <t>Durante el segundo trimestre de 2026, se atendieron 76 audiencias judiciales programadas así: 43 en abril, 5 en mayo y 28  en junio.</t>
  </si>
  <si>
    <t>https://mininteriorgovco.sharepoint.com/:f:/r/sites/EvidenciasOAP/Documentos%20compartidos/Evidencias%20Indicadores%20de%20Proceso%202026/09.%20Gesti%C3%B3n%20Jur%C3%ADdica/II%20Trimestre/Ind067?csf=1&amp;web=1&amp;e=CtzmpS</t>
  </si>
  <si>
    <t>Atender las conciliaciones extrajudiciales convocadas por la Procuraduría General de la Nación</t>
  </si>
  <si>
    <t xml:space="preserve">Conciliaciones extrajudiciales atendidas								</t>
  </si>
  <si>
    <t xml:space="preserve">(número de conciliaciones extrajudiciales atendidas/número de conciliaciones extrajudiciales convocadas por la Procuraduría General de la Nación)*100							</t>
  </si>
  <si>
    <t>Base de datos registro y control de conciliaciones extrajudiciales</t>
  </si>
  <si>
    <t>Durante el segundo trimestre de 2026, se atendieron 70 audiencias extrajudiciales programadas así: 10 en abril, 17 en mayo y 43  en junio.</t>
  </si>
  <si>
    <t>https://mininteriorgovco.sharepoint.com/:f:/r/sites/EvidenciasOAP/Documentos%20compartidos/Evidencias%20Indicadores%20de%20Proceso%202026/09.%20Gesti%C3%B3n%20Jur%C3%ADdica/II%20Trimestre/Ind068?csf=1&amp;web=1&amp;e=G4ddAt</t>
  </si>
  <si>
    <t>Realizar el estudio jurídico y administrativo de las solicitudes de pago de sentencias, conciliaciones y laudos arbitrales.</t>
  </si>
  <si>
    <t xml:space="preserve">Expedientes de solicitudes de pago de sentencias revisados									</t>
  </si>
  <si>
    <t xml:space="preserve">(Número de expedientes con verificación de requisitos/número de expedientes asignados)*100								</t>
  </si>
  <si>
    <t>Base de datos de pagos de sentencias</t>
  </si>
  <si>
    <t>Durante el primer trimestre se recibieron 8 solicitudes de pago de las cuales se realizó verificación de cumplimiento de requisitos a 7 expedientes.</t>
  </si>
  <si>
    <t>https://mininteriorgovco.sharepoint.com/:f:/r/sites/EvidenciasOAP/Documentos%20compartidos/Evidencias%20Indicadores%20de%20Proceso%202026/09.%20Gesti%C3%B3n%20Jur%C3%ADdica/I%20Trimestre/Ind069?csf=1&amp;web=1&amp;e=MmrmFL</t>
  </si>
  <si>
    <t>Durante el segundo trimestre se realizó la revisión de 5 solicitudes de pago así: 3 se encuentran en trámite de pago conforme a la expedición de las Resoluciones 867, 869 y 1000 y 2 solicitudes de pago en turno en turno.</t>
  </si>
  <si>
    <t>https://mininteriorgovco.sharepoint.com/:f:/r/sites/EvidenciasOAP/Documentos%20compartidos/Evidencias%20Indicadores%20de%20Proceso%202026/09.%20Gesti%C3%B3n%20Jur%C3%ADdica/II%20Trimestre/Ind069?csf=1&amp;web=1&amp;e=AYztW7</t>
  </si>
  <si>
    <t xml:space="preserve">Garantizar el nivel de gestión frente a los proyectos de actos administrativos que le sean requeridos a la Dirección Jurídica para elaboración y revisión.									</t>
  </si>
  <si>
    <t>Proyectos de actos administrativos gestionados en el marco de las funciones a cargo de la Dirección Jurídica.</t>
  </si>
  <si>
    <t>(Número de  proyectos de actos administrativos elaborados y revisados / Total de proyectos de actos administrativos requeridos)*100</t>
  </si>
  <si>
    <t>Matriz de asignación y atención de proyectos de actos administrativos requeridos a la Dirección Jurídica</t>
  </si>
  <si>
    <t>La Dirección Jurídica elaboró 139 actos administrativos de los 137 solicitados durante el primer trimestre de 2026. La diferencia entre los actos administrativos elaborados y recibidos, corresponde a 2 solicitudes que fueron recibidas  el 31 de diciembre de 2025.</t>
  </si>
  <si>
    <t>https://mininteriorgovco.sharepoint.com/:f:/r/sites/EvidenciasOAP/Documentos%20compartidos/Evidencias%20Indicadores%20de%20Proceso%202026/09.%20Gesti%C3%B3n%20Jur%C3%ADdica/I%20Trimestre/Ind070?csf=1&amp;web=1&amp;e=QBTDUk</t>
  </si>
  <si>
    <t>La Dirección Jurídica elaboró 159 actos administrativos de los 159 solicitados durante el segundo trimestre de 2026</t>
  </si>
  <si>
    <t>https://mininteriorgovco.sharepoint.com/:x:/r/sites/EvidenciasOAP/Documentos%20compartidos/Evidencias%20Indicadores%20de%20Proceso%202026/09.%20Gesti%C3%B3n%20Jur%C3%ADdica/II%20Trimestre/Ind070/Ind070_IISemestre_Matriz_Actuaciones_Administrativas.xlsm?d=wc11c0487cb6b4c78afb2a1285bc73a13&amp;csf=1&amp;web=1&amp;e=PpMJkX</t>
  </si>
  <si>
    <t>Brindar respuesta a los informes que le sean requeridos a la Dirección Jurídica en el marco de sus funciones.</t>
  </si>
  <si>
    <t>Informes enviados a los clientes internos y externos conforme a las funciones de la Dirección Jurídica</t>
  </si>
  <si>
    <t>(Número de informes enviados a los clientes internos y externos / Total de informes solicitados por los clientes internos y externos )*100</t>
  </si>
  <si>
    <t>Reporte sistema Control Doc</t>
  </si>
  <si>
    <t>Durante el primer trimestre la Dirección Jurídica envió 11 informes a clientes externos de los 11 que fueron solicitados en el periodo objeto de reporte.</t>
  </si>
  <si>
    <t>https://mininteriorgovco.sharepoint.com/:f:/r/sites/EvidenciasOAP/Documentos%20compartidos/Evidencias%20Indicadores%20de%20Proceso%202026/09.%20Gesti%C3%B3n%20Jur%C3%ADdica/I%20Trimestre/Ind071?csf=1&amp;web=1&amp;e=GdT28t</t>
  </si>
  <si>
    <t>Durante el segundo trimestre la Dirección Jurídica atendió el informe ministerial de gestión</t>
  </si>
  <si>
    <t>https://mininteriorgovco.sharepoint.com/sites/EvidenciasOAP/Documentos%20compartidos/Forms/AllItems.aspx?id=%2Fsites%2FEvidenciasOAP%2FDocumentos%20compartidos%2FEvidencias%20Indicadores%20de%20Proceso%202026%2F09%2E%20Gesti%C3%B3n%20Jur%C3%ADdica%2FII%20Trimestre%2FInd071&amp;viewid=f06b705c%2D1d5c%2D4fc5%2Db2b2%2D6247424e1781&amp;csf=1&amp;CT=1783720794664&amp;OR=OWA%2DNT%2DMail&amp;CID=fd79497e%2D18e1%2D30e0%2D4bf3%2Dcd98f5082a52&amp;SI=NonSentItems&amp;SLSync=F&amp;cidOR=Client&amp;FolderCTID=0x01200071BA4BEEC5A4884E88FD3CFB2470F298</t>
  </si>
  <si>
    <t>Brindar atención y asistencia primaria acorde a cada canal de atención (Presencial - direccionamiento de las solicitudes de acuerdo con el portafolio institucional, a la ventanilla de correspondencia. Virtual-manteniendo el portafolio actualizado para ser publicado en la web. Telefónico-direccionando las llamadas de la ciudadanía a la dependencia competente y atendiendo las solicitudes de información general) y hacer seguimiento al ciclo de las peticiones de la ciudadanía o grupos de valor de acuerdo con las disposiciones legales vigentes.</t>
  </si>
  <si>
    <t xml:space="preserve">Este indicador mide los tiempos de respuesta de las PQRSDF mediante la data que arroja el sistema donde se gestionan, acorde con la tipología PQRSDF. Calcula si fue respondido o no, dentro o fuera de los tiempos de ley,asi mismo evalua la gestión frente a la respuesta institucional de todo el ministerio del interior, segregado por dependencias.Su orientación es aumentar.
Nota Aclaratoria: El grupo de Servicio al Ciudadano (OIP) solo se encarga de la medición y la presentación de los datos; las acciones correctivas -de llegarse a necesitarse- están a cargo de cada una de las dependencias de acuerdo con la normatividad vigente en la materia. "									</t>
  </si>
  <si>
    <t xml:space="preserve">PQRSDF ATENDIDAS DENTRO DE LOS TERMINOS DE LEY											</t>
  </si>
  <si>
    <t xml:space="preserve">(Número de PQRSDF respondidas dentro de tiempo / Total de PQRSDF recibidas en el periodo de tiempo)*100									</t>
  </si>
  <si>
    <t xml:space="preserve">Sistemas de información donde se gestionen las PQRSDF									</t>
  </si>
  <si>
    <t xml:space="preserve">Reporte donde se evidencia los tiempos de respuesta y gestión de las PQRSDF extraido del Sistema de Gestión de Archivos electronicos SGDEA, con la  respectiva formulación que evidencie el porcentaje (%) obtenido.									</t>
  </si>
  <si>
    <t>El indicador de oportunidad en la respuesta de PQRSDF se calcula mediante la fórmula: (Número de PQRSDF respondidas dentro de tiempo / Total de PQRSDF recibidas en el periodo) × 100. Para el primer trimestre de 2026, el cálculo se realizó con 9.191 PQRSDF respondidas dentro de los términos establecidos, de un total de 21.884 PQRSDF recibidas, lo que da como resultado: (9.191 / 21.884) × 100 = 42%.
Este resultado evidencia un cumplimiento del 42%, el cual supera la meta institucional establecida para el periodo,</t>
  </si>
  <si>
    <t>https://mininteriorgovco.sharepoint.com/: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t>
  </si>
  <si>
    <t>El bajo desempeño en el indicador de oportunidad en la respuesta de PQRSDF se explica principalmente por la alta demanda sostenida de solicitudes (21.884), que genera presión sobre la capacidad operativa institucional. A esto se suma una capacidad limitada frente al volumen de trabajo, así como la dependencia de procesos manuales que afectan la eficiencia y los tiempos de respuesta.
Adicionalmente, se evidencian diferencias de desempeño entre dependencias, debilidades en el seguimiento oportuno de los casos, inconsistencias en la clasificación de las PQRSDF y limitaciones en la articulación interinstitucional. También se identifican rezagos acumulados de periodos anteriores, lo que incrementa la carga operativa del periodo actual y afecta el cumplimiento de los términos legales.</t>
  </si>
  <si>
    <t>El indicador de oportunidad en la respuesta de PQRSDF se calcula mediante la fórmula: (Número de PQRSDF respondidas dentro de tiempo / Total de PQRSDF recibidas en el periodo) × 100. Para el segundo trimestre de 2026, el cálculo se realizó con 7.853 PQRSDF respondidas dentro de los términos establecidos, de un total de 16.509 PQRSDF recibidas, lo que da como resultado: 7.853 / 16.509 × 100 = 48%.
Este resultado evidencia un cumplimiento del 48%, reflejando un incremento de 6 puntos porcentuales frente al primer trimestre, como resultado de las acciones implementadas para fortalecer el seguimiento a la gestión de las PQRSDF, reducir el rezago de solicitudes pendientes y mejorar el monitoreo de los tiempos de respuesta por parte de las dependencias responsables.</t>
  </si>
  <si>
    <t>Aunque el indicador presentó una mejora frente al trimestre anterior, el cumplimiento continúa viéndose afectado por el alto volumen de PQRSDF recibidas y por la existencia de solicitudes acumuladas de periodos anteriores, que incrementan la carga operativa de las dependencias responsables. Adicionalmente, persisten oportunidades de mejora en la oportunidad de respuesta entre algunas áreas, en el seguimiento permanente de los casos y en la optimización de los procesos asociados a la gestión de las PQRSDF, aspectos que continúan impactando el cumplimiento de los términos establecidos.</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</si>
  <si>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</si>
  <si>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 xml:space="preserve">Gestionar el cumplimiento de las directrices de Gobierno Digital, integrando principios de transparencia, accesibilidad y colaboración. Su medición permite verificar el avance y la consistencia de la entidad en la implementación de la Política de Gobierno Digital. El indicador está orientado a mantener, asegurando la continuidad y estabilidad de las acciones gestionadas en cada periodo.									</t>
  </si>
  <si>
    <t xml:space="preserve">Acciones de políticas de Gobierno Digital gestionadas									</t>
  </si>
  <si>
    <t xml:space="preserve">(Solicitudes de publicación en la sede electrónica atendidas / Solicitudes de publicación en la sede electrónica recibidas)*100									</t>
  </si>
  <si>
    <t>Solicitudes de cargue de la Sede Electrónica.</t>
  </si>
  <si>
    <t>Informe solicitudes sede electrónica atendidas</t>
  </si>
  <si>
    <t>El Grupo de Sistemas de la OIP, en cumplimiento de la Política de Gobierno Digital, realiza la actualización permanente del contenido de la sede electrónica del Ministerio del Interior. En este sentido, durante el primer trimestre reportó el indicador con base en la relación de 125 solicitudes publicadas en la sede electrónica, sobre el total de solicitudes recibidas, multiplicado por cien.</t>
  </si>
  <si>
    <t>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073?csf=1&amp;web=1&amp;e=wOScCA</t>
  </si>
  <si>
    <t>En el marco del cumplimiento de la Política de Gobierno Digital, el Grupo de Sistemas de la Oficina de Información Pública (OIP) llevó a cabo la actualización continua de los contenidos de la sede electrónica del Ministerio del Interior. Para el II trimestre, el indicador se calculó con base en la publicación de 153 solicitudes en la sede electrónica, en relación con el total de solicitudes recibidas durante el periodo, multiplicado por cien.</t>
  </si>
  <si>
    <t>https://mininteriorgovco-my.sharepoint.com/:b:/r/personal/yitcy_becerra_mininterior_gov_co/Documents/Planeaci%C3%B3n%20OIP%202026/04.%20Planeaci%C3%B3n%20Estrat%C3%A9gica/07.%20INDICADORES%20PROCESO%202026/INDICADORES%20PROCESO%202%20TRIMESTRE/GESTION%20TECNOLOGICA/Ind073/Ind073%20-%20Informe%20Publicaciones%20Sede%20Electr%C3%B3nica%20Abril%20-%20Junio.pdf?csf=1&amp;web=1&amp;e=dNtphv</t>
  </si>
  <si>
    <t>Garantizar y mantener en óptimas condiciones de funcionamiento la infraestructura tecnológica del Ministerio, incluyendo hardware, software, red LAN, seguridad informática, procesamiento, almacenamiento y bases de datos. Es importante medirlo porque permite asegurar la continuidad operativa, minimizar fallas y garantizar la disponibilidad de los servicios tecnológicos. El indicador está orientado a mantener, garantizando la estabilidad y desempeño adecuado de la infraestructura.</t>
  </si>
  <si>
    <t>Índice de capacidad en la prestación de servicios</t>
  </si>
  <si>
    <t>(Solicitudes de servicio de soporte técnico resueltas / Servicios de servicio técnico recibidas) * 100</t>
  </si>
  <si>
    <t>Solicitudes de servicio de soporte técnico resueltas.</t>
  </si>
  <si>
    <t>Reportes Mesa de Ayuda</t>
  </si>
  <si>
    <t>Durante el primer trimestre de 2026 se recibieron 2.528 solicitudes de soporte técnico, las cuales fueron atendidas y cerradas en su totalidad, alcanzando un cumplimiento del 100% en el indicador.
La gestión incluyó soporte a usuarios y a la infraestructura tecnológica (servidores y bases de datos). La distribución mensual evidenció una mayor concentración en febrero (1.391 solicitudes), seguido de enero (671) y marzo (466), manteniéndose la capacidad de respuesta frente al volumen total de requerimientos.</t>
  </si>
  <si>
    <t>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074?csf=1&amp;web=1&amp;e=dmTP79</t>
  </si>
  <si>
    <t>Durante el II trimestre de 2026 se gestionaron 1.222 solicitudes de soporte técnico, las cuales fueron atendidas y cerradas en su totalidad, alcanzando un 100 % de cumplimiento del indicador establecido.
La atención incluyó requerimientos relacionados con el soporte a usuarios, así como con la administración, operación y mantenimiento de la infraestructura tecnológica, comprendiendo servidores, bases de datos y demás componentes que soportan la prestación de los servicios tecnológicos institucionales.
En cuanto al comportamiento mensual, abril registró el mayor volumen de solicitudes con 427 requerimientos, seguido de junio con 416 y mayo con 379. Estos resultados evidencian la capacidad del Grupo de Sistemas de la Oficina de Información Pública para brindar una atención oportuna y efectiva, garantizando el cierre del 100 % de los casos registrados durante el período evaluado.</t>
  </si>
  <si>
    <t>https://mininteriorgovco-my.sharepoint.com/:f:/r/personal/yitcy_becerra_mininterior_gov_co/Documents/Planeaci%C3%B3n%20OIP%202026/04.%20Planeaci%C3%B3n%20Estrat%C3%A9gica/07.%20INDICADORES%20PROCESO%202026/INDICADORES%20PROCESO%202%20TRIMESTRE/GESTION%20TECNOLOGICA/Ind074?csf=1&amp;web=1&amp;e=gZzQor</t>
  </si>
  <si>
    <t>Asegurar la continuidad de los servicios de conectividad y colocación del Ministerio. Es importante medirlo porque permite garantizar la disponibilidad de los servicios tecnológicos, evitar interrupciones y asegurar la operación institucional. El indicador está orientado a mantener, asegurando niveles óptimos y estables de servicio.</t>
  </si>
  <si>
    <t>Servicios de Conectividad y Colocación contratados en el Ministerio del Interior.</t>
  </si>
  <si>
    <t xml:space="preserve">(Número de servicio de conectividad y colocación contratados/Número de servicio de conectividad y colocación requerido)*100									</t>
  </si>
  <si>
    <t>Contratos vigentes de Conectividad y Colocación.</t>
  </si>
  <si>
    <t>Contratos de servicio tecnológico</t>
  </si>
  <si>
    <t>Dado que se garantizó la disponibilidad del servicio de conectividad y soporte mediante contratos vigentes, se asegura la atención de la totalidad de los requerimientos recibidos durante el periodo, lo que permite inferir un cumplimiento del 100% del indicador, en la medida en que las solicitudes fueron atendidas conforme a la capacidad operativa.</t>
  </si>
  <si>
    <t>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075?csf=1&amp;web=1&amp;e=HE0imH</t>
  </si>
  <si>
    <t xml:space="preserve">Identificar y mitigar los riesgos de seguridad informática, como virus, troyanos, gusanos y demás tipos de malware reportados por Kaspersky Endpoint Security en los equipos de usuario final del Ministerio del Interior. Es importante medirlo porque permite evaluar la capacidad de respuesta frente a amenazas y garantizar la protección de la información institucional. El indicador está orientado a mantener, asegurando un nivel estable y continuo de gestión y control de los incidentes de malware.									</t>
  </si>
  <si>
    <t>Cantidad de incidentes de seguridad gestionados</t>
  </si>
  <si>
    <t xml:space="preserve">(Número de amenazas de seguridad controladas / Número de amenazas de seguridad identificadas por la herramienta)*100									</t>
  </si>
  <si>
    <t xml:space="preserve">Reporte de seguridad del antivirus Kaspersky									</t>
  </si>
  <si>
    <t>Reporte de seguridad del antivirus Kaspersky</t>
  </si>
  <si>
    <t>Durante el primer trimestre de 2026, el Grupo de Sistemas de la OIP, mediante la herramienta antivirus Kaspersky, identificó un total de 95 amenazas de seguridad en los equipos informáticos de los usuarios finales. De estas, se logró aplicar control efectivo sobre el 95% de las amenazas detectadas, evidenciando la mitigación de la mayoría de los eventos de seguridad identificados durante el periodo evaluado.
De acuerdo con la fórmula del indicador (Número de amenazas de seguridad controladas / Número de amenazas de seguridad identificadas por la herramienta) * 100, el resultado alcanzado fue del 95%, lo que refleja un alto nivel de efectividad en la gestión de amenazas,</t>
  </si>
  <si>
    <t>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076?csf=1&amp;web=1&amp;e=17VdCX</t>
  </si>
  <si>
    <t xml:space="preserve">Administrar eficiente y eficazmente la información producida y/o recibida en el marco de las funciones del Ministerio del Interior para asegurar la oportuna toma de decisiones, gestión de la administración y facilitar el acceso a la información de las partes interesadas. </t>
  </si>
  <si>
    <t>Hacer seguimiento a la implementación de los procesos, instrumentos y técnicas archivísticas en el Ministerio del interior, el número debe aumentar durante la vigencia.</t>
  </si>
  <si>
    <t xml:space="preserve">Instrumentos archivísticos implementados en el Ministerio </t>
  </si>
  <si>
    <t>Sumatoria de instrumentos archivísticos implementados</t>
  </si>
  <si>
    <t>Información estadística consolidada por el Grupo de Conservación Documenta del Ministerio</t>
  </si>
  <si>
    <t>Documentos de procesos, instrumentos y técnicas archivísticas implementadas.</t>
  </si>
  <si>
    <t>Durante el trimestre se adelantaron acciones orientadas a la implementación de instrumentos archivísticos en el Ministerio del Interior, en el marco del fortalecimiento de la gestión documental. Como resultado, se elaboraron e implementaron dos instrumentos archivísticos, aprobados el 30 de enero de 2026 en el Comité correspondiente. Así mismo, se realizó seguimiento a dichos instrumentos archivísticos. Estos avances contribuyen al cumplimiento del indicador y al fortalecimiento de la gestión documental en la entidad.</t>
  </si>
  <si>
    <t>Durante el segundo trimestre de la vigencia 2026 se dio continuidad a la implementación de los instrumentos archivísticos institucionales mediante la aplicación del Formato Único de Inventario Documental (FUID) y el seguimiento a la implementación de las Tablas de Retención Documental (TRD). Así mismo, se realizó seguimiento al Plan Institucional de Archivos (PINAR) y al Programa de Gestión Documental (PGD), implementados durante el primer trimestre, verificando su aplicación y fortaleciendo las acciones orientadas a la adecuada gestión documental en el Ministerio del Interior.</t>
  </si>
  <si>
    <t>Hacer seguimiento a las transferencias documentales realizadas por las dependencias del Ministerio, conforme al plan del grupo de Conservación Documental durante la vigencia.</t>
  </si>
  <si>
    <t xml:space="preserve">Documentos transferidos del archivo de gestión al archivo central </t>
  </si>
  <si>
    <t>(sumatoria de transferencias verificadas / sumatoria de transferencias recibidas)*100</t>
  </si>
  <si>
    <t>Reporte de cumplimiento del plan de transferencias documentales</t>
  </si>
  <si>
    <t>Actividad programada para el cuarto trimestre de 2026</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</si>
  <si>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</si>
  <si>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jaime.garcian@mininterior.gov.co</t>
  </si>
  <si>
    <t>Porcentaje de procesos y/o actuaciones disciplinarias adelantadas, que permite saber si el área disciplinaria está respondiendo al volumen de casos que recibe, garantizando la transparencia, eficiencia y mejora continua; este indicador es de mantenimiento</t>
  </si>
  <si>
    <t>Quejas, Informes o Expedientes Disciplinarios tramitados</t>
  </si>
  <si>
    <t>(Número de quejas o informes tramitados / Número de quejas o informes recibidos) *100</t>
  </si>
  <si>
    <t>Cuadro de Procesos</t>
  </si>
  <si>
    <t>Cuadro de Procesos en formato excel - Nota Aclaratoria: Por la reserva consagrada en la Ley 2952-2019 no se remite</t>
  </si>
  <si>
    <t>Se adelantaron 71 procesos de 71 allegados, discriminados así: En el mes de enero se tramitaron 16 procesos y/o actuaciones disciplinarias de 16 procesos recibidos En el mes de febrero se tramitaron 22 proceso y/o actuación disciplinaria y se recibieron 22 proceso. En marzo se tramitaron 33 procesos de 33 procesos recibidos.</t>
  </si>
  <si>
    <t xml:space="preserve">Carpetas físicas ubicadas en la Oficina de Control Disciplinario Interno, lo anterior porque esta información es de reverva, pues contiene información confidencial </t>
  </si>
  <si>
    <t>Durante el II Trimestre de 2026 se tramitaron 82 procesos y/o actuaciones disciplinarias de 82 procesos y/o actuaciones disciplinarias recibidos, para un cumplimiento del 100%. En el mes de abril se tramitaron 25 procesos y/o actuaciones disciplinarias de 25 procesos  recibidos; en el mes de mayo se tramitaron 30 procesos y/o actuaciones disciplinarias de 30 procesos  recibidos; y en el mes de junio se tramitaron 27 procesos y/o actuaciones disciplinarias de 27 procesos  recibidos.</t>
  </si>
  <si>
    <t xml:space="preserve">Carpetas físicas ubicadas en la Oficina de Control Disciplinario Interno, lo anterior porque esta información es de reverva, pues contiene información confidencial. https://mininteriorgovco.sharepoint.com/:f:/r/sites/EvidenciasOAP/Documentos%20compartidos/Evidencias%20Indicadores%20de%20Proceso%202026/13.%20Gesti%C3%B3n%20de%20Asuntos%20Disciplinarios/II%20Trimestre/Ind.%20079?csf=1&amp;web=1&amp;e=nFVYRl </t>
  </si>
  <si>
    <t>Realizar capacitaciones en asuntos disciplinarios a los funcionarios y contratisas del Ministerio del Interior, de manera presencial y/o virtual,  con el propósito de promover el cumplimiento del marco normativo, la transparencia institucional y la prevención de faltas disciplinarias en el ejercicio de sus funciones; este indicador se proyecta para incrementar.</t>
  </si>
  <si>
    <t>Capacitaciones presenciales o virtuales realizadas</t>
  </si>
  <si>
    <t>Sumatoria de capacitaciones de sensibilización realizadas</t>
  </si>
  <si>
    <t>Capacitaciones en Asuntos Disciplinarios realizadas</t>
  </si>
  <si>
    <t>Formato Lista de Asistentes</t>
  </si>
  <si>
    <r>
      <t xml:space="preserve">Se realizó una capacitación de 4 programadas para el año, cumpliento 1 trimestralmente. El tema de esta capacitación fue: </t>
    </r>
    <r>
      <rPr>
        <i/>
        <sz val="10"/>
        <color rgb="FF000000"/>
        <rFont val="Arial"/>
        <family val="2"/>
      </rPr>
      <t>Generalidades del Derechos Discipllinario</t>
    </r>
  </si>
  <si>
    <t>https://mininteriorgovco.sharepoint.com/sites/evidenciaspeiyaccion/Documentos%20compartidos/Forms/AllItems.aspx?id=%2Fsites%2Fevidenciaspeiyaccion%2FDocumentos%20compartidos%2FEvidencias%20PEIA%2F22%2E%20GCDI%2F2026%2FI%20TRIM&amp;viewid=cc8cb3c1%2De9ea%2D4a61%2Dbce6%2D836632e4cddc&amp;csf=1&amp;CID=44494d0c%2D2218%2D41fc%2Da785%2Da0b3ed3cc86d&amp;FolderCTID=0x0120001D5FE1D754E50A44AB04108E24A1ACBD</t>
  </si>
  <si>
    <t>Durante el II trimestre de la vigencia 2026, se realizó una capacitación programada sobre Generalidades del  Derecho Disciplinario. Gestion realizada al personal de la Subdireccion de Gestion Humana el 18 de junio de 2026.</t>
  </si>
  <si>
    <t>https://mininteriorgovco.sharepoint.com/:f:/s/EvidenciasOAP/IgDVcl9yra6IS42HKWhdlxuRAS-xWd-h1YDI-lapnDXOyAs?e=GlXeDr</t>
  </si>
  <si>
    <t>Ind081</t>
  </si>
  <si>
    <t xml:space="preserve">Publicar piezas gráficas en el correo institucional, para difundir de manera clara, accesible y periódica información clave sobre asuntos disciplinarios, con el fin de sensibilizar, informar y fortalecer la cultura de la legalidad, la ética y el cumplimiento normativo entre los funcionarios del Ministerio del Interior; este indicador se proyecta para incrementar.								</t>
  </si>
  <si>
    <t>Material publicitario diseñado y enviado</t>
  </si>
  <si>
    <t xml:space="preserve">Sumatoria de piezas gráficas publicadas									</t>
  </si>
  <si>
    <t>Piezas gráficas</t>
  </si>
  <si>
    <t>Se publicaron cuatro piezas gráficas en el correo institucional.</t>
  </si>
  <si>
    <t>https://mininteriorgovco.sharepoint.com/sites/evidenciaspeiyaccion/Documentos%20compartidos/Forms/AllItems.aspx?id=%2Fsites%2Fevidenciaspeiyaccion%2FDocumentos%20compartidos%2FEvidencias%20PEIA%2F22%2E%20GCDI%2F2026%2FI%20TRIM%2FIniciativa%2003&amp;viewid=cc8cb3c1%2De9ea%2D4a61%2Dbce6%2D836632e4cddc&amp;csf=1&amp;CID=44494d0c%2D2218%2D41fc%2Da785%2Da0b3ed3cc86d&amp;FolderCTID=0x0120001D5FE1D754E50A44AB04108E24A1ACBD</t>
  </si>
  <si>
    <t>Durante el II trimestre de la vigencia 2026, se realizaron 4 publicaciones relacionados con prevencion de la Accion Disciplinaria, cuyo contenido corresponde: 1. ¿Tienes conocimiento cual es la finalidad de la Accion Disciplinaria? el 11 de junio de 2026; 2. ¿Sabes que conductas pueden llegar a ser catalogadas como Faltas Disciplinarias? el 16 de junio de2026; 3. ¿Solo puedes cometer una falta disciplinaria cuando realizas o ejecutas una conducta? el 19 de junio de 2026; y 4. ¿Tienes claros cuales son tus deberes como servidor publico adscrito al Ministerio del Interior? el 22 de junio de 2026.</t>
  </si>
  <si>
    <t>https://mininteriorgovco.sharepoint.com/:f:/s/EvidenciasOAP/IgBcBUkEnO4CRLN1qDC8lBFJASAPRBQWgBsMwslI1qXa7qY?e=z5tUnZ</t>
  </si>
  <si>
    <t>Ind082</t>
  </si>
  <si>
    <t xml:space="preserve">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 </t>
  </si>
  <si>
    <t>stella.canon@mininterior.gov.co</t>
  </si>
  <si>
    <t xml:space="preserve">Evalúa la oportunidad en el cumplimiento de las actividades aprobadas en el Plan Anual de Auditorías Independientes por el Comite de Coordinación de Control Interno,  con el objetivo de mantener el cumplimineto de lo dispuesto en la Nortavividad aplicable al Ministrio del Interior   </t>
  </si>
  <si>
    <t>Actividades Cumplidas Oportunamente del Plan Anual de Auditorías Independientes</t>
  </si>
  <si>
    <t>(Número de actividades del Plan Anual de Auditorías Independientes ejecutadas oportunamente / Número de  actividades del Plan Anual de Auditorías Independientes programadas) * 100</t>
  </si>
  <si>
    <t>Plan Anual de Auditorias Independientes</t>
  </si>
  <si>
    <t>Plan Anual de Auditorías con Seguimiento Trimestral</t>
  </si>
  <si>
    <t>Durante el primer trimestre de la vigencia 2026, se ejecuto a satisfaccion en el 100% de las activdades programadas, asi: 3 auditorias independientes (Una con informe final y dos en proceso con informe prelimimar) , 23 informes de ley y/o normativos, 10 informes de seguimineto y  la participación en 14  comites institucionales.</t>
  </si>
  <si>
    <t>https://mininteriorgovco.sharepoint.com/:f:/r/sites/EvidenciasOAP/Documentos%20compartidos/Evidencias%20Indicadores%20de%20Proceso%202026/14.%20Seguimiento%20y%20Evaluaci%C3%B3n%20a%20la%20Gesti%C3%B3n/I%20Trimestre/Ind082?csf=1&amp;web=1&amp;e=41ajuf&amp;xsdata=MDV8MDJ8ZmFiaW8uc2FubWFydGluQG1pbmludGVyaW9yLmdvdi5jb3xiMWMzZTAyYzVhMjA0YTY1ODg5YjA4ZGU5NWIyYmY2Y3xjNGY3ODcwY2ViMDg0ZDAxYjAyM2E3MWRkOTRlODgzYnwwfDB8NjM5MTEyNzkyNjQwNDYxNTMxfFVua25vd258VFdGcGJHWnNiM2Q4ZXlKRmJYQjBlVTFoY0draU9uUnlkV1VzSWxZaU9pSXdMakF1TURBd01DSXNJbEFpT2lKWGFXNHpNaUlzSWtGT0lqb2lUV0ZwYkNJc0lsZFVJam95ZlE9PXwwfHx8&amp;sdata=RWNyajdmdWZPNnhhMWhaTHN6V0xlNFYxOG4xdG51TFY0VnRiVGRQMGlaWT0%3d</t>
  </si>
  <si>
    <t>No se reportaron dificultades para la realización de las actividades programadas</t>
  </si>
  <si>
    <t>Durante el segundo trimestre de la vigencia 2026, se ejecutó a satisfacción en el 100% de las actividades programadas, así: 2 auditorías independientes , 13 informes de ley y/o normativos, 14 informes de seguimiento y  la participación en un comité sectorial.</t>
  </si>
  <si>
    <t>https://mininteriorgovco.sharepoint.com/:f:/r/sites/EvidenciasOAP/Documentos%20compartidos/Evidencias%20Indicadores%20de%20Proceso%202026/14.%20Seguimiento%20y%20Evaluaci%C3%B3n%20a%20la%20Gesti%C3%B3n/II%20Trimestre/Ind.%20082?csf=1&amp;web=1&amp;e=dc4eDz</t>
  </si>
  <si>
    <t>Ind083</t>
  </si>
  <si>
    <t>Evalua las acciones  de mejora y actividades cumplidas en el Plan de Mejoramiento Institucional con el fin de medir la pertinencia y efectividad de las acciones formuladas, aumentado la efectividad en la gestión de desempeño institucional.</t>
  </si>
  <si>
    <t>Plan Anual de Auditorías con seguimiento trimestral</t>
  </si>
  <si>
    <t>(No de hallazgos cumplidos con efectividad en el trimestre (Numerador) / No total de hallazgos cumplidos en el trimestre (Denominador)) * 100</t>
  </si>
  <si>
    <t>Plan de Mejoramiento Institucional</t>
  </si>
  <si>
    <t>Informe de Seguimiento al Plan de Mejoramiento Institucional</t>
  </si>
  <si>
    <t>53.57%</t>
  </si>
  <si>
    <t>Con corte al 31 de diciembre de 2025, se valido la efectivicad en el cumplimiento de las acciones formuladas en el Plan de Mejoramiento, en total se cerraron sin recurrencia 35 hallazgos de un total  63 hallazgos cerrados, con una efectividade del 55.55%.  Nota: se toma como base del reporte el reporte al 4to trimestre del 2025.</t>
  </si>
  <si>
    <t>https://mininteriorgovco.sharepoint.com/:f:/r/sites/EvidenciasOAP/Documentos compartidos/Evidencias Indicadores de Proceso 2026/14. Seguimiento y Evaluaci%C3%B3n a la Gesti%C3%B3n/I Trimestre/Ind083?csf=1&amp;web=1&amp;e=dXLq9m&amp;xsdata=MDV8MDJ8ZmFiaW8uc2FubWFydGluQG1pbmludGVyaW9yLmdvdi5jb3xiMWMzZTAyYzVhMjA0YTY1ODg5YjA4ZGU5NWIyYmY2Y3xjNGY3ODcwY2ViMDg0ZDAxYjAyM2E3MWRkOTRlODgzYnwwfDB8NjM5MTEyNzkyNjQwNDc5NjI2fFVua25vd258VFdGcGJHWnNiM2Q4ZXlKRmJYQjBlVTFoY0draU9uUnlkV1VzSWxZaU9pSXdMakF1TURBd01DSXNJbEFpT2lKWGFXNHpNaUlzSWtGT0lqb2lUV0ZwYkNJc0lsZFVJam95ZlE9PXwwfHx8&amp;sdata=S0d6WDJaQkRxc3krYkoreW95YTA0bjRJeTRXOHhyOWJWb0R6dnZheG9kYz0%3d</t>
  </si>
  <si>
    <t>Con corte al 31 de marzo de 2026, se validó la efectivicad en el cumplimiento de las acciones formuladas en el Plan de Mejoramiento, en total se cerraron sin recurrencia 15 hallazgos de un total  28 hallazgos cerrados, con una efectividade del 53.57%.  Nota: se toma como base el informe de seguimiento Plan de Mejoramiento Institucional con corte al 31 de marzo de 2026.</t>
  </si>
  <si>
    <t>https://mininteriorgovco.sharepoint.com/:f:/r/sites/EvidenciasOAP/Documentos%20compartidos/Evidencias%20Indicadores%20de%20Proceso%202026/14.%20Seguimiento%20y%20Evaluaci%C3%B3n%20a%20la%20Gesti%C3%B3n/II%20Trimestre/Ind.%20083?csf=1&amp;web=1&amp;e=AlO6FZ</t>
  </si>
  <si>
    <t>PROCESO</t>
  </si>
  <si>
    <t>EFICACIA</t>
  </si>
  <si>
    <t>EFICIENCIA</t>
  </si>
  <si>
    <t>EFECTIVIDAD</t>
  </si>
  <si>
    <t>CALIDAD</t>
  </si>
  <si>
    <t>TOTAL</t>
  </si>
  <si>
    <r>
      <t>1.</t>
    </r>
    <r>
      <rPr>
        <b/>
        <sz val="7"/>
        <color theme="1"/>
        <rFont val="Times New Roman"/>
        <charset val="1"/>
      </rPr>
      <t xml:space="preserve">   </t>
    </r>
    <r>
      <rPr>
        <b/>
        <sz val="9"/>
        <color theme="1"/>
        <rFont val="Arial"/>
        <family val="2"/>
        <charset val="1"/>
      </rPr>
      <t>Planeación, Direccionamiento Estratégico y Comunicaciones</t>
    </r>
  </si>
  <si>
    <r>
      <t>2.</t>
    </r>
    <r>
      <rPr>
        <b/>
        <sz val="7"/>
        <color theme="1"/>
        <rFont val="Times New Roman"/>
        <charset val="1"/>
      </rPr>
      <t xml:space="preserve">   </t>
    </r>
    <r>
      <rPr>
        <b/>
        <sz val="9"/>
        <color theme="1"/>
        <rFont val="Arial"/>
        <family val="2"/>
        <charset val="1"/>
      </rPr>
      <t>Gestión del Conocimiento y la Innovación</t>
    </r>
  </si>
  <si>
    <r>
      <t>3.</t>
    </r>
    <r>
      <rPr>
        <b/>
        <sz val="7"/>
        <color theme="1"/>
        <rFont val="Times New Roman"/>
        <charset val="1"/>
      </rPr>
      <t xml:space="preserve">   </t>
    </r>
    <r>
      <rPr>
        <b/>
        <sz val="9"/>
        <color theme="1"/>
        <rFont val="Arial"/>
        <family val="2"/>
        <charset val="1"/>
      </rPr>
      <t>Gestión del Talento Humano</t>
    </r>
  </si>
  <si>
    <r>
      <t>4.</t>
    </r>
    <r>
      <rPr>
        <b/>
        <sz val="7"/>
        <color theme="1"/>
        <rFont val="Times New Roman"/>
        <charset val="1"/>
      </rPr>
      <t xml:space="preserve">   </t>
    </r>
    <r>
      <rPr>
        <b/>
        <sz val="9"/>
        <color theme="1"/>
        <rFont val="Arial"/>
        <family val="2"/>
        <charset val="1"/>
      </rPr>
      <t>Gestión Política y Gobierno</t>
    </r>
  </si>
  <si>
    <r>
      <t>5.</t>
    </r>
    <r>
      <rPr>
        <b/>
        <sz val="7"/>
        <color theme="1"/>
        <rFont val="Times New Roman"/>
        <charset val="1"/>
      </rPr>
      <t xml:space="preserve">   </t>
    </r>
    <r>
      <rPr>
        <b/>
        <sz val="9"/>
        <color theme="1"/>
        <rFont val="Arial"/>
        <family val="2"/>
        <charset val="1"/>
      </rPr>
      <t>Gestión para la Protección de los Derechos</t>
    </r>
  </si>
  <si>
    <r>
      <t>6.</t>
    </r>
    <r>
      <rPr>
        <b/>
        <sz val="7"/>
        <color theme="1"/>
        <rFont val="Times New Roman"/>
        <charset val="1"/>
      </rPr>
      <t xml:space="preserve">   </t>
    </r>
    <r>
      <rPr>
        <b/>
        <sz val="9"/>
        <color theme="1"/>
        <rFont val="Arial"/>
        <family val="2"/>
        <charset val="1"/>
      </rPr>
      <t>Gestión Administrativa</t>
    </r>
  </si>
  <si>
    <r>
      <t>7.</t>
    </r>
    <r>
      <rPr>
        <b/>
        <sz val="7"/>
        <color theme="1"/>
        <rFont val="Times New Roman"/>
        <charset val="1"/>
      </rPr>
      <t xml:space="preserve">   </t>
    </r>
    <r>
      <rPr>
        <b/>
        <sz val="9"/>
        <color theme="1"/>
        <rFont val="Arial"/>
        <family val="2"/>
        <charset val="1"/>
      </rPr>
      <t>Gestión Financiera</t>
    </r>
  </si>
  <si>
    <r>
      <t>8.</t>
    </r>
    <r>
      <rPr>
        <b/>
        <sz val="7"/>
        <color theme="1"/>
        <rFont val="Times New Roman"/>
        <charset val="1"/>
      </rPr>
      <t xml:space="preserve">   </t>
    </r>
    <r>
      <rPr>
        <b/>
        <sz val="9"/>
        <color theme="1"/>
        <rFont val="Arial"/>
        <family val="2"/>
        <charset val="1"/>
      </rPr>
      <t>Gestión Documental y Archivo</t>
    </r>
  </si>
  <si>
    <r>
      <t>9.</t>
    </r>
    <r>
      <rPr>
        <b/>
        <sz val="7"/>
        <color theme="1"/>
        <rFont val="Times New Roman"/>
        <charset val="1"/>
      </rPr>
      <t xml:space="preserve">   </t>
    </r>
    <r>
      <rPr>
        <b/>
        <sz val="9"/>
        <color theme="1"/>
        <rFont val="Arial"/>
        <family val="2"/>
        <charset val="1"/>
      </rPr>
      <t>Gestión de Bienes y Servicios</t>
    </r>
  </si>
  <si>
    <r>
      <t>10.</t>
    </r>
    <r>
      <rPr>
        <b/>
        <sz val="7"/>
        <color theme="1"/>
        <rFont val="Times New Roman"/>
        <charset val="1"/>
      </rPr>
      <t xml:space="preserve"> </t>
    </r>
    <r>
      <rPr>
        <b/>
        <sz val="9"/>
        <color theme="1"/>
        <rFont val="Arial"/>
        <family val="2"/>
        <charset val="1"/>
      </rPr>
      <t>Gestión Jurídica</t>
    </r>
  </si>
  <si>
    <r>
      <t>11.</t>
    </r>
    <r>
      <rPr>
        <b/>
        <sz val="7"/>
        <color theme="1"/>
        <rFont val="Times New Roman"/>
        <charset val="1"/>
      </rPr>
      <t xml:space="preserve"> </t>
    </r>
    <r>
      <rPr>
        <b/>
        <sz val="9"/>
        <color theme="1"/>
        <rFont val="Arial"/>
        <family val="2"/>
        <charset val="1"/>
      </rPr>
      <t>Servicio al Ciudadano</t>
    </r>
  </si>
  <si>
    <r>
      <t>12.</t>
    </r>
    <r>
      <rPr>
        <b/>
        <sz val="7"/>
        <color theme="1"/>
        <rFont val="Times New Roman"/>
        <charset val="1"/>
      </rPr>
      <t xml:space="preserve"> </t>
    </r>
    <r>
      <rPr>
        <b/>
        <sz val="9"/>
        <color theme="1"/>
        <rFont val="Arial"/>
        <family val="2"/>
        <charset val="1"/>
      </rPr>
      <t>Gestión Tecnológica</t>
    </r>
  </si>
  <si>
    <r>
      <t>13.</t>
    </r>
    <r>
      <rPr>
        <b/>
        <sz val="7"/>
        <color theme="1"/>
        <rFont val="Times New Roman"/>
        <charset val="1"/>
      </rPr>
      <t xml:space="preserve"> </t>
    </r>
    <r>
      <rPr>
        <b/>
        <sz val="9"/>
        <color theme="1"/>
        <rFont val="Arial"/>
        <family val="2"/>
        <charset val="1"/>
      </rPr>
      <t>Gestión de Asuntos Disciplinarios</t>
    </r>
  </si>
  <si>
    <r>
      <t>14.</t>
    </r>
    <r>
      <rPr>
        <b/>
        <sz val="7"/>
        <color theme="1"/>
        <rFont val="Times New Roman"/>
        <charset val="1"/>
      </rPr>
      <t xml:space="preserve"> </t>
    </r>
    <r>
      <rPr>
        <b/>
        <sz val="9"/>
        <color theme="1"/>
        <rFont val="Arial"/>
        <family val="2"/>
        <charset val="1"/>
      </rPr>
      <t>Seguimiento y Evaluación a la Gestión</t>
    </r>
  </si>
  <si>
    <t>INFORME DE AVANCE INDICADORES DE PROCESO VIGENCIA 2026</t>
  </si>
  <si>
    <t>Nivel del Proceso</t>
  </si>
  <si>
    <t>Nombre del proceso</t>
  </si>
  <si>
    <t>Dependencia que aporta al proceso</t>
  </si>
  <si>
    <t>% Participación dependencia al proceso</t>
  </si>
  <si>
    <t>% Participación indicador frente al proceso</t>
  </si>
  <si>
    <t>Meta trimestre I</t>
  </si>
  <si>
    <t>Meta trimestre II</t>
  </si>
  <si>
    <t>Meta trimestre III</t>
  </si>
  <si>
    <t>Meta trimestre IV</t>
  </si>
  <si>
    <t>Meta Total Año</t>
  </si>
  <si>
    <t>Reporte
I Trimestre</t>
  </si>
  <si>
    <t>Reporte
II Trimestre</t>
  </si>
  <si>
    <t>Reporte
III Trimestre</t>
  </si>
  <si>
    <t>Reporte
IV Trimestre</t>
  </si>
  <si>
    <t>Reporte Total Año</t>
  </si>
  <si>
    <t>Avance % indicador trimestre</t>
  </si>
  <si>
    <t>TOTAL % AÑO</t>
  </si>
  <si>
    <t>Avance % indicador trimestre con ponderación frente al proceso</t>
  </si>
  <si>
    <t>TOTAL % AÑO
 con ponderación frente al proceso</t>
  </si>
  <si>
    <t>Avance Cualitativo Trimestral</t>
  </si>
  <si>
    <t>Cumple meta trimestral</t>
  </si>
  <si>
    <t>Enlace de evidencia</t>
  </si>
  <si>
    <t>Evidencia</t>
  </si>
  <si>
    <t>Si cumple meta trimestral</t>
  </si>
  <si>
    <t>Las evidencias que aporta la dependencia son coherentes con lo formulado y reportado</t>
  </si>
  <si>
    <t>No cumple meta trimestral</t>
  </si>
  <si>
    <t>Sin evidenccias</t>
  </si>
  <si>
    <t>No hay evidencias porque es una actividad que se va a desarrollar en el cuarto trimestre</t>
  </si>
  <si>
    <t>Cuenta con las evidencias y estas son coherente con lo establecido en el indicador de proceso</t>
  </si>
  <si>
    <t>Cumple la meta trimestral, la dependencia aporta evidencias y son coherentes con lo formulado y lo reportado</t>
  </si>
  <si>
    <t>La dependencia aporta evidencias y son coherentes con lo formulado y lo reportado</t>
  </si>
  <si>
    <t>Meta no progaramada para el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</si>
</sst>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
    <numFmt numFmtId="165" formatCode="_-&quot;XDR&quot;* #,##0.00_-;\-&quot;XDR&quot;* #,##0.00_-;_-&quot;XDR&quot;* &quot;-&quot;??_-;_-@_-"/>
    <numFmt numFmtId="167" formatCode="_-* #,##0_-;\-* #,##0_-;_-* &quot;-&quot;_-;_-@_-"/>
    <numFmt numFmtId="169" formatCode="_-* #,##0.00_-;\-* #,##0.00_-;_-* &quot;-&quot;??_-;_-@_-"/>
  </numFmts>
  <fonts count="83">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font>
    <font>
      <sz val="11"/>
      <name val="Calibri"/>
      <family val="2"/>
      <scheme val="minor"/>
    </font>
    <font>
      <sz val="11"/>
      <color rgb="FF000000"/>
      <name val="Calibri"/>
      <family val="2"/>
      <scheme val="minor"/>
    </font>
    <font>
      <u/>
      <sz val="12"/>
      <color theme="10"/>
      <name val="Calibri"/>
      <family val="2"/>
      <scheme val="minor"/>
    </font>
    <font>
      <sz val="11"/>
      <color theme="1"/>
      <name val="Arial"/>
      <family val="2"/>
    </font>
    <font>
      <sz val="11"/>
      <color theme="1" tint="0.249977111117893"/>
      <name val="Century Gothic"/>
      <family val="2"/>
    </font>
    <font>
      <sz val="9"/>
      <color theme="1" tint="0.249977111117893"/>
      <name val="Calibri"/>
      <family val="2"/>
      <scheme val="minor"/>
    </font>
    <font>
      <b/>
      <sz val="20"/>
      <color theme="0"/>
      <name val="Calibri"/>
      <family val="2"/>
    </font>
    <font>
      <sz val="11"/>
      <color theme="1"/>
      <name val="Calibri Light"/>
      <family val="2"/>
      <scheme val="major"/>
    </font>
    <font>
      <sz val="12"/>
      <color theme="1"/>
      <name val="Calibri Light"/>
      <family val="2"/>
      <scheme val="major"/>
    </font>
    <font>
      <b/>
      <sz val="12"/>
      <color theme="1"/>
      <name val="Calibri Light"/>
      <family val="2"/>
      <scheme val="major"/>
    </font>
    <font>
      <sz val="12"/>
      <name val="Calibri Light"/>
      <family val="2"/>
      <scheme val="major"/>
    </font>
    <font>
      <b/>
      <sz val="14"/>
      <color theme="1"/>
      <name val="Calibri Light"/>
      <family val="2"/>
      <scheme val="major"/>
    </font>
    <font>
      <u/>
      <sz val="11"/>
      <color theme="10"/>
      <name val="Calibri"/>
      <family val="2"/>
      <scheme val="minor"/>
    </font>
    <font>
      <sz val="11"/>
      <name val="Calibri"/>
      <family val="2"/>
    </font>
    <font>
      <b/>
      <sz val="9"/>
      <color rgb="FF000000"/>
      <name val="Tahoma"/>
      <family val="2"/>
    </font>
    <font>
      <sz val="9"/>
      <color rgb="FF000000"/>
      <name val="Tahoma"/>
      <family val="2"/>
    </font>
    <font>
      <sz val="8"/>
      <name val="Calibri"/>
      <family val="2"/>
      <scheme val="minor"/>
    </font>
    <font>
      <b/>
      <sz val="11"/>
      <color theme="1"/>
      <name val="Arial Narrow"/>
      <family val="2"/>
    </font>
    <font>
      <sz val="11"/>
      <color theme="1"/>
      <name val="Arial Narrow"/>
      <family val="2"/>
    </font>
    <font>
      <sz val="9"/>
      <color theme="1"/>
      <name val="Arial Narrow"/>
      <family val="2"/>
    </font>
    <font>
      <sz val="9"/>
      <name val="Arial Narrow"/>
      <family val="2"/>
    </font>
    <font>
      <sz val="8"/>
      <color theme="1"/>
      <name val="Calibri"/>
      <family val="2"/>
      <scheme val="minor"/>
    </font>
    <font>
      <b/>
      <sz val="12"/>
      <color theme="0"/>
      <name val="Calibri"/>
      <family val="2"/>
      <scheme val="minor"/>
    </font>
    <font>
      <b/>
      <sz val="12"/>
      <color theme="3"/>
      <name val="Lato"/>
      <family val="2"/>
    </font>
    <font>
      <b/>
      <sz val="16"/>
      <color theme="0"/>
      <name val="Calibri"/>
      <family val="2"/>
      <scheme val="minor"/>
    </font>
    <font>
      <b/>
      <sz val="12"/>
      <color theme="0" tint="-4.9989318521683403E-2"/>
      <name val="Calibri"/>
      <family val="2"/>
      <scheme val="minor"/>
    </font>
    <font>
      <b/>
      <sz val="9"/>
      <name val="Calibri"/>
      <family val="2"/>
      <scheme val="minor"/>
    </font>
    <font>
      <b/>
      <sz val="12"/>
      <name val="Calibri"/>
      <family val="2"/>
      <scheme val="minor"/>
    </font>
    <font>
      <sz val="9"/>
      <color indexed="81"/>
      <name val="Tahoma"/>
      <family val="2"/>
    </font>
    <font>
      <b/>
      <sz val="12"/>
      <color theme="0"/>
      <name val="Calibri "/>
    </font>
    <font>
      <sz val="12"/>
      <color theme="0"/>
      <name val="Calibri "/>
    </font>
    <font>
      <b/>
      <sz val="11"/>
      <color theme="1"/>
      <name val="Arial"/>
      <family val="2"/>
    </font>
    <font>
      <b/>
      <sz val="11"/>
      <color theme="0"/>
      <name val="Calibri "/>
    </font>
    <font>
      <b/>
      <sz val="11"/>
      <name val="Calibri "/>
    </font>
    <font>
      <b/>
      <sz val="11"/>
      <name val="Calibri"/>
      <family val="2"/>
    </font>
    <font>
      <sz val="10"/>
      <color theme="1"/>
      <name val="Arial"/>
      <family val="2"/>
    </font>
    <font>
      <sz val="10"/>
      <name val="Arial"/>
      <family val="2"/>
    </font>
    <font>
      <sz val="11"/>
      <name val="Arial"/>
      <family val="2"/>
    </font>
    <font>
      <b/>
      <sz val="11"/>
      <color theme="1" tint="0.249977111117893"/>
      <name val="Century Gothic"/>
      <family val="2"/>
    </font>
    <font>
      <b/>
      <sz val="9"/>
      <color theme="1" tint="0.249977111117893"/>
      <name val="Century Gothic"/>
      <family val="2"/>
    </font>
    <font>
      <b/>
      <sz val="18"/>
      <color theme="0"/>
      <name val="Calibri"/>
      <family val="2"/>
      <scheme val="minor"/>
    </font>
    <font>
      <sz val="10"/>
      <color rgb="FF000000"/>
      <name val="Arial"/>
      <family val="2"/>
    </font>
    <font>
      <b/>
      <sz val="10"/>
      <name val="Arial"/>
      <family val="2"/>
    </font>
    <font>
      <sz val="9"/>
      <name val="Arial"/>
      <family val="2"/>
    </font>
    <font>
      <u/>
      <sz val="10"/>
      <name val="Arial"/>
      <family val="2"/>
    </font>
    <font>
      <sz val="8"/>
      <name val="Arial"/>
      <family val="2"/>
    </font>
    <font>
      <b/>
      <sz val="8"/>
      <name val="Arial"/>
      <family val="2"/>
    </font>
    <font>
      <b/>
      <sz val="11"/>
      <name val="Arial"/>
      <family val="2"/>
    </font>
    <font>
      <b/>
      <sz val="11"/>
      <name val="Calibri"/>
      <family val="2"/>
      <scheme val="minor"/>
    </font>
    <font>
      <b/>
      <u/>
      <sz val="11"/>
      <name val="Arial"/>
      <family val="2"/>
    </font>
    <font>
      <u/>
      <sz val="11"/>
      <name val="Calibri"/>
      <family val="2"/>
      <scheme val="minor"/>
    </font>
    <font>
      <sz val="9"/>
      <name val="Calibri"/>
      <family val="2"/>
      <scheme val="minor"/>
    </font>
    <font>
      <sz val="8"/>
      <name val="Calibri"/>
      <family val="2"/>
    </font>
    <font>
      <u/>
      <sz val="11"/>
      <name val="Arial"/>
      <family val="2"/>
    </font>
    <font>
      <sz val="11"/>
      <color rgb="FF000000"/>
      <name val="Arial"/>
      <family val="2"/>
    </font>
    <font>
      <sz val="9"/>
      <color rgb="FF000000"/>
      <name val="Arial"/>
      <family val="2"/>
    </font>
    <font>
      <sz val="11"/>
      <color rgb="FF242424"/>
      <name val="Aptos Narrow"/>
      <family val="2"/>
    </font>
    <font>
      <u/>
      <sz val="11"/>
      <color rgb="FF0563C1"/>
      <name val="Calibri"/>
      <family val="2"/>
    </font>
    <font>
      <sz val="8"/>
      <color rgb="FF000000"/>
      <name val="Arial"/>
      <family val="2"/>
    </font>
    <font>
      <sz val="11"/>
      <color rgb="FF000000"/>
      <name val="Calibri"/>
      <family val="2"/>
    </font>
    <font>
      <i/>
      <sz val="10"/>
      <color rgb="FF000000"/>
      <name val="Arial"/>
      <family val="2"/>
    </font>
    <font>
      <u/>
      <sz val="12"/>
      <color rgb="FF0000FF"/>
      <name val="Aptos"/>
      <family val="2"/>
    </font>
    <font>
      <b/>
      <sz val="11"/>
      <color rgb="FFFF0000"/>
      <name val="Arial"/>
      <family val="2"/>
    </font>
    <font>
      <sz val="11"/>
      <color rgb="FF000000"/>
      <name val="Arial"/>
    </font>
    <font>
      <sz val="10"/>
      <color rgb="FF000000"/>
      <name val="Arial"/>
    </font>
    <font>
      <sz val="11"/>
      <name val="Arial"/>
    </font>
    <font>
      <sz val="10"/>
      <name val="Arial"/>
    </font>
    <font>
      <sz val="10"/>
      <color theme="1"/>
      <name val="Arial"/>
    </font>
    <font>
      <sz val="11"/>
      <color rgb="FFFF0000"/>
      <name val="Calibri"/>
      <family val="2"/>
    </font>
    <font>
      <sz val="10"/>
      <color rgb="FFFF0000"/>
      <name val="Arial"/>
      <family val="2"/>
    </font>
    <font>
      <sz val="9"/>
      <color rgb="FF000000"/>
      <name val="Arial"/>
    </font>
    <font>
      <sz val="11"/>
      <name val="Calibri"/>
    </font>
    <font>
      <sz val="9"/>
      <color rgb="FF000000"/>
      <name val="Calibri"/>
    </font>
    <font>
      <u/>
      <sz val="11"/>
      <color rgb="FF0563C1"/>
      <name val="Calibri"/>
    </font>
    <font>
      <b/>
      <sz val="10"/>
      <color rgb="FF000000"/>
      <name val="Arial"/>
      <family val="2"/>
    </font>
    <font>
      <sz val="12"/>
      <color theme="1"/>
      <name val="Arial"/>
      <family val="2"/>
    </font>
    <font>
      <b/>
      <sz val="9"/>
      <color theme="1"/>
      <name val="Arial"/>
      <family val="2"/>
      <charset val="1"/>
    </font>
    <font>
      <b/>
      <sz val="7"/>
      <color theme="1"/>
      <name val="Times New Roman"/>
      <charset val="1"/>
    </font>
  </fonts>
  <fills count="3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59999389629810485"/>
        <bgColor theme="0"/>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C000"/>
        <bgColor indexed="64"/>
      </patternFill>
    </fill>
    <fill>
      <patternFill patternType="solid">
        <fgColor rgb="FFC00000"/>
        <bgColor indexed="64"/>
      </patternFill>
    </fill>
    <fill>
      <patternFill patternType="solid">
        <fgColor theme="2" tint="-0.499984740745262"/>
        <bgColor indexed="64"/>
      </patternFill>
    </fill>
    <fill>
      <patternFill patternType="solid">
        <fgColor rgb="FF0070C0"/>
        <bgColor indexed="64"/>
      </patternFill>
    </fill>
    <fill>
      <patternFill patternType="solid">
        <fgColor rgb="FF92D050"/>
        <bgColor indexed="64"/>
      </patternFill>
    </fill>
    <fill>
      <patternFill patternType="solid">
        <fgColor rgb="FFC00000"/>
        <bgColor theme="0"/>
      </patternFill>
    </fill>
    <fill>
      <patternFill patternType="solid">
        <fgColor rgb="FF5B9BD4"/>
        <bgColor indexed="64"/>
      </patternFill>
    </fill>
    <fill>
      <patternFill patternType="solid">
        <fgColor rgb="FF4472C4"/>
        <bgColor indexed="64"/>
      </patternFill>
    </fill>
    <fill>
      <patternFill patternType="solid">
        <fgColor rgb="FFC00000"/>
        <bgColor theme="8"/>
      </patternFill>
    </fill>
    <fill>
      <patternFill patternType="solid">
        <fgColor theme="0"/>
        <bgColor theme="8"/>
      </patternFill>
    </fill>
    <fill>
      <patternFill patternType="solid">
        <fgColor rgb="FFFFFFFF"/>
        <bgColor rgb="FF000000"/>
      </patternFill>
    </fill>
    <fill>
      <patternFill patternType="solid">
        <fgColor theme="0"/>
        <bgColor theme="0"/>
      </patternFill>
    </fill>
    <fill>
      <patternFill patternType="solid">
        <fgColor theme="5"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A5A5A5"/>
        <bgColor indexed="64"/>
      </patternFill>
    </fill>
    <fill>
      <patternFill patternType="solid">
        <fgColor rgb="FFEDEDED"/>
        <bgColor indexed="64"/>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auto="1"/>
      </left>
      <right style="thin">
        <color auto="1"/>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diagonal/>
    </border>
    <border>
      <left/>
      <right style="medium">
        <color indexed="64"/>
      </right>
      <top style="thin">
        <color auto="1"/>
      </top>
      <bottom/>
      <diagonal/>
    </border>
    <border>
      <left/>
      <right/>
      <top/>
      <bottom style="thin">
        <color auto="1"/>
      </bottom>
      <diagonal/>
    </border>
    <border>
      <left/>
      <right style="medium">
        <color indexed="64"/>
      </right>
      <top/>
      <bottom style="thin">
        <color auto="1"/>
      </bottom>
      <diagonal/>
    </border>
    <border>
      <left style="thin">
        <color theme="1"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style="thin">
        <color auto="1"/>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theme="1" tint="0.499984740745262"/>
      </right>
      <top style="thin">
        <color theme="0"/>
      </top>
      <bottom/>
      <diagonal/>
    </border>
    <border>
      <left/>
      <right style="thin">
        <color theme="1" tint="0.499984740745262"/>
      </right>
      <top/>
      <bottom style="thin">
        <color auto="1"/>
      </bottom>
      <diagonal/>
    </border>
    <border>
      <left style="thin">
        <color rgb="FF000000"/>
      </left>
      <right style="thin">
        <color rgb="FF000000"/>
      </right>
      <top style="thin">
        <color rgb="FF000000"/>
      </top>
      <bottom style="thin">
        <color indexed="64"/>
      </bottom>
      <diagonal/>
    </border>
    <border>
      <left/>
      <right style="thin">
        <color rgb="FF000000"/>
      </right>
      <top/>
      <bottom style="thin">
        <color rgb="FF000000"/>
      </bottom>
      <diagonal/>
    </border>
    <border>
      <left style="thin">
        <color rgb="FFC9C9C9"/>
      </left>
      <right/>
      <top style="thin">
        <color rgb="FFC9C9C9"/>
      </top>
      <bottom style="thin">
        <color rgb="FFA5A5A5"/>
      </bottom>
      <diagonal/>
    </border>
    <border>
      <left/>
      <right/>
      <top style="thin">
        <color rgb="FFC9C9C9"/>
      </top>
      <bottom style="thin">
        <color rgb="FFA5A5A5"/>
      </bottom>
      <diagonal/>
    </border>
    <border>
      <left/>
      <right style="thin">
        <color rgb="FFC9C9C9"/>
      </right>
      <top style="thin">
        <color rgb="FFC9C9C9"/>
      </top>
      <bottom style="thin">
        <color rgb="FFA5A5A5"/>
      </bottom>
      <diagonal/>
    </border>
    <border>
      <left style="thin">
        <color rgb="FFC9C9C9"/>
      </left>
      <right style="thin">
        <color rgb="FFC9C9C9"/>
      </right>
      <top style="thin">
        <color rgb="FFC9C9C9"/>
      </top>
      <bottom style="thin">
        <color rgb="FFC9C9C9"/>
      </bottom>
      <diagonal/>
    </border>
  </borders>
  <cellStyleXfs count="18">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41" fontId="3" fillId="0" borderId="0" applyFont="0" applyFill="0" applyBorder="0" applyAlignment="0" applyProtection="0"/>
    <xf numFmtId="0" fontId="7" fillId="0" borderId="0" applyNumberFormat="0" applyFill="0" applyBorder="0" applyAlignment="0" applyProtection="0"/>
    <xf numFmtId="9" fontId="8" fillId="0" borderId="0" applyFont="0" applyFill="0" applyBorder="0" applyAlignment="0" applyProtection="0"/>
    <xf numFmtId="0" fontId="8" fillId="0" borderId="0"/>
    <xf numFmtId="165" fontId="1" fillId="0" borderId="0" applyFont="0" applyFill="0" applyBorder="0" applyAlignment="0" applyProtection="0"/>
    <xf numFmtId="0" fontId="8" fillId="0" borderId="0"/>
    <xf numFmtId="0" fontId="8" fillId="0" borderId="0"/>
    <xf numFmtId="0" fontId="6" fillId="0" borderId="0"/>
    <xf numFmtId="43" fontId="1" fillId="0" borderId="0" applyFont="0" applyFill="0" applyBorder="0" applyAlignment="0" applyProtection="0"/>
    <xf numFmtId="41" fontId="3" fillId="0" borderId="0" applyFont="0" applyFill="0" applyBorder="0" applyAlignment="0" applyProtection="0"/>
    <xf numFmtId="0" fontId="17" fillId="0" borderId="0" applyNumberFormat="0" applyFill="0" applyBorder="0" applyAlignment="0" applyProtection="0"/>
    <xf numFmtId="167" fontId="3" fillId="0" borderId="0" applyFont="0" applyFill="0" applyBorder="0" applyAlignment="0" applyProtection="0"/>
    <xf numFmtId="169" fontId="1" fillId="0" borderId="0" applyFont="0" applyFill="0" applyBorder="0" applyAlignment="0" applyProtection="0"/>
    <xf numFmtId="167" fontId="3" fillId="0" borderId="0" applyFont="0" applyFill="0" applyBorder="0" applyAlignment="0" applyProtection="0"/>
  </cellStyleXfs>
  <cellXfs count="638">
    <xf numFmtId="0" fontId="0" fillId="0" borderId="0" xfId="0"/>
    <xf numFmtId="0" fontId="47" fillId="26" borderId="1" xfId="2" applyFont="1" applyFill="1" applyBorder="1" applyAlignment="1">
      <alignment horizontal="center" vertical="center"/>
    </xf>
    <xf numFmtId="0" fontId="9" fillId="2" borderId="0" xfId="2" applyFont="1" applyFill="1" applyProtection="1">
      <protection locked="0"/>
    </xf>
    <xf numFmtId="0" fontId="9" fillId="2" borderId="0" xfId="2" applyFont="1" applyFill="1" applyAlignment="1" applyProtection="1">
      <alignment wrapText="1"/>
      <protection locked="0"/>
    </xf>
    <xf numFmtId="0" fontId="8" fillId="0" borderId="0" xfId="7"/>
    <xf numFmtId="0" fontId="12" fillId="0" borderId="4" xfId="0" applyFont="1" applyBorder="1" applyAlignment="1">
      <alignment vertical="center" wrapText="1"/>
    </xf>
    <xf numFmtId="10" fontId="12" fillId="0" borderId="4" xfId="0" applyNumberFormat="1" applyFont="1" applyBorder="1" applyAlignment="1">
      <alignment horizontal="center" vertical="center"/>
    </xf>
    <xf numFmtId="0" fontId="14"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center" vertical="center" wrapText="1"/>
    </xf>
    <xf numFmtId="164" fontId="0" fillId="0" borderId="0" xfId="1" applyNumberFormat="1" applyFont="1"/>
    <xf numFmtId="0" fontId="0" fillId="0" borderId="0" xfId="0" applyAlignment="1">
      <alignment wrapText="1"/>
    </xf>
    <xf numFmtId="164" fontId="4" fillId="0" borderId="13" xfId="0" applyNumberFormat="1" applyFont="1" applyBorder="1" applyAlignment="1">
      <alignment horizontal="center" vertical="center"/>
    </xf>
    <xf numFmtId="0" fontId="10" fillId="2" borderId="0" xfId="2" applyFont="1" applyFill="1" applyAlignment="1" applyProtection="1">
      <alignment vertical="center" wrapText="1"/>
      <protection locked="0"/>
    </xf>
    <xf numFmtId="0" fontId="22" fillId="0" borderId="13" xfId="0" applyFont="1" applyBorder="1" applyAlignment="1">
      <alignment horizontal="center" vertical="center" wrapText="1"/>
    </xf>
    <xf numFmtId="164" fontId="22" fillId="0" borderId="13" xfId="0" applyNumberFormat="1" applyFont="1" applyBorder="1" applyAlignment="1">
      <alignment horizontal="center" vertical="center" wrapText="1"/>
    </xf>
    <xf numFmtId="0" fontId="23" fillId="11" borderId="12" xfId="0" applyFont="1" applyFill="1" applyBorder="1" applyAlignment="1">
      <alignment wrapText="1"/>
    </xf>
    <xf numFmtId="0" fontId="22" fillId="12" borderId="13" xfId="0" applyFont="1" applyFill="1" applyBorder="1" applyAlignment="1">
      <alignment horizontal="center" vertical="center" wrapText="1"/>
    </xf>
    <xf numFmtId="0" fontId="23" fillId="12" borderId="12" xfId="0" applyFont="1" applyFill="1" applyBorder="1" applyAlignment="1">
      <alignment wrapText="1"/>
    </xf>
    <xf numFmtId="0" fontId="22" fillId="6" borderId="13" xfId="0" applyFont="1" applyFill="1" applyBorder="1" applyAlignment="1">
      <alignment horizontal="center" vertical="center" wrapText="1"/>
    </xf>
    <xf numFmtId="0" fontId="23" fillId="6" borderId="12" xfId="0" applyFont="1" applyFill="1" applyBorder="1" applyAlignment="1">
      <alignment vertical="center" wrapText="1"/>
    </xf>
    <xf numFmtId="0" fontId="24" fillId="3" borderId="12"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8" borderId="12" xfId="0" applyFont="1" applyFill="1" applyBorder="1" applyAlignment="1">
      <alignment horizontal="left" wrapText="1"/>
    </xf>
    <xf numFmtId="0" fontId="24" fillId="8" borderId="12" xfId="0" applyFont="1" applyFill="1" applyBorder="1" applyAlignment="1">
      <alignment horizontal="left" vertical="center" wrapText="1"/>
    </xf>
    <xf numFmtId="0" fontId="25" fillId="8" borderId="12" xfId="0" applyFont="1" applyFill="1" applyBorder="1" applyAlignment="1">
      <alignment horizontal="left" wrapText="1"/>
    </xf>
    <xf numFmtId="0" fontId="25" fillId="13" borderId="12" xfId="0" applyFont="1" applyFill="1" applyBorder="1" applyAlignment="1">
      <alignment horizontal="left" wrapText="1"/>
    </xf>
    <xf numFmtId="0" fontId="22" fillId="13" borderId="13" xfId="0" applyFont="1" applyFill="1" applyBorder="1" applyAlignment="1">
      <alignment horizontal="left" vertical="center" wrapText="1"/>
    </xf>
    <xf numFmtId="0" fontId="22" fillId="14" borderId="13" xfId="0" applyFont="1" applyFill="1" applyBorder="1" applyAlignment="1">
      <alignment horizontal="left" vertical="center" wrapText="1"/>
    </xf>
    <xf numFmtId="0" fontId="25" fillId="14" borderId="12" xfId="0" applyFont="1" applyFill="1" applyBorder="1" applyAlignment="1">
      <alignment horizontal="left" wrapText="1"/>
    </xf>
    <xf numFmtId="9" fontId="23" fillId="11" borderId="13" xfId="1" applyFont="1" applyFill="1" applyBorder="1" applyAlignment="1">
      <alignment vertical="center" wrapText="1"/>
    </xf>
    <xf numFmtId="164" fontId="23" fillId="11" borderId="13" xfId="1" applyNumberFormat="1" applyFont="1" applyFill="1" applyBorder="1" applyAlignment="1">
      <alignment vertical="center" wrapText="1"/>
    </xf>
    <xf numFmtId="9" fontId="23" fillId="12" borderId="13" xfId="0" applyNumberFormat="1" applyFont="1" applyFill="1" applyBorder="1" applyAlignment="1">
      <alignment vertical="center" wrapText="1"/>
    </xf>
    <xf numFmtId="164" fontId="23" fillId="12" borderId="13" xfId="0" applyNumberFormat="1" applyFont="1" applyFill="1" applyBorder="1" applyAlignment="1">
      <alignment vertical="center" wrapText="1"/>
    </xf>
    <xf numFmtId="9" fontId="23" fillId="12" borderId="13" xfId="0" applyNumberFormat="1" applyFont="1" applyFill="1" applyBorder="1" applyAlignment="1">
      <alignment horizontal="right" vertical="center" wrapText="1"/>
    </xf>
    <xf numFmtId="9" fontId="23" fillId="6" borderId="13" xfId="0" applyNumberFormat="1" applyFont="1" applyFill="1" applyBorder="1" applyAlignment="1">
      <alignment vertical="center" wrapText="1"/>
    </xf>
    <xf numFmtId="164" fontId="23" fillId="6" borderId="13" xfId="0" applyNumberFormat="1" applyFont="1" applyFill="1" applyBorder="1" applyAlignment="1">
      <alignment vertical="center" wrapText="1"/>
    </xf>
    <xf numFmtId="9" fontId="23" fillId="6" borderId="13" xfId="0" applyNumberFormat="1" applyFont="1" applyFill="1" applyBorder="1" applyAlignment="1">
      <alignment horizontal="right" vertical="center" wrapText="1"/>
    </xf>
    <xf numFmtId="9" fontId="23" fillId="3" borderId="13" xfId="1" applyFont="1" applyFill="1" applyBorder="1" applyAlignment="1">
      <alignment wrapText="1"/>
    </xf>
    <xf numFmtId="164" fontId="23" fillId="3" borderId="15" xfId="1" applyNumberFormat="1" applyFont="1" applyFill="1" applyBorder="1" applyAlignment="1">
      <alignment wrapText="1"/>
    </xf>
    <xf numFmtId="164" fontId="23" fillId="3" borderId="19" xfId="1" applyNumberFormat="1" applyFont="1" applyFill="1" applyBorder="1" applyAlignment="1">
      <alignment wrapText="1"/>
    </xf>
    <xf numFmtId="9" fontId="23" fillId="3" borderId="15" xfId="1" applyFont="1" applyFill="1" applyBorder="1" applyAlignment="1">
      <alignment wrapText="1"/>
    </xf>
    <xf numFmtId="164" fontId="0" fillId="8" borderId="13" xfId="1" applyNumberFormat="1" applyFont="1" applyFill="1" applyBorder="1" applyAlignment="1">
      <alignment wrapText="1"/>
    </xf>
    <xf numFmtId="164" fontId="0" fillId="8" borderId="15" xfId="1" applyNumberFormat="1" applyFont="1" applyFill="1" applyBorder="1" applyAlignment="1">
      <alignment wrapText="1"/>
    </xf>
    <xf numFmtId="164" fontId="0" fillId="8" borderId="19" xfId="1" applyNumberFormat="1" applyFont="1" applyFill="1" applyBorder="1" applyAlignment="1">
      <alignment wrapText="1"/>
    </xf>
    <xf numFmtId="9" fontId="0" fillId="8" borderId="13" xfId="1" applyFont="1" applyFill="1" applyBorder="1" applyAlignment="1">
      <alignment wrapText="1"/>
    </xf>
    <xf numFmtId="164" fontId="0" fillId="8" borderId="2" xfId="1" applyNumberFormat="1" applyFont="1" applyFill="1" applyBorder="1" applyAlignment="1">
      <alignment wrapText="1"/>
    </xf>
    <xf numFmtId="9" fontId="0" fillId="13" borderId="13" xfId="1" applyFont="1" applyFill="1" applyBorder="1" applyAlignment="1">
      <alignment wrapText="1"/>
    </xf>
    <xf numFmtId="164" fontId="0" fillId="13" borderId="13" xfId="1" applyNumberFormat="1" applyFont="1" applyFill="1" applyBorder="1" applyAlignment="1">
      <alignment wrapText="1"/>
    </xf>
    <xf numFmtId="9" fontId="0" fillId="13" borderId="13" xfId="1" applyFont="1" applyFill="1" applyBorder="1" applyAlignment="1">
      <alignment horizontal="right" wrapText="1"/>
    </xf>
    <xf numFmtId="9" fontId="0" fillId="14" borderId="13" xfId="1" applyFont="1" applyFill="1" applyBorder="1" applyAlignment="1">
      <alignment wrapText="1"/>
    </xf>
    <xf numFmtId="164" fontId="0" fillId="14" borderId="13" xfId="1" applyNumberFormat="1" applyFont="1" applyFill="1" applyBorder="1" applyAlignment="1">
      <alignment wrapText="1"/>
    </xf>
    <xf numFmtId="9" fontId="0" fillId="14" borderId="13" xfId="1" applyFont="1" applyFill="1" applyBorder="1" applyAlignment="1">
      <alignment horizontal="right" wrapText="1"/>
    </xf>
    <xf numFmtId="0" fontId="0" fillId="0" borderId="13" xfId="0" applyBorder="1"/>
    <xf numFmtId="0" fontId="0" fillId="10" borderId="13" xfId="0" applyFill="1" applyBorder="1"/>
    <xf numFmtId="0" fontId="0" fillId="0" borderId="21" xfId="0" applyBorder="1"/>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8" xfId="0" applyBorder="1"/>
    <xf numFmtId="0" fontId="0" fillId="10" borderId="21" xfId="0" applyFill="1" applyBorder="1"/>
    <xf numFmtId="0" fontId="0" fillId="0" borderId="23" xfId="0" applyBorder="1"/>
    <xf numFmtId="0" fontId="0" fillId="0" borderId="22" xfId="0" applyBorder="1" applyAlignment="1">
      <alignment horizontal="center" vertical="center"/>
    </xf>
    <xf numFmtId="9" fontId="0" fillId="0" borderId="18" xfId="1" applyFont="1" applyBorder="1"/>
    <xf numFmtId="9" fontId="0" fillId="0" borderId="13" xfId="1" applyFont="1" applyBorder="1"/>
    <xf numFmtId="9" fontId="0" fillId="0" borderId="21" xfId="1" applyFont="1" applyBorder="1"/>
    <xf numFmtId="9" fontId="0" fillId="0" borderId="23" xfId="1" applyFont="1" applyBorder="1"/>
    <xf numFmtId="9" fontId="26" fillId="2" borderId="0" xfId="0" applyNumberFormat="1" applyFont="1" applyFill="1" applyAlignment="1">
      <alignment horizontal="center" vertical="center"/>
    </xf>
    <xf numFmtId="0" fontId="28" fillId="2" borderId="0" xfId="2" applyFont="1" applyFill="1" applyAlignment="1" applyProtection="1">
      <alignment horizontal="center" vertical="center" wrapText="1"/>
      <protection locked="0"/>
    </xf>
    <xf numFmtId="0" fontId="27" fillId="16" borderId="28" xfId="2" applyFont="1" applyFill="1" applyBorder="1" applyAlignment="1" applyProtection="1">
      <alignment horizontal="center" vertical="center" wrapText="1"/>
      <protection locked="0"/>
    </xf>
    <xf numFmtId="0" fontId="10" fillId="2" borderId="13" xfId="2" applyFont="1" applyFill="1" applyBorder="1" applyAlignment="1" applyProtection="1">
      <alignment horizontal="center" vertical="center" wrapText="1"/>
      <protection locked="0"/>
    </xf>
    <xf numFmtId="0" fontId="31" fillId="5" borderId="10" xfId="2" applyFont="1" applyFill="1" applyBorder="1" applyAlignment="1" applyProtection="1">
      <alignment horizontal="left" vertical="center" wrapText="1"/>
      <protection locked="0"/>
    </xf>
    <xf numFmtId="0" fontId="31" fillId="5" borderId="36" xfId="2" applyFont="1" applyFill="1" applyBorder="1" applyAlignment="1" applyProtection="1">
      <alignment horizontal="left" vertical="center" wrapText="1"/>
      <protection locked="0"/>
    </xf>
    <xf numFmtId="0" fontId="31" fillId="5" borderId="37" xfId="2" applyFont="1" applyFill="1" applyBorder="1" applyAlignment="1" applyProtection="1">
      <alignment horizontal="left" vertical="center" wrapText="1"/>
      <protection locked="0"/>
    </xf>
    <xf numFmtId="0" fontId="31" fillId="5" borderId="38" xfId="2" applyFont="1" applyFill="1" applyBorder="1" applyAlignment="1" applyProtection="1">
      <alignment horizontal="left" vertical="center" wrapText="1"/>
      <protection locked="0"/>
    </xf>
    <xf numFmtId="0" fontId="10" fillId="2" borderId="40" xfId="2" applyFont="1" applyFill="1" applyBorder="1" applyAlignment="1" applyProtection="1">
      <alignment vertical="center" wrapText="1"/>
      <protection locked="0"/>
    </xf>
    <xf numFmtId="0" fontId="10" fillId="2" borderId="41" xfId="2" applyFont="1" applyFill="1" applyBorder="1" applyAlignment="1" applyProtection="1">
      <alignment vertical="center" wrapText="1"/>
      <protection locked="0"/>
    </xf>
    <xf numFmtId="0" fontId="10" fillId="2" borderId="42" xfId="2" applyFont="1" applyFill="1" applyBorder="1" applyAlignment="1" applyProtection="1">
      <alignment vertical="center" wrapText="1"/>
      <protection locked="0"/>
    </xf>
    <xf numFmtId="0" fontId="10" fillId="2" borderId="43" xfId="2" applyFont="1" applyFill="1" applyBorder="1" applyAlignment="1" applyProtection="1">
      <alignment vertical="center" wrapText="1"/>
      <protection locked="0"/>
    </xf>
    <xf numFmtId="0" fontId="36" fillId="20" borderId="47" xfId="0" applyFont="1" applyFill="1" applyBorder="1" applyAlignment="1">
      <alignment horizontal="center" vertical="center" wrapText="1"/>
    </xf>
    <xf numFmtId="0" fontId="8" fillId="10" borderId="48"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14" borderId="48" xfId="0" applyFont="1" applyFill="1" applyBorder="1" applyAlignment="1">
      <alignment horizontal="center" vertical="center" wrapText="1"/>
    </xf>
    <xf numFmtId="0" fontId="8" fillId="9" borderId="48" xfId="0" applyFont="1" applyFill="1" applyBorder="1" applyAlignment="1">
      <alignment horizontal="center" vertical="center" wrapText="1"/>
    </xf>
    <xf numFmtId="0" fontId="8" fillId="21" borderId="48" xfId="0" applyFont="1" applyFill="1" applyBorder="1" applyAlignment="1">
      <alignment horizontal="center" vertical="center" wrapText="1"/>
    </xf>
    <xf numFmtId="0" fontId="8" fillId="18" borderId="48" xfId="0" applyFont="1" applyFill="1" applyBorder="1" applyAlignment="1">
      <alignment horizontal="center" vertical="center" wrapText="1"/>
    </xf>
    <xf numFmtId="10" fontId="38" fillId="23" borderId="31" xfId="0" applyNumberFormat="1" applyFont="1" applyFill="1" applyBorder="1" applyAlignment="1">
      <alignment horizontal="center" vertical="center" wrapText="1"/>
    </xf>
    <xf numFmtId="10" fontId="37" fillId="22" borderId="45" xfId="0" applyNumberFormat="1" applyFont="1" applyFill="1" applyBorder="1" applyAlignment="1">
      <alignment horizontal="center" vertical="center" wrapText="1"/>
    </xf>
    <xf numFmtId="0" fontId="13" fillId="0" borderId="6" xfId="0" applyFont="1" applyBorder="1" applyAlignment="1">
      <alignment horizontal="left" vertical="center" wrapText="1"/>
    </xf>
    <xf numFmtId="0" fontId="12" fillId="0" borderId="13" xfId="0" applyFont="1" applyBorder="1" applyAlignment="1">
      <alignment vertical="center" wrapText="1"/>
    </xf>
    <xf numFmtId="0" fontId="16" fillId="4" borderId="13" xfId="0" applyFont="1" applyFill="1" applyBorder="1" applyAlignment="1">
      <alignment horizontal="center" vertical="center" wrapText="1"/>
    </xf>
    <xf numFmtId="9" fontId="5" fillId="0" borderId="0" xfId="1" applyFont="1" applyAlignment="1"/>
    <xf numFmtId="0" fontId="5" fillId="0" borderId="13" xfId="2" applyFont="1" applyBorder="1" applyAlignment="1">
      <alignment horizontal="center" vertical="center"/>
    </xf>
    <xf numFmtId="0" fontId="42" fillId="0" borderId="0" xfId="7" applyFont="1"/>
    <xf numFmtId="9" fontId="42" fillId="0" borderId="0" xfId="1" applyFont="1"/>
    <xf numFmtId="9" fontId="5" fillId="0" borderId="0" xfId="6" applyFont="1" applyAlignment="1"/>
    <xf numFmtId="13" fontId="42" fillId="0" borderId="0" xfId="1" applyNumberFormat="1" applyFont="1"/>
    <xf numFmtId="10" fontId="39" fillId="0" borderId="13" xfId="7" applyNumberFormat="1" applyFont="1" applyBorder="1" applyAlignment="1">
      <alignment horizontal="center" vertical="center" wrapText="1"/>
    </xf>
    <xf numFmtId="0" fontId="42" fillId="0" borderId="13" xfId="7" applyFont="1" applyBorder="1"/>
    <xf numFmtId="0" fontId="43" fillId="2" borderId="0" xfId="2" applyFont="1" applyFill="1" applyAlignment="1" applyProtection="1">
      <alignment horizontal="center" vertical="center"/>
      <protection locked="0"/>
    </xf>
    <xf numFmtId="0" fontId="43" fillId="2" borderId="28" xfId="2" applyFont="1" applyFill="1" applyBorder="1" applyProtection="1">
      <protection locked="0"/>
    </xf>
    <xf numFmtId="0" fontId="43" fillId="2" borderId="29" xfId="2" applyFont="1" applyFill="1" applyBorder="1" applyProtection="1">
      <protection locked="0"/>
    </xf>
    <xf numFmtId="0" fontId="44" fillId="2" borderId="29" xfId="2" applyFont="1" applyFill="1" applyBorder="1" applyProtection="1">
      <protection locked="0"/>
    </xf>
    <xf numFmtId="0" fontId="43" fillId="2" borderId="29" xfId="2" applyFont="1" applyFill="1" applyBorder="1" applyAlignment="1" applyProtection="1">
      <alignment wrapText="1"/>
      <protection locked="0"/>
    </xf>
    <xf numFmtId="0" fontId="43" fillId="2" borderId="30" xfId="2" applyFont="1" applyFill="1" applyBorder="1" applyProtection="1">
      <protection locked="0"/>
    </xf>
    <xf numFmtId="0" fontId="2" fillId="0" borderId="0" xfId="0" applyFont="1"/>
    <xf numFmtId="9" fontId="47" fillId="0" borderId="1" xfId="3" applyFont="1" applyFill="1" applyBorder="1" applyAlignment="1" applyProtection="1">
      <alignment horizontal="center" vertical="center" wrapText="1"/>
    </xf>
    <xf numFmtId="1" fontId="47" fillId="2" borderId="1" xfId="3" applyNumberFormat="1" applyFont="1" applyFill="1" applyBorder="1" applyAlignment="1" applyProtection="1">
      <alignment horizontal="center" vertical="center" wrapText="1"/>
    </xf>
    <xf numFmtId="0" fontId="39" fillId="27" borderId="1" xfId="7" applyFont="1" applyFill="1" applyBorder="1" applyAlignment="1">
      <alignment horizontal="center" vertical="center" wrapText="1"/>
    </xf>
    <xf numFmtId="9" fontId="39" fillId="27" borderId="1" xfId="1" applyFont="1" applyFill="1" applyBorder="1" applyAlignment="1">
      <alignment horizontal="center" vertical="center" wrapText="1"/>
    </xf>
    <xf numFmtId="9" fontId="39" fillId="27" borderId="1" xfId="6" applyFont="1" applyFill="1" applyBorder="1" applyAlignment="1">
      <alignment horizontal="center" vertical="center" wrapText="1"/>
    </xf>
    <xf numFmtId="0" fontId="5" fillId="0" borderId="2" xfId="2" applyFont="1" applyBorder="1" applyAlignment="1">
      <alignment horizontal="center" vertical="center"/>
    </xf>
    <xf numFmtId="0" fontId="39" fillId="0" borderId="2" xfId="7" applyFont="1" applyBorder="1" applyAlignment="1">
      <alignment horizontal="center" vertical="center" wrapText="1"/>
    </xf>
    <xf numFmtId="0" fontId="18" fillId="0" borderId="2" xfId="7" applyFont="1" applyBorder="1" applyAlignment="1">
      <alignment horizontal="center" vertical="center" wrapText="1"/>
    </xf>
    <xf numFmtId="9" fontId="18" fillId="0" borderId="2" xfId="1" applyFont="1" applyFill="1" applyBorder="1" applyAlignment="1">
      <alignment horizontal="center" vertical="center" wrapText="1"/>
    </xf>
    <xf numFmtId="9" fontId="18" fillId="7" borderId="2" xfId="1" applyFont="1" applyFill="1" applyBorder="1" applyAlignment="1">
      <alignment horizontal="center" vertical="center" wrapText="1"/>
    </xf>
    <xf numFmtId="9" fontId="18" fillId="0" borderId="2" xfId="6" applyFont="1" applyFill="1" applyBorder="1" applyAlignment="1">
      <alignment horizontal="center" vertical="center" wrapText="1"/>
    </xf>
    <xf numFmtId="10" fontId="39" fillId="0" borderId="2" xfId="7" applyNumberFormat="1" applyFont="1" applyBorder="1" applyAlignment="1">
      <alignment horizontal="center" vertical="center" wrapText="1"/>
    </xf>
    <xf numFmtId="0" fontId="48" fillId="0" borderId="0" xfId="7" applyFont="1"/>
    <xf numFmtId="9" fontId="18" fillId="7" borderId="2" xfId="6" applyFont="1" applyFill="1" applyBorder="1" applyAlignment="1">
      <alignment horizontal="center" vertical="center" wrapText="1"/>
    </xf>
    <xf numFmtId="9" fontId="41" fillId="2" borderId="1" xfId="3" applyFont="1" applyFill="1" applyBorder="1" applyAlignment="1" applyProtection="1">
      <alignment horizontal="center" vertical="center" wrapText="1"/>
    </xf>
    <xf numFmtId="9" fontId="41" fillId="0" borderId="1" xfId="3" applyFont="1" applyFill="1" applyBorder="1" applyAlignment="1" applyProtection="1">
      <alignment horizontal="center" vertical="center" wrapText="1"/>
    </xf>
    <xf numFmtId="1" fontId="41" fillId="2" borderId="1" xfId="3" applyNumberFormat="1" applyFont="1" applyFill="1" applyBorder="1" applyAlignment="1" applyProtection="1">
      <alignment horizontal="center" vertical="center" wrapText="1"/>
    </xf>
    <xf numFmtId="9" fontId="42" fillId="0" borderId="1" xfId="2" applyNumberFormat="1" applyFont="1" applyBorder="1" applyAlignment="1">
      <alignment horizontal="center" vertical="center"/>
    </xf>
    <xf numFmtId="0" fontId="41" fillId="0" borderId="1" xfId="2" applyFont="1" applyBorder="1" applyAlignment="1">
      <alignment horizontal="justify" vertical="center" wrapText="1"/>
    </xf>
    <xf numFmtId="9" fontId="18" fillId="0" borderId="2" xfId="12" applyNumberFormat="1" applyFont="1" applyBorder="1" applyAlignment="1">
      <alignment horizontal="center" vertical="center" wrapText="1"/>
    </xf>
    <xf numFmtId="9" fontId="18" fillId="0" borderId="2" xfId="1" applyFont="1" applyBorder="1" applyAlignment="1">
      <alignment horizontal="center" vertical="center" wrapText="1"/>
    </xf>
    <xf numFmtId="1" fontId="18" fillId="0" borderId="2" xfId="1" applyNumberFormat="1" applyFont="1" applyBorder="1" applyAlignment="1">
      <alignment horizontal="center" vertical="center" wrapText="1"/>
    </xf>
    <xf numFmtId="9" fontId="41" fillId="0" borderId="2" xfId="1" applyFont="1" applyFill="1" applyBorder="1" applyAlignment="1">
      <alignment horizontal="justify" vertical="center" wrapText="1"/>
    </xf>
    <xf numFmtId="9" fontId="49" fillId="0" borderId="3" xfId="14" applyNumberFormat="1" applyFont="1" applyFill="1" applyBorder="1" applyAlignment="1">
      <alignment horizontal="justify" vertical="center" wrapText="1"/>
    </xf>
    <xf numFmtId="0" fontId="8" fillId="0" borderId="27" xfId="0" applyFont="1" applyBorder="1" applyAlignment="1">
      <alignment vertical="center" wrapText="1"/>
    </xf>
    <xf numFmtId="0" fontId="8" fillId="0" borderId="30" xfId="0" applyFont="1" applyBorder="1" applyAlignment="1">
      <alignment vertical="center" wrapText="1"/>
    </xf>
    <xf numFmtId="1" fontId="41" fillId="0" borderId="1" xfId="0" applyNumberFormat="1" applyFont="1" applyBorder="1" applyAlignment="1" applyProtection="1">
      <alignment horizontal="center" vertical="center" wrapText="1"/>
      <protection locked="0"/>
    </xf>
    <xf numFmtId="1" fontId="41" fillId="0" borderId="1" xfId="1" applyNumberFormat="1" applyFont="1" applyFill="1" applyBorder="1" applyAlignment="1">
      <alignment horizontal="center" vertical="center"/>
    </xf>
    <xf numFmtId="9" fontId="47" fillId="0" borderId="50" xfId="3" applyFont="1" applyFill="1" applyBorder="1" applyAlignment="1" applyProtection="1">
      <alignment horizontal="center" vertical="center" wrapText="1"/>
    </xf>
    <xf numFmtId="0" fontId="42" fillId="2" borderId="0" xfId="2" applyFont="1" applyFill="1"/>
    <xf numFmtId="0" fontId="42" fillId="2" borderId="0" xfId="2" applyFont="1" applyFill="1" applyAlignment="1">
      <alignment horizontal="center" vertical="center" wrapText="1"/>
    </xf>
    <xf numFmtId="0" fontId="5" fillId="2" borderId="0" xfId="2" applyFont="1" applyFill="1"/>
    <xf numFmtId="0" fontId="50" fillId="26" borderId="1" xfId="2" applyFont="1" applyFill="1" applyBorder="1"/>
    <xf numFmtId="0" fontId="51" fillId="26" borderId="1" xfId="2" applyFont="1" applyFill="1" applyBorder="1" applyAlignment="1">
      <alignment vertical="center" wrapText="1"/>
    </xf>
    <xf numFmtId="0" fontId="51" fillId="26" borderId="1" xfId="2" applyFont="1" applyFill="1" applyBorder="1" applyAlignment="1" applyProtection="1">
      <alignment horizontal="center" vertical="center" wrapText="1"/>
      <protection locked="0"/>
    </xf>
    <xf numFmtId="0" fontId="51" fillId="26" borderId="1" xfId="2" applyFont="1" applyFill="1" applyBorder="1" applyAlignment="1" applyProtection="1">
      <alignment vertical="center" wrapText="1"/>
      <protection locked="0"/>
    </xf>
    <xf numFmtId="0" fontId="51" fillId="26" borderId="1" xfId="2" applyFont="1" applyFill="1" applyBorder="1" applyAlignment="1" applyProtection="1">
      <alignment horizontal="left" vertical="center" wrapText="1"/>
      <protection locked="0"/>
    </xf>
    <xf numFmtId="0" fontId="51" fillId="26" borderId="1" xfId="2" applyFont="1" applyFill="1" applyBorder="1" applyAlignment="1">
      <alignment horizontal="center" vertical="center" wrapText="1"/>
    </xf>
    <xf numFmtId="9" fontId="52" fillId="28" borderId="1" xfId="1" applyFont="1" applyFill="1" applyBorder="1" applyAlignment="1">
      <alignment horizontal="center" vertical="center"/>
    </xf>
    <xf numFmtId="9" fontId="42" fillId="28" borderId="50" xfId="1" applyFont="1" applyFill="1" applyBorder="1" applyAlignment="1">
      <alignment horizontal="center" vertical="center"/>
    </xf>
    <xf numFmtId="0" fontId="52" fillId="28" borderId="17" xfId="0" applyFont="1" applyFill="1" applyBorder="1" applyAlignment="1">
      <alignment horizontal="center" vertical="center" textRotation="180" wrapText="1"/>
    </xf>
    <xf numFmtId="0" fontId="52" fillId="28" borderId="17" xfId="0" applyFont="1" applyFill="1" applyBorder="1" applyAlignment="1">
      <alignment horizontal="center" vertical="center" wrapText="1"/>
    </xf>
    <xf numFmtId="0" fontId="53" fillId="2" borderId="0" xfId="2" applyFont="1" applyFill="1" applyAlignment="1">
      <alignment horizontal="center"/>
    </xf>
    <xf numFmtId="0" fontId="41" fillId="24" borderId="13" xfId="0" applyFont="1" applyFill="1" applyBorder="1" applyAlignment="1" applyProtection="1">
      <alignment vertical="center" wrapText="1"/>
      <protection locked="0"/>
    </xf>
    <xf numFmtId="0" fontId="42" fillId="24" borderId="13" xfId="0" applyFont="1" applyFill="1" applyBorder="1" applyAlignment="1" applyProtection="1">
      <alignment vertical="center" wrapText="1"/>
      <protection locked="0"/>
    </xf>
    <xf numFmtId="0" fontId="41" fillId="2" borderId="0" xfId="2" applyFont="1" applyFill="1" applyAlignment="1">
      <alignment horizontal="left" vertical="center" wrapText="1"/>
    </xf>
    <xf numFmtId="1" fontId="41" fillId="2" borderId="0" xfId="2" applyNumberFormat="1" applyFont="1" applyFill="1" applyAlignment="1">
      <alignment horizontal="left" vertical="center"/>
    </xf>
    <xf numFmtId="9" fontId="42" fillId="2" borderId="0" xfId="1" applyFont="1" applyFill="1" applyBorder="1" applyAlignment="1">
      <alignment horizontal="center" vertical="center"/>
    </xf>
    <xf numFmtId="0" fontId="5" fillId="2" borderId="0" xfId="2" applyFont="1" applyFill="1" applyAlignment="1">
      <alignment horizontal="center" vertical="center"/>
    </xf>
    <xf numFmtId="9" fontId="42" fillId="2" borderId="3" xfId="1" applyFont="1" applyFill="1" applyBorder="1" applyAlignment="1">
      <alignment horizontal="center" vertical="center"/>
    </xf>
    <xf numFmtId="9" fontId="42" fillId="2" borderId="55" xfId="1" applyFont="1" applyFill="1" applyBorder="1" applyAlignment="1">
      <alignment horizontal="center" vertical="center"/>
    </xf>
    <xf numFmtId="1" fontId="42" fillId="0" borderId="1" xfId="2" applyNumberFormat="1" applyFont="1" applyBorder="1" applyAlignment="1">
      <alignment horizontal="center" vertical="center"/>
    </xf>
    <xf numFmtId="0" fontId="41" fillId="0" borderId="1" xfId="2" applyFont="1" applyBorder="1" applyAlignment="1">
      <alignment horizontal="left" vertical="center" wrapText="1"/>
    </xf>
    <xf numFmtId="1" fontId="41" fillId="0" borderId="1" xfId="2" applyNumberFormat="1" applyFont="1" applyBorder="1" applyAlignment="1">
      <alignment horizontal="left" vertical="center"/>
    </xf>
    <xf numFmtId="0" fontId="49" fillId="0" borderId="1" xfId="14" applyFont="1" applyBorder="1" applyAlignment="1">
      <alignment horizontal="left" vertical="center" wrapText="1"/>
    </xf>
    <xf numFmtId="0" fontId="42" fillId="0" borderId="1" xfId="0" applyFont="1" applyBorder="1" applyAlignment="1" applyProtection="1">
      <alignment horizontal="center" vertical="center"/>
      <protection locked="0"/>
    </xf>
    <xf numFmtId="1" fontId="42" fillId="0" borderId="1" xfId="2" applyNumberFormat="1" applyFont="1" applyBorder="1" applyAlignment="1" applyProtection="1">
      <alignment horizontal="center" vertical="center"/>
      <protection locked="0"/>
    </xf>
    <xf numFmtId="0" fontId="41" fillId="0" borderId="1" xfId="0" applyFont="1" applyBorder="1" applyAlignment="1" applyProtection="1">
      <alignment horizontal="left" vertical="center" wrapText="1"/>
      <protection locked="0"/>
    </xf>
    <xf numFmtId="0" fontId="55" fillId="0" borderId="1" xfId="14"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42" fillId="0" borderId="1" xfId="0" applyFont="1" applyBorder="1" applyAlignment="1">
      <alignment horizontal="center" vertical="center"/>
    </xf>
    <xf numFmtId="0" fontId="41" fillId="0" borderId="1" xfId="0" applyFont="1" applyBorder="1" applyAlignment="1">
      <alignment horizontal="justify" vertical="center" wrapText="1"/>
    </xf>
    <xf numFmtId="1" fontId="42" fillId="0" borderId="1" xfId="1" applyNumberFormat="1" applyFont="1" applyFill="1" applyBorder="1" applyAlignment="1">
      <alignment horizontal="center" vertical="center"/>
    </xf>
    <xf numFmtId="9" fontId="42" fillId="2" borderId="1" xfId="0" applyNumberFormat="1" applyFont="1" applyFill="1" applyBorder="1" applyAlignment="1">
      <alignment horizontal="center" vertical="center"/>
    </xf>
    <xf numFmtId="9" fontId="42" fillId="0" borderId="1" xfId="0" applyNumberFormat="1" applyFont="1" applyBorder="1" applyAlignment="1">
      <alignment horizontal="center" vertical="center"/>
    </xf>
    <xf numFmtId="0" fontId="5" fillId="2" borderId="0" xfId="2" applyFont="1" applyFill="1" applyAlignment="1">
      <alignment wrapText="1"/>
    </xf>
    <xf numFmtId="0" fontId="41" fillId="2" borderId="1" xfId="0" applyFont="1" applyFill="1" applyBorder="1" applyAlignment="1">
      <alignment horizontal="center" vertical="center" wrapText="1"/>
    </xf>
    <xf numFmtId="0" fontId="42" fillId="2" borderId="1" xfId="0" applyFont="1" applyFill="1" applyBorder="1" applyAlignment="1">
      <alignment horizontal="center" vertical="center"/>
    </xf>
    <xf numFmtId="9" fontId="47" fillId="2" borderId="1" xfId="3" applyFont="1" applyFill="1" applyBorder="1" applyAlignment="1" applyProtection="1">
      <alignment horizontal="center" vertical="center" wrapText="1"/>
    </xf>
    <xf numFmtId="9" fontId="41" fillId="0" borderId="1" xfId="0" applyNumberFormat="1" applyFont="1" applyBorder="1" applyAlignment="1">
      <alignment horizontal="center" vertical="center"/>
    </xf>
    <xf numFmtId="0" fontId="41" fillId="24" borderId="1" xfId="0" applyFont="1" applyFill="1" applyBorder="1" applyAlignment="1">
      <alignment vertical="center" wrapText="1"/>
    </xf>
    <xf numFmtId="1" fontId="41" fillId="0" borderId="1" xfId="1" applyNumberFormat="1" applyFont="1" applyFill="1" applyBorder="1" applyAlignment="1" applyProtection="1">
      <alignment horizontal="center" vertical="center" wrapText="1"/>
      <protection locked="0"/>
    </xf>
    <xf numFmtId="0" fontId="41" fillId="24" borderId="1" xfId="0" applyFont="1" applyFill="1" applyBorder="1" applyAlignment="1" applyProtection="1">
      <alignment vertical="center" wrapText="1"/>
      <protection locked="0"/>
    </xf>
    <xf numFmtId="0" fontId="55" fillId="24" borderId="1" xfId="14" applyFont="1" applyFill="1" applyBorder="1" applyAlignment="1" applyProtection="1">
      <alignment vertical="center" wrapText="1"/>
      <protection locked="0"/>
    </xf>
    <xf numFmtId="0" fontId="41" fillId="0" borderId="1" xfId="2" applyFont="1" applyBorder="1" applyAlignment="1" applyProtection="1">
      <alignment horizontal="justify" vertical="center" wrapText="1"/>
      <protection locked="0"/>
    </xf>
    <xf numFmtId="0" fontId="55" fillId="0" borderId="1" xfId="14" applyFont="1" applyBorder="1" applyAlignment="1" applyProtection="1">
      <alignment horizontal="justify" vertical="center" wrapText="1"/>
      <protection locked="0"/>
    </xf>
    <xf numFmtId="9" fontId="42" fillId="0" borderId="1" xfId="1" applyFont="1" applyFill="1" applyBorder="1" applyAlignment="1" applyProtection="1">
      <alignment horizontal="center" vertical="center"/>
      <protection locked="0"/>
    </xf>
    <xf numFmtId="9" fontId="42" fillId="24" borderId="1" xfId="0" applyNumberFormat="1" applyFont="1" applyFill="1" applyBorder="1" applyAlignment="1">
      <alignment horizontal="center" vertical="center"/>
    </xf>
    <xf numFmtId="0" fontId="5" fillId="2" borderId="0" xfId="2" applyFont="1" applyFill="1" applyAlignment="1">
      <alignment horizontal="center" vertical="center" wrapText="1"/>
    </xf>
    <xf numFmtId="0" fontId="5" fillId="2" borderId="0" xfId="2" applyFont="1" applyFill="1" applyAlignment="1">
      <alignment horizontal="left" vertical="center" wrapText="1"/>
    </xf>
    <xf numFmtId="0" fontId="5" fillId="2" borderId="0" xfId="2" applyFont="1" applyFill="1" applyAlignment="1">
      <alignment horizontal="left" wrapText="1"/>
    </xf>
    <xf numFmtId="0" fontId="5" fillId="2" borderId="0" xfId="2" applyFont="1" applyFill="1" applyAlignment="1">
      <alignment horizontal="center" wrapText="1"/>
    </xf>
    <xf numFmtId="0" fontId="5" fillId="2" borderId="0" xfId="2" applyFont="1" applyFill="1" applyAlignment="1">
      <alignment horizontal="center"/>
    </xf>
    <xf numFmtId="0" fontId="5" fillId="2" borderId="0" xfId="2" applyFont="1" applyFill="1" applyAlignment="1">
      <alignment vertical="center"/>
    </xf>
    <xf numFmtId="9" fontId="5" fillId="2" borderId="0" xfId="1" applyFont="1" applyFill="1"/>
    <xf numFmtId="0" fontId="56" fillId="2" borderId="0" xfId="2" applyFont="1" applyFill="1" applyAlignment="1" applyProtection="1">
      <alignment vertical="center" wrapText="1"/>
      <protection locked="0"/>
    </xf>
    <xf numFmtId="9" fontId="41" fillId="2" borderId="1" xfId="3" applyFont="1" applyFill="1" applyBorder="1" applyAlignment="1" applyProtection="1">
      <alignment horizontal="justify" vertical="center" wrapText="1"/>
    </xf>
    <xf numFmtId="1" fontId="41" fillId="2" borderId="1" xfId="3" applyNumberFormat="1" applyFont="1" applyFill="1" applyBorder="1" applyAlignment="1" applyProtection="1">
      <alignment horizontal="justify" vertical="center" wrapText="1"/>
    </xf>
    <xf numFmtId="9" fontId="47" fillId="2" borderId="1" xfId="3" applyFont="1" applyFill="1" applyBorder="1" applyAlignment="1" applyProtection="1">
      <alignment horizontal="justify" vertical="center" wrapText="1"/>
    </xf>
    <xf numFmtId="9" fontId="47" fillId="9" borderId="1" xfId="3" applyFont="1" applyFill="1" applyBorder="1" applyAlignment="1" applyProtection="1">
      <alignment horizontal="justify" vertical="center" wrapText="1"/>
    </xf>
    <xf numFmtId="0" fontId="59" fillId="0" borderId="1" xfId="0" applyFont="1" applyBorder="1" applyAlignment="1">
      <alignment horizontal="center" vertical="center"/>
    </xf>
    <xf numFmtId="9" fontId="59" fillId="0" borderId="1" xfId="0" applyNumberFormat="1" applyFont="1" applyBorder="1" applyAlignment="1">
      <alignment horizontal="center" vertical="center"/>
    </xf>
    <xf numFmtId="0" fontId="17" fillId="0" borderId="56" xfId="14" applyFill="1" applyBorder="1" applyAlignment="1">
      <alignment horizontal="center" vertical="center"/>
    </xf>
    <xf numFmtId="0" fontId="60" fillId="0" borderId="1" xfId="0" applyFont="1" applyBorder="1" applyAlignment="1">
      <alignment wrapText="1"/>
    </xf>
    <xf numFmtId="0" fontId="60" fillId="0" borderId="1" xfId="0" applyFont="1" applyBorder="1" applyAlignment="1">
      <alignment horizontal="center" vertical="center" wrapText="1"/>
    </xf>
    <xf numFmtId="0" fontId="46" fillId="24" borderId="1" xfId="0" applyFont="1" applyFill="1" applyBorder="1" applyAlignment="1">
      <alignment wrapText="1"/>
    </xf>
    <xf numFmtId="0" fontId="46" fillId="24" borderId="1" xfId="0" applyFont="1" applyFill="1" applyBorder="1" applyAlignment="1">
      <alignment vertical="center" wrapText="1"/>
    </xf>
    <xf numFmtId="0" fontId="46" fillId="24" borderId="1" xfId="0" applyFont="1" applyFill="1" applyBorder="1" applyAlignment="1">
      <alignment horizontal="center" vertical="center" wrapText="1"/>
    </xf>
    <xf numFmtId="0" fontId="46" fillId="24" borderId="1" xfId="0" applyFont="1" applyFill="1" applyBorder="1" applyAlignment="1">
      <alignment horizontal="center" vertical="center"/>
    </xf>
    <xf numFmtId="0" fontId="62" fillId="24" borderId="1" xfId="0" applyFont="1" applyFill="1" applyBorder="1" applyAlignment="1">
      <alignment horizontal="center" vertical="center" wrapText="1"/>
    </xf>
    <xf numFmtId="9" fontId="42" fillId="0" borderId="1" xfId="1" applyFont="1" applyBorder="1" applyAlignment="1">
      <alignment horizontal="center" vertical="center" wrapText="1"/>
    </xf>
    <xf numFmtId="0" fontId="59" fillId="0" borderId="1" xfId="0" applyFont="1" applyBorder="1" applyAlignment="1">
      <alignment wrapText="1"/>
    </xf>
    <xf numFmtId="0" fontId="17" fillId="0" borderId="50" xfId="14" applyBorder="1" applyAlignment="1">
      <alignment vertical="center" wrapText="1"/>
    </xf>
    <xf numFmtId="0" fontId="46" fillId="0" borderId="13" xfId="0" applyFont="1" applyBorder="1" applyAlignment="1">
      <alignment wrapText="1"/>
    </xf>
    <xf numFmtId="0" fontId="46" fillId="0" borderId="53" xfId="0" applyFont="1" applyBorder="1" applyAlignment="1">
      <alignment wrapText="1"/>
    </xf>
    <xf numFmtId="0" fontId="17" fillId="0" borderId="1" xfId="14" applyBorder="1" applyAlignment="1">
      <alignment wrapText="1"/>
    </xf>
    <xf numFmtId="0" fontId="17" fillId="0" borderId="1" xfId="14" applyFill="1" applyBorder="1" applyAlignment="1">
      <alignment horizontal="left" vertical="center" wrapText="1"/>
    </xf>
    <xf numFmtId="0" fontId="17" fillId="0" borderId="1" xfId="14" applyFill="1" applyBorder="1" applyAlignment="1">
      <alignment vertical="center" wrapText="1"/>
    </xf>
    <xf numFmtId="0" fontId="63" fillId="0" borderId="1" xfId="0" applyFont="1" applyBorder="1" applyAlignment="1">
      <alignment horizontal="center" vertical="center" wrapText="1"/>
    </xf>
    <xf numFmtId="0" fontId="17" fillId="0" borderId="1" xfId="14" applyFill="1" applyBorder="1" applyAlignment="1">
      <alignment horizontal="center" vertical="center"/>
    </xf>
    <xf numFmtId="1" fontId="42" fillId="0" borderId="50" xfId="2" applyNumberFormat="1" applyFont="1" applyBorder="1" applyAlignment="1">
      <alignment horizontal="center" vertical="center"/>
    </xf>
    <xf numFmtId="0" fontId="48" fillId="0" borderId="55" xfId="0" applyFont="1" applyBorder="1" applyAlignment="1">
      <alignment horizontal="left" vertical="center" wrapText="1"/>
    </xf>
    <xf numFmtId="0" fontId="17" fillId="0" borderId="17" xfId="14" applyFill="1" applyBorder="1" applyAlignment="1">
      <alignment horizontal="center" vertical="center"/>
    </xf>
    <xf numFmtId="0" fontId="59" fillId="0" borderId="1" xfId="0" applyFont="1" applyBorder="1" applyAlignment="1" applyProtection="1">
      <alignment vertical="center" wrapText="1"/>
      <protection locked="0"/>
    </xf>
    <xf numFmtId="0" fontId="17" fillId="0" borderId="1" xfId="14" applyBorder="1" applyAlignment="1">
      <alignment vertical="center" wrapText="1"/>
    </xf>
    <xf numFmtId="0" fontId="46" fillId="0" borderId="1" xfId="0" applyFont="1" applyBorder="1" applyAlignment="1">
      <alignment vertical="center" wrapText="1"/>
    </xf>
    <xf numFmtId="0" fontId="46" fillId="0" borderId="53" xfId="0" applyFont="1" applyBorder="1" applyAlignment="1">
      <alignment vertical="center" wrapText="1"/>
    </xf>
    <xf numFmtId="9" fontId="59" fillId="0" borderId="50" xfId="0" applyNumberFormat="1" applyFont="1" applyBorder="1" applyAlignment="1">
      <alignment horizontal="center" vertical="center"/>
    </xf>
    <xf numFmtId="0" fontId="17" fillId="0" borderId="57" xfId="14" applyBorder="1" applyAlignment="1">
      <alignment horizontal="center" vertical="center"/>
    </xf>
    <xf numFmtId="0" fontId="17" fillId="0" borderId="53" xfId="14" applyBorder="1" applyAlignment="1">
      <alignment horizontal="center" vertical="center"/>
    </xf>
    <xf numFmtId="9" fontId="42" fillId="0" borderId="50" xfId="0" applyNumberFormat="1" applyFont="1" applyBorder="1" applyAlignment="1">
      <alignment horizontal="center" vertical="center"/>
    </xf>
    <xf numFmtId="0" fontId="64" fillId="24" borderId="1" xfId="0" applyFont="1" applyFill="1" applyBorder="1" applyAlignment="1">
      <alignment wrapText="1"/>
    </xf>
    <xf numFmtId="0" fontId="46" fillId="0" borderId="1" xfId="0" applyFont="1" applyBorder="1" applyAlignment="1">
      <alignment vertical="center"/>
    </xf>
    <xf numFmtId="0" fontId="64" fillId="0" borderId="1" xfId="0" applyFont="1" applyBorder="1" applyAlignment="1">
      <alignment wrapText="1"/>
    </xf>
    <xf numFmtId="1" fontId="8" fillId="0" borderId="1" xfId="2" applyNumberFormat="1" applyFont="1" applyBorder="1" applyAlignment="1" applyProtection="1">
      <alignment horizontal="center" vertical="center"/>
      <protection locked="0"/>
    </xf>
    <xf numFmtId="0" fontId="17" fillId="0" borderId="1" xfId="14" applyBorder="1" applyAlignment="1" applyProtection="1">
      <alignment vertical="center" wrapText="1"/>
      <protection locked="0"/>
    </xf>
    <xf numFmtId="9" fontId="8" fillId="0" borderId="1" xfId="2" applyNumberFormat="1" applyFont="1" applyBorder="1" applyAlignment="1" applyProtection="1">
      <alignment horizontal="center" vertical="center"/>
      <protection locked="0"/>
    </xf>
    <xf numFmtId="0" fontId="59" fillId="0" borderId="17" xfId="0" applyFont="1" applyBorder="1" applyAlignment="1" applyProtection="1">
      <alignment vertical="center" wrapText="1"/>
      <protection locked="0"/>
    </xf>
    <xf numFmtId="0" fontId="17" fillId="0" borderId="17" xfId="14" applyBorder="1" applyAlignment="1" applyProtection="1">
      <alignment vertical="center" wrapText="1"/>
      <protection locked="0"/>
    </xf>
    <xf numFmtId="0" fontId="40" fillId="0" borderId="13" xfId="2" applyFont="1" applyBorder="1" applyAlignment="1" applyProtection="1">
      <alignment horizontal="left" vertical="center" wrapText="1"/>
      <protection locked="0"/>
    </xf>
    <xf numFmtId="0" fontId="17" fillId="0" borderId="13" xfId="14" applyBorder="1" applyAlignment="1" applyProtection="1">
      <alignment horizontal="justify" vertical="center" wrapText="1"/>
      <protection locked="0"/>
    </xf>
    <xf numFmtId="0" fontId="17" fillId="0" borderId="0" xfId="14" applyAlignment="1">
      <alignment vertical="center" wrapText="1"/>
    </xf>
    <xf numFmtId="1" fontId="17" fillId="2" borderId="1" xfId="14" applyNumberFormat="1" applyFill="1" applyBorder="1" applyAlignment="1">
      <alignment horizontal="left" vertical="center" wrapText="1"/>
    </xf>
    <xf numFmtId="9" fontId="59" fillId="24" borderId="1" xfId="0" applyNumberFormat="1" applyFont="1" applyFill="1" applyBorder="1" applyAlignment="1">
      <alignment horizontal="center" vertical="center"/>
    </xf>
    <xf numFmtId="1" fontId="41" fillId="0" borderId="1" xfId="2" applyNumberFormat="1" applyFont="1" applyBorder="1" applyAlignment="1">
      <alignment horizontal="left" vertical="center" wrapText="1"/>
    </xf>
    <xf numFmtId="0" fontId="60" fillId="0" borderId="13" xfId="0" applyFont="1" applyBorder="1" applyAlignment="1">
      <alignment wrapText="1"/>
    </xf>
    <xf numFmtId="0" fontId="60" fillId="0" borderId="13" xfId="0" applyFont="1" applyBorder="1" applyAlignment="1">
      <alignment vertical="center" wrapText="1"/>
    </xf>
    <xf numFmtId="0" fontId="62" fillId="24" borderId="1" xfId="0" applyFont="1" applyFill="1" applyBorder="1" applyAlignment="1">
      <alignment vertical="center" wrapText="1"/>
    </xf>
    <xf numFmtId="0" fontId="17" fillId="24" borderId="1" xfId="14" applyFill="1" applyBorder="1" applyAlignment="1">
      <alignment vertical="center" wrapText="1"/>
    </xf>
    <xf numFmtId="0" fontId="59" fillId="0" borderId="1" xfId="0" applyFont="1" applyBorder="1" applyAlignment="1">
      <alignment vertical="center" wrapText="1"/>
    </xf>
    <xf numFmtId="0" fontId="46" fillId="0" borderId="1" xfId="0" applyFont="1" applyBorder="1" applyAlignment="1">
      <alignment wrapText="1"/>
    </xf>
    <xf numFmtId="0" fontId="59" fillId="24" borderId="1" xfId="0" applyFont="1" applyFill="1" applyBorder="1" applyAlignment="1">
      <alignment wrapText="1"/>
    </xf>
    <xf numFmtId="0" fontId="17" fillId="24" borderId="1" xfId="14" applyFill="1" applyBorder="1" applyAlignment="1">
      <alignment wrapText="1"/>
    </xf>
    <xf numFmtId="0" fontId="59" fillId="24" borderId="1" xfId="0" applyFont="1" applyFill="1" applyBorder="1" applyAlignment="1">
      <alignment horizontal="center"/>
    </xf>
    <xf numFmtId="0" fontId="66" fillId="24" borderId="1" xfId="0" applyFont="1" applyFill="1" applyBorder="1" applyAlignment="1">
      <alignment horizontal="center" vertical="center" wrapText="1"/>
    </xf>
    <xf numFmtId="0" fontId="17" fillId="0" borderId="0" xfId="14" applyAlignment="1">
      <alignment horizontal="center" vertical="center"/>
    </xf>
    <xf numFmtId="0" fontId="17" fillId="24" borderId="1" xfId="14" applyFill="1" applyBorder="1" applyAlignment="1">
      <alignment horizontal="center" vertical="center" wrapText="1"/>
    </xf>
    <xf numFmtId="9" fontId="8" fillId="0" borderId="3" xfId="1" applyFont="1" applyFill="1" applyBorder="1" applyAlignment="1" applyProtection="1">
      <alignment horizontal="center" vertical="center"/>
      <protection locked="0"/>
    </xf>
    <xf numFmtId="0" fontId="40" fillId="0" borderId="3" xfId="2" applyFont="1" applyBorder="1" applyAlignment="1" applyProtection="1">
      <alignment horizontal="left" vertical="center" wrapText="1"/>
      <protection locked="0"/>
    </xf>
    <xf numFmtId="0" fontId="8" fillId="0" borderId="1" xfId="2" applyFont="1" applyBorder="1" applyAlignment="1" applyProtection="1">
      <alignment horizontal="center" vertical="center"/>
      <protection locked="0"/>
    </xf>
    <xf numFmtId="0" fontId="40" fillId="0" borderId="1" xfId="2" applyFont="1" applyBorder="1" applyAlignment="1" applyProtection="1">
      <alignment horizontal="left" vertical="center" wrapText="1"/>
      <protection locked="0"/>
    </xf>
    <xf numFmtId="1" fontId="42" fillId="0" borderId="1" xfId="0" applyNumberFormat="1" applyFont="1" applyBorder="1" applyAlignment="1" applyProtection="1">
      <alignment horizontal="center" vertical="center"/>
      <protection locked="0"/>
    </xf>
    <xf numFmtId="0" fontId="59" fillId="24" borderId="1" xfId="0" applyFont="1" applyFill="1" applyBorder="1" applyAlignment="1">
      <alignment horizontal="center" vertical="center"/>
    </xf>
    <xf numFmtId="0" fontId="59" fillId="0" borderId="1" xfId="0" applyFont="1" applyBorder="1" applyAlignment="1">
      <alignment horizontal="left" vertical="center" wrapText="1"/>
    </xf>
    <xf numFmtId="0" fontId="46" fillId="0" borderId="1" xfId="0" applyFont="1" applyBorder="1" applyAlignment="1">
      <alignment horizontal="center" vertical="center" wrapText="1"/>
    </xf>
    <xf numFmtId="0" fontId="17" fillId="0" borderId="1" xfId="14" applyBorder="1" applyAlignment="1">
      <alignment horizontal="left" vertical="center" wrapText="1"/>
    </xf>
    <xf numFmtId="0" fontId="49" fillId="0" borderId="1" xfId="2" applyFont="1" applyBorder="1" applyAlignment="1">
      <alignment horizontal="left" vertical="center" wrapText="1"/>
    </xf>
    <xf numFmtId="0" fontId="48" fillId="24" borderId="13" xfId="0" applyFont="1" applyFill="1" applyBorder="1" applyAlignment="1">
      <alignment vertical="center" wrapText="1"/>
    </xf>
    <xf numFmtId="9" fontId="42" fillId="2" borderId="3" xfId="1" applyFont="1" applyFill="1" applyBorder="1" applyAlignment="1" applyProtection="1">
      <alignment horizontal="center" vertical="center"/>
    </xf>
    <xf numFmtId="0" fontId="41" fillId="0" borderId="3" xfId="2" applyFont="1" applyBorder="1" applyAlignment="1">
      <alignment horizontal="left" vertical="center" wrapText="1"/>
    </xf>
    <xf numFmtId="0" fontId="49" fillId="0" borderId="3" xfId="14" applyFont="1" applyFill="1" applyBorder="1" applyAlignment="1" applyProtection="1">
      <alignment horizontal="left" vertical="center" wrapText="1"/>
    </xf>
    <xf numFmtId="0" fontId="41" fillId="0" borderId="1" xfId="2" applyFont="1" applyBorder="1" applyAlignment="1">
      <alignment horizontal="left" vertical="center"/>
    </xf>
    <xf numFmtId="0" fontId="49" fillId="0" borderId="1" xfId="14" applyFont="1" applyFill="1" applyBorder="1" applyAlignment="1" applyProtection="1">
      <alignment horizontal="left" vertical="center" wrapText="1"/>
    </xf>
    <xf numFmtId="0" fontId="55" fillId="0" borderId="1" xfId="14" applyFont="1" applyBorder="1" applyAlignment="1" applyProtection="1">
      <alignment horizontal="left" vertical="center" wrapText="1"/>
    </xf>
    <xf numFmtId="0" fontId="42" fillId="0" borderId="1" xfId="0" applyFont="1" applyBorder="1"/>
    <xf numFmtId="0" fontId="49" fillId="0" borderId="1" xfId="14" applyFont="1" applyBorder="1" applyAlignment="1" applyProtection="1">
      <alignment horizontal="left" vertical="center" wrapText="1"/>
    </xf>
    <xf numFmtId="0" fontId="58" fillId="0" borderId="1" xfId="14" applyFont="1" applyBorder="1" applyAlignment="1" applyProtection="1">
      <alignment horizontal="left" vertical="center" wrapText="1"/>
    </xf>
    <xf numFmtId="0" fontId="41" fillId="2" borderId="1" xfId="2" applyFont="1" applyFill="1" applyBorder="1" applyAlignment="1">
      <alignment horizontal="left" vertical="center" wrapText="1"/>
    </xf>
    <xf numFmtId="1" fontId="55" fillId="2" borderId="1" xfId="14" applyNumberFormat="1" applyFont="1" applyFill="1" applyBorder="1" applyAlignment="1" applyProtection="1">
      <alignment horizontal="left" vertical="center" wrapText="1"/>
    </xf>
    <xf numFmtId="0" fontId="55" fillId="0" borderId="1" xfId="14" applyFont="1" applyFill="1" applyBorder="1" applyAlignment="1" applyProtection="1">
      <alignment wrapText="1"/>
    </xf>
    <xf numFmtId="0" fontId="58" fillId="0" borderId="1" xfId="14" applyFont="1" applyFill="1" applyBorder="1" applyAlignment="1" applyProtection="1">
      <alignment horizontal="left" vertical="center" wrapText="1"/>
    </xf>
    <xf numFmtId="0" fontId="58" fillId="0" borderId="50" xfId="14" applyFont="1" applyFill="1" applyBorder="1" applyAlignment="1" applyProtection="1">
      <alignment horizontal="left" vertical="center" wrapText="1"/>
    </xf>
    <xf numFmtId="0" fontId="41" fillId="0" borderId="1" xfId="0" applyFont="1" applyBorder="1" applyAlignment="1">
      <alignment horizontal="left" vertical="center"/>
    </xf>
    <xf numFmtId="9" fontId="41" fillId="0" borderId="1" xfId="0" applyNumberFormat="1" applyFont="1" applyBorder="1" applyAlignment="1">
      <alignment horizontal="center" vertical="center" wrapText="1"/>
    </xf>
    <xf numFmtId="0" fontId="55" fillId="24" borderId="1" xfId="14" applyFont="1" applyFill="1" applyBorder="1" applyAlignment="1" applyProtection="1">
      <alignment vertical="center" wrapText="1"/>
    </xf>
    <xf numFmtId="0" fontId="55" fillId="0" borderId="1" xfId="14" applyFont="1" applyBorder="1" applyAlignment="1" applyProtection="1">
      <alignment horizontal="justify" vertical="center" wrapText="1"/>
    </xf>
    <xf numFmtId="0" fontId="42" fillId="24" borderId="1" xfId="0" applyFont="1" applyFill="1" applyBorder="1" applyAlignment="1">
      <alignment horizontal="left" vertical="center" wrapText="1"/>
    </xf>
    <xf numFmtId="0" fontId="42" fillId="0" borderId="1" xfId="0" applyFont="1" applyBorder="1" applyAlignment="1">
      <alignment horizontal="left" vertical="center" wrapText="1"/>
    </xf>
    <xf numFmtId="0" fontId="5" fillId="2" borderId="0" xfId="2" applyFont="1" applyFill="1" applyAlignment="1">
      <alignment horizontal="left" vertical="center"/>
    </xf>
    <xf numFmtId="0" fontId="42" fillId="0" borderId="13" xfId="2" applyFont="1" applyBorder="1" applyAlignment="1">
      <alignment horizontal="center" vertical="center"/>
    </xf>
    <xf numFmtId="0" fontId="8" fillId="0" borderId="3" xfId="2" applyFont="1" applyBorder="1" applyAlignment="1">
      <alignment horizontal="center" vertical="center"/>
    </xf>
    <xf numFmtId="0" fontId="8" fillId="0" borderId="1" xfId="2" applyFont="1" applyBorder="1" applyAlignment="1">
      <alignment horizontal="center" vertical="center"/>
    </xf>
    <xf numFmtId="0" fontId="42" fillId="0" borderId="1" xfId="2" applyFont="1" applyBorder="1" applyAlignment="1">
      <alignment horizontal="center" vertical="center"/>
    </xf>
    <xf numFmtId="0" fontId="56" fillId="2" borderId="13" xfId="2" applyFont="1" applyFill="1" applyBorder="1" applyAlignment="1">
      <alignment vertical="center" wrapText="1"/>
    </xf>
    <xf numFmtId="9" fontId="42" fillId="0" borderId="1" xfId="1" applyFont="1" applyFill="1" applyBorder="1" applyAlignment="1" applyProtection="1">
      <alignment horizontal="center" vertical="center"/>
    </xf>
    <xf numFmtId="0" fontId="42" fillId="2" borderId="1" xfId="0" applyFont="1" applyFill="1" applyBorder="1" applyAlignment="1">
      <alignment wrapText="1"/>
    </xf>
    <xf numFmtId="0" fontId="17" fillId="0" borderId="53" xfId="14" applyBorder="1" applyProtection="1"/>
    <xf numFmtId="1" fontId="41" fillId="0" borderId="1" xfId="1" applyNumberFormat="1" applyFont="1" applyFill="1" applyBorder="1" applyAlignment="1" applyProtection="1">
      <alignment horizontal="center" vertical="center" wrapText="1"/>
    </xf>
    <xf numFmtId="1" fontId="41" fillId="0" borderId="1" xfId="0" applyNumberFormat="1" applyFont="1" applyBorder="1" applyAlignment="1">
      <alignment horizontal="center" vertical="center" wrapText="1"/>
    </xf>
    <xf numFmtId="9" fontId="8" fillId="0" borderId="1" xfId="1" applyFont="1" applyFill="1" applyBorder="1" applyAlignment="1" applyProtection="1">
      <alignment horizontal="center" vertical="center"/>
    </xf>
    <xf numFmtId="1" fontId="8" fillId="0" borderId="1" xfId="2" applyNumberFormat="1" applyFont="1" applyBorder="1" applyAlignment="1">
      <alignment horizontal="center" vertical="center"/>
    </xf>
    <xf numFmtId="9" fontId="8" fillId="0" borderId="1" xfId="2" applyNumberFormat="1" applyFont="1" applyBorder="1" applyAlignment="1">
      <alignment horizontal="center" vertical="center"/>
    </xf>
    <xf numFmtId="0" fontId="52" fillId="26" borderId="17" xfId="2" applyFont="1" applyFill="1" applyBorder="1" applyAlignment="1">
      <alignment horizontal="center" vertical="center" wrapText="1"/>
    </xf>
    <xf numFmtId="0" fontId="54" fillId="26" borderId="1" xfId="2" applyFont="1" applyFill="1" applyBorder="1" applyAlignment="1">
      <alignment horizontal="center" vertical="center"/>
    </xf>
    <xf numFmtId="0" fontId="41" fillId="2" borderId="50" xfId="2" applyFont="1" applyFill="1" applyBorder="1" applyAlignment="1">
      <alignment horizontal="center" vertical="center" wrapText="1"/>
    </xf>
    <xf numFmtId="0" fontId="41" fillId="2" borderId="1" xfId="2" applyFont="1" applyFill="1" applyBorder="1" applyAlignment="1">
      <alignment horizontal="center" vertical="center" wrapText="1"/>
    </xf>
    <xf numFmtId="164" fontId="41" fillId="2" borderId="1" xfId="3" applyNumberFormat="1" applyFont="1" applyFill="1" applyBorder="1" applyAlignment="1" applyProtection="1">
      <alignment horizontal="center" vertical="center" wrapText="1"/>
    </xf>
    <xf numFmtId="0" fontId="41" fillId="2" borderId="1" xfId="2" applyFont="1" applyFill="1" applyBorder="1" applyAlignment="1">
      <alignment horizontal="justify" vertical="center" wrapText="1"/>
    </xf>
    <xf numFmtId="9" fontId="41" fillId="2" borderId="1" xfId="2" applyNumberFormat="1" applyFont="1" applyFill="1" applyBorder="1" applyAlignment="1">
      <alignment horizontal="center" vertical="center" wrapText="1"/>
    </xf>
    <xf numFmtId="0" fontId="41" fillId="0" borderId="1" xfId="2" applyFont="1" applyBorder="1" applyAlignment="1">
      <alignment horizontal="center" vertical="center" wrapText="1"/>
    </xf>
    <xf numFmtId="0" fontId="55" fillId="2" borderId="1" xfId="14" applyFont="1" applyFill="1" applyBorder="1" applyAlignment="1" applyProtection="1">
      <alignment horizontal="left" vertical="center" wrapText="1"/>
    </xf>
    <xf numFmtId="14" fontId="41" fillId="2" borderId="1" xfId="1" applyNumberFormat="1" applyFont="1" applyFill="1" applyBorder="1" applyAlignment="1" applyProtection="1">
      <alignment horizontal="center" vertical="center" wrapText="1"/>
    </xf>
    <xf numFmtId="0" fontId="41" fillId="24" borderId="13" xfId="0" applyFont="1" applyFill="1" applyBorder="1" applyAlignment="1">
      <alignment horizontal="justify" vertical="center" wrapText="1"/>
    </xf>
    <xf numFmtId="9" fontId="42" fillId="0" borderId="13" xfId="1" applyFont="1" applyFill="1" applyBorder="1" applyAlignment="1" applyProtection="1">
      <alignment horizontal="center" vertical="center"/>
    </xf>
    <xf numFmtId="0" fontId="49" fillId="0" borderId="50" xfId="2" applyFont="1" applyBorder="1" applyAlignment="1">
      <alignment horizontal="center" vertical="center" wrapText="1"/>
    </xf>
    <xf numFmtId="164" fontId="41" fillId="0" borderId="1" xfId="3" applyNumberFormat="1" applyFont="1" applyFill="1" applyBorder="1" applyAlignment="1" applyProtection="1">
      <alignment horizontal="center" vertical="center" wrapText="1"/>
    </xf>
    <xf numFmtId="0" fontId="48" fillId="0" borderId="1" xfId="2" applyFont="1" applyBorder="1" applyAlignment="1">
      <alignment horizontal="justify" vertical="center" wrapText="1"/>
    </xf>
    <xf numFmtId="164" fontId="41" fillId="0" borderId="1" xfId="2" applyNumberFormat="1" applyFont="1" applyBorder="1" applyAlignment="1">
      <alignment horizontal="center" vertical="center" wrapText="1"/>
    </xf>
    <xf numFmtId="0" fontId="56" fillId="24" borderId="13" xfId="0" applyFont="1" applyFill="1" applyBorder="1" applyAlignment="1">
      <alignment horizontal="justify" vertical="center" wrapText="1"/>
    </xf>
    <xf numFmtId="0" fontId="56" fillId="24" borderId="2" xfId="0" applyFont="1" applyFill="1" applyBorder="1" applyAlignment="1">
      <alignment horizontal="justify" vertical="center" wrapText="1"/>
    </xf>
    <xf numFmtId="0" fontId="56" fillId="24" borderId="0" xfId="0" applyFont="1" applyFill="1" applyAlignment="1">
      <alignment horizontal="justify" vertical="center" wrapText="1"/>
    </xf>
    <xf numFmtId="0" fontId="41" fillId="0" borderId="50" xfId="2" applyFont="1" applyBorder="1" applyAlignment="1">
      <alignment horizontal="center" vertical="center" wrapText="1"/>
    </xf>
    <xf numFmtId="0" fontId="41" fillId="0" borderId="1" xfId="1" applyNumberFormat="1" applyFont="1" applyFill="1" applyBorder="1" applyAlignment="1" applyProtection="1">
      <alignment horizontal="center" vertical="center"/>
    </xf>
    <xf numFmtId="0" fontId="47" fillId="0" borderId="1" xfId="1" applyNumberFormat="1" applyFont="1" applyFill="1" applyBorder="1" applyAlignment="1" applyProtection="1">
      <alignment horizontal="center" vertical="center"/>
    </xf>
    <xf numFmtId="0" fontId="8" fillId="0" borderId="1" xfId="1" applyNumberFormat="1" applyFont="1" applyFill="1" applyBorder="1" applyAlignment="1" applyProtection="1">
      <alignment horizontal="center" vertical="center"/>
    </xf>
    <xf numFmtId="9" fontId="41" fillId="0" borderId="1" xfId="1" applyFont="1" applyFill="1" applyBorder="1" applyAlignment="1" applyProtection="1">
      <alignment horizontal="center" vertical="center"/>
    </xf>
    <xf numFmtId="9" fontId="41" fillId="0" borderId="1" xfId="1" applyFont="1" applyFill="1" applyBorder="1" applyAlignment="1" applyProtection="1">
      <alignment horizontal="justify" vertical="center" wrapText="1"/>
    </xf>
    <xf numFmtId="9" fontId="41" fillId="0" borderId="1" xfId="1" applyFont="1" applyFill="1" applyBorder="1" applyAlignment="1" applyProtection="1">
      <alignment horizontal="justify" vertical="center"/>
    </xf>
    <xf numFmtId="9" fontId="41" fillId="0" borderId="1" xfId="2" applyNumberFormat="1" applyFont="1" applyBorder="1" applyAlignment="1">
      <alignment horizontal="center" vertical="center" wrapText="1"/>
    </xf>
    <xf numFmtId="9" fontId="41" fillId="0" borderId="1" xfId="0" applyNumberFormat="1" applyFont="1" applyBorder="1" applyAlignment="1">
      <alignment horizontal="justify" vertical="center" wrapText="1"/>
    </xf>
    <xf numFmtId="0" fontId="55" fillId="0" borderId="1" xfId="14" applyFont="1" applyFill="1" applyBorder="1" applyAlignment="1" applyProtection="1">
      <alignment horizontal="left" vertical="center" wrapText="1"/>
    </xf>
    <xf numFmtId="14" fontId="41" fillId="0" borderId="1" xfId="2" applyNumberFormat="1" applyFont="1" applyBorder="1" applyAlignment="1">
      <alignment horizontal="center" vertical="center" wrapText="1"/>
    </xf>
    <xf numFmtId="1" fontId="41" fillId="0" borderId="1" xfId="2" applyNumberFormat="1" applyFont="1" applyBorder="1" applyAlignment="1">
      <alignment horizontal="center" vertical="center"/>
    </xf>
    <xf numFmtId="14" fontId="41" fillId="0" borderId="1" xfId="1" applyNumberFormat="1" applyFont="1" applyFill="1" applyBorder="1" applyAlignment="1" applyProtection="1">
      <alignment horizontal="center" vertical="center" wrapText="1"/>
    </xf>
    <xf numFmtId="1" fontId="47" fillId="0" borderId="1" xfId="2" applyNumberFormat="1" applyFont="1" applyBorder="1" applyAlignment="1">
      <alignment horizontal="center" vertical="center"/>
    </xf>
    <xf numFmtId="1" fontId="41" fillId="0" borderId="1" xfId="2" applyNumberFormat="1" applyFont="1" applyBorder="1" applyAlignment="1">
      <alignment horizontal="justify" vertical="center"/>
    </xf>
    <xf numFmtId="1" fontId="41" fillId="2" borderId="1" xfId="2" applyNumberFormat="1" applyFont="1" applyFill="1" applyBorder="1" applyAlignment="1">
      <alignment horizontal="center" vertical="center"/>
    </xf>
    <xf numFmtId="1" fontId="47" fillId="2" borderId="1" xfId="2" applyNumberFormat="1" applyFont="1" applyFill="1" applyBorder="1" applyAlignment="1">
      <alignment horizontal="center" vertical="center"/>
    </xf>
    <xf numFmtId="1" fontId="41" fillId="0" borderId="1" xfId="2" applyNumberFormat="1" applyFont="1" applyBorder="1" applyAlignment="1">
      <alignment horizontal="justify" vertical="center" wrapText="1"/>
    </xf>
    <xf numFmtId="9" fontId="41" fillId="0" borderId="1" xfId="1" applyFont="1" applyBorder="1" applyAlignment="1" applyProtection="1">
      <alignment horizontal="justify" vertical="center" wrapText="1"/>
    </xf>
    <xf numFmtId="9" fontId="41" fillId="2" borderId="1" xfId="1" applyFont="1" applyFill="1" applyBorder="1" applyAlignment="1" applyProtection="1">
      <alignment horizontal="center" vertical="center"/>
    </xf>
    <xf numFmtId="9" fontId="47" fillId="0" borderId="1" xfId="1" applyFont="1" applyBorder="1" applyAlignment="1" applyProtection="1">
      <alignment horizontal="center" vertical="center"/>
    </xf>
    <xf numFmtId="14" fontId="41" fillId="2" borderId="1" xfId="2" applyNumberFormat="1" applyFont="1" applyFill="1" applyBorder="1" applyAlignment="1">
      <alignment horizontal="center" vertical="center" wrapText="1"/>
    </xf>
    <xf numFmtId="1" fontId="41" fillId="2" borderId="1" xfId="1" applyNumberFormat="1" applyFont="1" applyFill="1" applyBorder="1" applyAlignment="1" applyProtection="1">
      <alignment horizontal="center" vertical="center"/>
    </xf>
    <xf numFmtId="1" fontId="41" fillId="0" borderId="1" xfId="1" applyNumberFormat="1" applyFont="1" applyFill="1" applyBorder="1" applyAlignment="1" applyProtection="1">
      <alignment horizontal="center" vertical="center"/>
    </xf>
    <xf numFmtId="1" fontId="41" fillId="0" borderId="1" xfId="2" applyNumberFormat="1" applyFont="1" applyBorder="1" applyAlignment="1">
      <alignment horizontal="center" vertical="center" wrapText="1"/>
    </xf>
    <xf numFmtId="0" fontId="61" fillId="2" borderId="0" xfId="0" quotePrefix="1" applyFont="1" applyFill="1" applyAlignment="1">
      <alignment horizontal="center" vertical="center"/>
    </xf>
    <xf numFmtId="9" fontId="47" fillId="0" borderId="1" xfId="0" applyNumberFormat="1" applyFont="1" applyBorder="1" applyAlignment="1">
      <alignment horizontal="center" vertical="center" wrapText="1"/>
    </xf>
    <xf numFmtId="0" fontId="55" fillId="2" borderId="1" xfId="14" applyFont="1" applyFill="1" applyBorder="1" applyAlignment="1" applyProtection="1">
      <alignment horizontal="center" vertical="center" wrapText="1"/>
    </xf>
    <xf numFmtId="0" fontId="41" fillId="2" borderId="1" xfId="0" applyFont="1" applyFill="1" applyBorder="1" applyAlignment="1">
      <alignment horizontal="justify" vertical="center" wrapText="1"/>
    </xf>
    <xf numFmtId="0" fontId="41" fillId="24" borderId="1" xfId="0" applyFont="1" applyFill="1" applyBorder="1" applyAlignment="1">
      <alignment horizontal="center" vertical="center" wrapText="1"/>
    </xf>
    <xf numFmtId="0" fontId="41" fillId="24" borderId="1" xfId="0" applyFont="1" applyFill="1" applyBorder="1" applyAlignment="1">
      <alignment horizontal="center" vertical="center"/>
    </xf>
    <xf numFmtId="14" fontId="41" fillId="24" borderId="1" xfId="0" applyNumberFormat="1" applyFont="1" applyFill="1" applyBorder="1" applyAlignment="1">
      <alignment horizontal="center" vertical="center" wrapText="1"/>
    </xf>
    <xf numFmtId="0" fontId="47" fillId="24" borderId="1" xfId="0" applyFont="1" applyFill="1" applyBorder="1" applyAlignment="1">
      <alignment horizontal="center" vertical="center"/>
    </xf>
    <xf numFmtId="0" fontId="41" fillId="24" borderId="1" xfId="0" applyFont="1" applyFill="1" applyBorder="1" applyAlignment="1">
      <alignment horizontal="justify" vertical="center" wrapText="1"/>
    </xf>
    <xf numFmtId="9" fontId="41" fillId="24" borderId="1" xfId="0" applyNumberFormat="1" applyFont="1" applyFill="1" applyBorder="1" applyAlignment="1">
      <alignment horizontal="center" vertical="center"/>
    </xf>
    <xf numFmtId="164" fontId="41" fillId="24" borderId="1" xfId="0" applyNumberFormat="1" applyFont="1" applyFill="1" applyBorder="1" applyAlignment="1">
      <alignment horizontal="center" vertical="center" wrapText="1"/>
    </xf>
    <xf numFmtId="0" fontId="55" fillId="24" borderId="1" xfId="14" applyFont="1" applyFill="1" applyBorder="1" applyAlignment="1" applyProtection="1">
      <alignment horizontal="center" vertical="center" wrapText="1"/>
    </xf>
    <xf numFmtId="9" fontId="47" fillId="24" borderId="1" xfId="0" applyNumberFormat="1" applyFont="1" applyFill="1" applyBorder="1" applyAlignment="1">
      <alignment horizontal="center" vertical="center"/>
    </xf>
    <xf numFmtId="9" fontId="41" fillId="24" borderId="1" xfId="0" applyNumberFormat="1" applyFont="1" applyFill="1" applyBorder="1" applyAlignment="1">
      <alignment horizontal="justify" vertical="center" wrapText="1"/>
    </xf>
    <xf numFmtId="1" fontId="41" fillId="24" borderId="1" xfId="0" applyNumberFormat="1" applyFont="1" applyFill="1" applyBorder="1" applyAlignment="1">
      <alignment horizontal="center" vertical="center"/>
    </xf>
    <xf numFmtId="1" fontId="47" fillId="24" borderId="1" xfId="0" applyNumberFormat="1" applyFont="1" applyFill="1" applyBorder="1" applyAlignment="1">
      <alignment horizontal="center" vertical="center"/>
    </xf>
    <xf numFmtId="1" fontId="41" fillId="24" borderId="1" xfId="0" applyNumberFormat="1" applyFont="1" applyFill="1" applyBorder="1" applyAlignment="1">
      <alignment horizontal="justify" vertical="center" wrapText="1"/>
    </xf>
    <xf numFmtId="10" fontId="41" fillId="2" borderId="1" xfId="2" applyNumberFormat="1" applyFont="1" applyFill="1" applyBorder="1" applyAlignment="1">
      <alignment horizontal="center" vertical="center" wrapText="1"/>
    </xf>
    <xf numFmtId="10" fontId="18" fillId="24" borderId="1" xfId="0" applyNumberFormat="1" applyFont="1" applyFill="1" applyBorder="1" applyAlignment="1">
      <alignment horizontal="center" vertical="center" wrapText="1"/>
    </xf>
    <xf numFmtId="0" fontId="41" fillId="2" borderId="1" xfId="0" applyFont="1" applyFill="1" applyBorder="1" applyAlignment="1">
      <alignment horizontal="center" vertical="center"/>
    </xf>
    <xf numFmtId="14" fontId="41" fillId="2" borderId="1" xfId="0" applyNumberFormat="1" applyFont="1" applyFill="1" applyBorder="1" applyAlignment="1">
      <alignment horizontal="center" vertical="center" wrapText="1"/>
    </xf>
    <xf numFmtId="0" fontId="47" fillId="2" borderId="1" xfId="0" applyFont="1" applyFill="1" applyBorder="1" applyAlignment="1">
      <alignment horizontal="center" vertical="center"/>
    </xf>
    <xf numFmtId="0" fontId="41" fillId="2" borderId="1" xfId="0" applyFont="1" applyFill="1" applyBorder="1" applyAlignment="1">
      <alignment horizontal="justify" vertical="center"/>
    </xf>
    <xf numFmtId="9" fontId="41" fillId="2" borderId="1" xfId="0" applyNumberFormat="1" applyFont="1" applyFill="1" applyBorder="1" applyAlignment="1">
      <alignment horizontal="center" vertical="center"/>
    </xf>
    <xf numFmtId="9" fontId="47" fillId="2" borderId="1" xfId="0" applyNumberFormat="1" applyFont="1" applyFill="1" applyBorder="1" applyAlignment="1">
      <alignment horizontal="center" vertical="center"/>
    </xf>
    <xf numFmtId="1" fontId="41" fillId="2" borderId="1" xfId="0" applyNumberFormat="1" applyFont="1" applyFill="1" applyBorder="1" applyAlignment="1">
      <alignment horizontal="center" vertical="center"/>
    </xf>
    <xf numFmtId="1" fontId="41" fillId="2" borderId="1" xfId="0" applyNumberFormat="1" applyFont="1" applyFill="1" applyBorder="1" applyAlignment="1">
      <alignment horizontal="center" vertical="center" wrapText="1"/>
    </xf>
    <xf numFmtId="1" fontId="47" fillId="2" borderId="1" xfId="0" applyNumberFormat="1" applyFont="1" applyFill="1" applyBorder="1" applyAlignment="1">
      <alignment horizontal="center" vertical="center"/>
    </xf>
    <xf numFmtId="1" fontId="47" fillId="2" borderId="1" xfId="0" applyNumberFormat="1" applyFont="1" applyFill="1" applyBorder="1" applyAlignment="1">
      <alignment horizontal="center" vertical="center" wrapText="1"/>
    </xf>
    <xf numFmtId="0" fontId="41" fillId="0" borderId="1" xfId="0" applyFont="1" applyBorder="1" applyAlignment="1">
      <alignment horizontal="center" vertical="center"/>
    </xf>
    <xf numFmtId="9" fontId="41" fillId="24" borderId="1" xfId="0" applyNumberFormat="1" applyFont="1" applyFill="1" applyBorder="1" applyAlignment="1">
      <alignment horizontal="center" vertical="center" wrapText="1"/>
    </xf>
    <xf numFmtId="9" fontId="47" fillId="0" borderId="1" xfId="1" applyFont="1" applyFill="1" applyBorder="1" applyAlignment="1" applyProtection="1">
      <alignment horizontal="center" vertical="center"/>
    </xf>
    <xf numFmtId="1" fontId="41" fillId="2" borderId="1" xfId="0" applyNumberFormat="1" applyFont="1" applyFill="1" applyBorder="1" applyAlignment="1">
      <alignment horizontal="justify" vertical="center" wrapText="1"/>
    </xf>
    <xf numFmtId="0" fontId="55" fillId="0" borderId="1" xfId="14" applyFont="1" applyBorder="1" applyAlignment="1" applyProtection="1">
      <alignment horizontal="center" vertical="center" wrapText="1"/>
    </xf>
    <xf numFmtId="1" fontId="47" fillId="0" borderId="1" xfId="1" applyNumberFormat="1" applyFont="1" applyFill="1" applyBorder="1" applyAlignment="1" applyProtection="1">
      <alignment horizontal="center" vertical="center"/>
    </xf>
    <xf numFmtId="9" fontId="41" fillId="25" borderId="1" xfId="1" applyFont="1" applyFill="1" applyBorder="1" applyAlignment="1" applyProtection="1">
      <alignment horizontal="justify" vertical="center" wrapText="1"/>
    </xf>
    <xf numFmtId="1" fontId="47" fillId="2" borderId="1" xfId="1" applyNumberFormat="1" applyFont="1" applyFill="1" applyBorder="1" applyAlignment="1" applyProtection="1">
      <alignment horizontal="center" vertical="center"/>
    </xf>
    <xf numFmtId="1" fontId="41" fillId="2" borderId="1" xfId="1" applyNumberFormat="1" applyFont="1" applyFill="1" applyBorder="1" applyAlignment="1" applyProtection="1">
      <alignment horizontal="justify" vertical="center"/>
    </xf>
    <xf numFmtId="0" fontId="55" fillId="0" borderId="1" xfId="14" applyFont="1" applyFill="1" applyBorder="1" applyAlignment="1" applyProtection="1">
      <alignment horizontal="center" vertical="center" wrapText="1"/>
    </xf>
    <xf numFmtId="10" fontId="41" fillId="2" borderId="1" xfId="0" applyNumberFormat="1" applyFont="1" applyFill="1" applyBorder="1" applyAlignment="1">
      <alignment horizontal="center" vertical="center" wrapText="1"/>
    </xf>
    <xf numFmtId="9" fontId="47" fillId="0" borderId="1" xfId="2" applyNumberFormat="1" applyFont="1" applyBorder="1" applyAlignment="1">
      <alignment horizontal="center" vertical="center" wrapText="1"/>
    </xf>
    <xf numFmtId="9" fontId="41" fillId="0" borderId="1" xfId="2" applyNumberFormat="1" applyFont="1" applyBorder="1" applyAlignment="1">
      <alignment horizontal="justify" vertical="center" wrapText="1"/>
    </xf>
    <xf numFmtId="9" fontId="41" fillId="0" borderId="1" xfId="0" applyNumberFormat="1" applyFont="1" applyBorder="1" applyAlignment="1">
      <alignment horizontal="justify" vertical="center"/>
    </xf>
    <xf numFmtId="1" fontId="41" fillId="0" borderId="1" xfId="1" applyNumberFormat="1" applyFont="1" applyFill="1" applyBorder="1" applyAlignment="1" applyProtection="1">
      <alignment horizontal="justify" vertical="center" wrapText="1"/>
    </xf>
    <xf numFmtId="1" fontId="41" fillId="0" borderId="1" xfId="0" applyNumberFormat="1" applyFont="1" applyBorder="1" applyAlignment="1">
      <alignment horizontal="center" vertical="center"/>
    </xf>
    <xf numFmtId="9" fontId="41" fillId="0" borderId="1" xfId="2" applyNumberFormat="1" applyFont="1" applyBorder="1" applyAlignment="1">
      <alignment horizontal="center" vertical="center"/>
    </xf>
    <xf numFmtId="9" fontId="41" fillId="2" borderId="1" xfId="2" applyNumberFormat="1" applyFont="1" applyFill="1" applyBorder="1" applyAlignment="1">
      <alignment horizontal="center" vertical="center"/>
    </xf>
    <xf numFmtId="9" fontId="47" fillId="0" borderId="1" xfId="2" applyNumberFormat="1" applyFont="1" applyBorder="1" applyAlignment="1">
      <alignment horizontal="center" vertical="center"/>
    </xf>
    <xf numFmtId="164" fontId="41" fillId="2" borderId="1" xfId="2" applyNumberFormat="1" applyFont="1" applyFill="1" applyBorder="1" applyAlignment="1">
      <alignment horizontal="center" vertical="center" wrapText="1"/>
    </xf>
    <xf numFmtId="1" fontId="41" fillId="0" borderId="1" xfId="1" applyNumberFormat="1" applyFont="1" applyFill="1" applyBorder="1" applyAlignment="1" applyProtection="1">
      <alignment horizontal="justify" vertical="center"/>
    </xf>
    <xf numFmtId="1" fontId="41" fillId="0" borderId="1" xfId="1" applyNumberFormat="1" applyFont="1" applyBorder="1" applyAlignment="1" applyProtection="1">
      <alignment horizontal="center" vertical="center" wrapText="1"/>
    </xf>
    <xf numFmtId="9" fontId="41" fillId="0" borderId="1" xfId="1" applyFont="1" applyBorder="1" applyAlignment="1" applyProtection="1">
      <alignment horizontal="center" vertical="center" wrapText="1"/>
    </xf>
    <xf numFmtId="9" fontId="41" fillId="2" borderId="1" xfId="0" applyNumberFormat="1" applyFont="1" applyFill="1" applyBorder="1" applyAlignment="1">
      <alignment horizontal="center" vertical="center" wrapText="1"/>
    </xf>
    <xf numFmtId="9" fontId="41" fillId="2" borderId="1" xfId="0" applyNumberFormat="1" applyFont="1" applyFill="1" applyBorder="1" applyAlignment="1">
      <alignment horizontal="justify" vertical="center" wrapText="1"/>
    </xf>
    <xf numFmtId="9" fontId="42" fillId="0" borderId="1" xfId="1" applyFont="1" applyFill="1" applyBorder="1" applyAlignment="1" applyProtection="1">
      <alignment horizontal="center" vertical="center" wrapText="1"/>
    </xf>
    <xf numFmtId="9" fontId="47" fillId="0" borderId="1" xfId="1" applyFont="1" applyFill="1" applyBorder="1" applyAlignment="1" applyProtection="1">
      <alignment horizontal="justify" vertical="center"/>
    </xf>
    <xf numFmtId="9" fontId="42" fillId="0" borderId="1" xfId="1" applyFont="1" applyBorder="1" applyAlignment="1" applyProtection="1">
      <alignment horizontal="center" vertical="center" wrapText="1"/>
    </xf>
    <xf numFmtId="14" fontId="41" fillId="0" borderId="1" xfId="2" applyNumberFormat="1" applyFont="1" applyBorder="1" applyAlignment="1">
      <alignment horizontal="center" vertical="center"/>
    </xf>
    <xf numFmtId="9" fontId="60" fillId="24" borderId="13"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7" fillId="0" borderId="1" xfId="0" applyFont="1" applyBorder="1" applyAlignment="1">
      <alignment horizontal="center" vertical="center" wrapText="1"/>
    </xf>
    <xf numFmtId="9" fontId="41" fillId="0" borderId="1" xfId="1" applyFont="1" applyFill="1" applyBorder="1" applyAlignment="1" applyProtection="1">
      <alignment horizontal="center" vertical="center" wrapText="1"/>
    </xf>
    <xf numFmtId="9" fontId="47" fillId="0" borderId="1" xfId="1" applyFont="1" applyFill="1" applyBorder="1" applyAlignment="1" applyProtection="1">
      <alignment horizontal="center" vertical="center" wrapText="1"/>
    </xf>
    <xf numFmtId="1" fontId="41" fillId="0" borderId="17" xfId="2" applyNumberFormat="1" applyFont="1" applyBorder="1" applyAlignment="1">
      <alignment horizontal="justify" vertical="center"/>
    </xf>
    <xf numFmtId="1" fontId="47" fillId="0" borderId="50" xfId="2" applyNumberFormat="1" applyFont="1" applyBorder="1" applyAlignment="1">
      <alignment horizontal="center" vertical="center"/>
    </xf>
    <xf numFmtId="1" fontId="41" fillId="0" borderId="53" xfId="2" applyNumberFormat="1" applyFont="1" applyBorder="1" applyAlignment="1">
      <alignment horizontal="justify" vertical="center"/>
    </xf>
    <xf numFmtId="9" fontId="41" fillId="0" borderId="3" xfId="1" applyFont="1" applyFill="1" applyBorder="1" applyAlignment="1" applyProtection="1">
      <alignment horizontal="justify" vertical="center" wrapText="1"/>
    </xf>
    <xf numFmtId="9" fontId="42" fillId="0" borderId="1" xfId="2" applyNumberFormat="1" applyFont="1" applyBorder="1" applyAlignment="1" applyProtection="1">
      <alignment horizontal="center" vertical="center"/>
      <protection locked="0"/>
    </xf>
    <xf numFmtId="0" fontId="42" fillId="0" borderId="1" xfId="2" applyFont="1" applyBorder="1" applyAlignment="1" applyProtection="1">
      <alignment horizontal="center" vertical="center"/>
      <protection locked="0"/>
    </xf>
    <xf numFmtId="1" fontId="42" fillId="0" borderId="1" xfId="1" applyNumberFormat="1" applyFont="1" applyFill="1" applyBorder="1" applyAlignment="1" applyProtection="1">
      <alignment horizontal="center" vertical="center"/>
      <protection locked="0"/>
    </xf>
    <xf numFmtId="0" fontId="41" fillId="2" borderId="1" xfId="0" applyFont="1" applyFill="1" applyBorder="1" applyAlignment="1" applyProtection="1">
      <alignment horizontal="center" vertical="center" wrapText="1"/>
      <protection locked="0"/>
    </xf>
    <xf numFmtId="0" fontId="5" fillId="2" borderId="0" xfId="2" applyFont="1" applyFill="1" applyProtection="1">
      <protection locked="0"/>
    </xf>
    <xf numFmtId="0" fontId="41" fillId="0" borderId="3" xfId="2" applyFont="1" applyBorder="1" applyAlignment="1" applyProtection="1">
      <alignment horizontal="left" vertical="center" wrapText="1"/>
      <protection locked="0"/>
    </xf>
    <xf numFmtId="0" fontId="41" fillId="0" borderId="1" xfId="2" applyFont="1" applyBorder="1" applyAlignment="1" applyProtection="1">
      <alignment horizontal="left" vertical="center" wrapText="1"/>
      <protection locked="0"/>
    </xf>
    <xf numFmtId="1" fontId="41" fillId="0" borderId="1" xfId="2" applyNumberFormat="1" applyFont="1" applyBorder="1" applyAlignment="1" applyProtection="1">
      <alignment horizontal="center" vertical="center"/>
      <protection locked="0"/>
    </xf>
    <xf numFmtId="0" fontId="41" fillId="0" borderId="1" xfId="2" applyFont="1" applyBorder="1" applyAlignment="1" applyProtection="1">
      <alignment horizontal="left" vertical="center"/>
      <protection locked="0"/>
    </xf>
    <xf numFmtId="0" fontId="67" fillId="28" borderId="17" xfId="0" applyFont="1" applyFill="1" applyBorder="1" applyAlignment="1">
      <alignment horizontal="center" vertical="center" wrapText="1"/>
    </xf>
    <xf numFmtId="1" fontId="68" fillId="0" borderId="1" xfId="2" applyNumberFormat="1" applyFont="1" applyBorder="1" applyAlignment="1" applyProtection="1">
      <alignment horizontal="center" vertical="center"/>
      <protection locked="0"/>
    </xf>
    <xf numFmtId="0" fontId="69" fillId="0" borderId="1" xfId="2" applyFont="1" applyBorder="1" applyAlignment="1" applyProtection="1">
      <alignment horizontal="left" vertical="top" wrapText="1"/>
      <protection locked="0"/>
    </xf>
    <xf numFmtId="0" fontId="17" fillId="0" borderId="1" xfId="14" applyBorder="1" applyAlignment="1">
      <alignment horizontal="center" vertical="center" wrapText="1"/>
    </xf>
    <xf numFmtId="0" fontId="69" fillId="0" borderId="1" xfId="0" applyFont="1" applyBorder="1" applyAlignment="1">
      <alignment wrapText="1"/>
    </xf>
    <xf numFmtId="0" fontId="69" fillId="0" borderId="1" xfId="0" applyFont="1" applyBorder="1" applyAlignment="1">
      <alignment vertical="center" wrapText="1"/>
    </xf>
    <xf numFmtId="0" fontId="69" fillId="0" borderId="1" xfId="0" applyFont="1" applyBorder="1" applyAlignment="1">
      <alignment horizontal="center" vertical="center" wrapText="1"/>
    </xf>
    <xf numFmtId="9" fontId="71" fillId="9" borderId="13" xfId="1" applyFont="1" applyFill="1" applyBorder="1" applyAlignment="1">
      <alignment horizontal="justify" vertical="center" wrapText="1"/>
    </xf>
    <xf numFmtId="9" fontId="72" fillId="9" borderId="1" xfId="1" applyFont="1" applyFill="1" applyBorder="1" applyAlignment="1">
      <alignment horizontal="justify" vertical="center" wrapText="1"/>
    </xf>
    <xf numFmtId="9" fontId="69" fillId="9" borderId="1" xfId="1" applyFont="1" applyFill="1" applyBorder="1" applyAlignment="1">
      <alignment horizontal="justify" vertical="center" wrapText="1"/>
    </xf>
    <xf numFmtId="9" fontId="71" fillId="9" borderId="1" xfId="1" applyFont="1" applyFill="1" applyBorder="1" applyAlignment="1">
      <alignment horizontal="justify" vertical="center" wrapText="1"/>
    </xf>
    <xf numFmtId="0" fontId="71" fillId="9" borderId="1" xfId="7" applyFont="1" applyFill="1" applyBorder="1" applyAlignment="1">
      <alignment horizontal="justify" vertical="center" wrapText="1"/>
    </xf>
    <xf numFmtId="0" fontId="53" fillId="27" borderId="1" xfId="7" applyFont="1" applyFill="1" applyBorder="1" applyAlignment="1">
      <alignment horizontal="center" vertical="center" wrapText="1"/>
    </xf>
    <xf numFmtId="9" fontId="73" fillId="0" borderId="2" xfId="1" applyFont="1" applyFill="1" applyBorder="1" applyAlignment="1">
      <alignment horizontal="center" vertical="center" wrapText="1"/>
    </xf>
    <xf numFmtId="9" fontId="73" fillId="0" borderId="2" xfId="12" applyNumberFormat="1" applyFont="1" applyBorder="1" applyAlignment="1">
      <alignment horizontal="center" vertical="center" wrapText="1"/>
    </xf>
    <xf numFmtId="9" fontId="73" fillId="0" borderId="2" xfId="1" applyFont="1" applyBorder="1" applyAlignment="1">
      <alignment horizontal="center" vertical="center" wrapText="1"/>
    </xf>
    <xf numFmtId="0" fontId="17" fillId="0" borderId="61" xfId="14" applyBorder="1" applyAlignment="1">
      <alignment horizontal="center" vertical="center"/>
    </xf>
    <xf numFmtId="0" fontId="75" fillId="0" borderId="1" xfId="0" applyFont="1" applyBorder="1" applyAlignment="1">
      <alignment wrapText="1"/>
    </xf>
    <xf numFmtId="0" fontId="75" fillId="0" borderId="1" xfId="0" applyFont="1" applyBorder="1" applyAlignment="1">
      <alignment horizontal="left" vertical="center" wrapText="1"/>
    </xf>
    <xf numFmtId="0" fontId="69" fillId="0" borderId="53" xfId="0" applyFont="1" applyBorder="1" applyAlignment="1">
      <alignment wrapText="1"/>
    </xf>
    <xf numFmtId="0" fontId="71" fillId="0" borderId="1" xfId="0" applyFont="1" applyBorder="1" applyAlignment="1">
      <alignment wrapText="1"/>
    </xf>
    <xf numFmtId="0" fontId="71" fillId="24" borderId="1" xfId="0" applyFont="1" applyFill="1" applyBorder="1" applyAlignment="1">
      <alignment wrapText="1"/>
    </xf>
    <xf numFmtId="0" fontId="69" fillId="24" borderId="1" xfId="0" applyFont="1" applyFill="1" applyBorder="1" applyAlignment="1">
      <alignment wrapText="1"/>
    </xf>
    <xf numFmtId="9" fontId="70" fillId="24" borderId="1" xfId="0" applyNumberFormat="1" applyFont="1" applyFill="1" applyBorder="1" applyAlignment="1">
      <alignment horizontal="center" vertical="center"/>
    </xf>
    <xf numFmtId="9" fontId="70" fillId="0" borderId="1" xfId="1" applyFont="1" applyBorder="1" applyAlignment="1" applyProtection="1">
      <alignment horizontal="center" vertical="center"/>
      <protection locked="0"/>
    </xf>
    <xf numFmtId="0" fontId="70" fillId="0" borderId="1" xfId="0" applyFont="1" applyBorder="1" applyAlignment="1">
      <alignment wrapText="1"/>
    </xf>
    <xf numFmtId="9" fontId="70" fillId="0" borderId="1" xfId="0" applyNumberFormat="1" applyFont="1" applyBorder="1" applyAlignment="1">
      <alignment horizontal="center" vertical="center" wrapText="1"/>
    </xf>
    <xf numFmtId="0" fontId="71" fillId="0" borderId="1" xfId="0" applyFont="1" applyBorder="1" applyAlignment="1">
      <alignment vertical="center" wrapText="1"/>
    </xf>
    <xf numFmtId="0" fontId="68" fillId="0" borderId="1" xfId="0" applyFont="1" applyBorder="1" applyAlignment="1">
      <alignment wrapText="1"/>
    </xf>
    <xf numFmtId="0" fontId="57" fillId="0" borderId="1" xfId="0" applyFont="1" applyBorder="1" applyAlignment="1" applyProtection="1">
      <alignment horizontal="center" vertical="center" wrapText="1"/>
      <protection locked="0"/>
    </xf>
    <xf numFmtId="0" fontId="76" fillId="24" borderId="0" xfId="0" applyFont="1" applyFill="1" applyAlignment="1">
      <alignment wrapText="1"/>
    </xf>
    <xf numFmtId="0" fontId="71" fillId="0" borderId="1" xfId="0" applyFont="1" applyBorder="1" applyAlignment="1">
      <alignment horizontal="center" vertical="center" wrapText="1"/>
    </xf>
    <xf numFmtId="0" fontId="17" fillId="0" borderId="50" xfId="14" applyBorder="1" applyAlignment="1">
      <alignment wrapText="1"/>
    </xf>
    <xf numFmtId="0" fontId="77" fillId="0" borderId="13" xfId="0" applyFont="1" applyBorder="1" applyAlignment="1">
      <alignment wrapText="1"/>
    </xf>
    <xf numFmtId="0" fontId="42" fillId="0" borderId="1" xfId="0" applyFont="1" applyBorder="1" applyAlignment="1" applyProtection="1">
      <alignment horizontal="center" vertical="center" wrapText="1"/>
      <protection locked="0"/>
    </xf>
    <xf numFmtId="0" fontId="70" fillId="0" borderId="1" xfId="0" applyFont="1" applyBorder="1" applyAlignment="1" applyProtection="1">
      <alignment wrapText="1"/>
      <protection locked="0"/>
    </xf>
    <xf numFmtId="0" fontId="71" fillId="24" borderId="1" xfId="0" applyFont="1" applyFill="1" applyBorder="1" applyAlignment="1">
      <alignment horizontal="center" vertical="center" wrapText="1"/>
    </xf>
    <xf numFmtId="9" fontId="70" fillId="0" borderId="1" xfId="0" applyNumberFormat="1" applyFont="1" applyBorder="1" applyAlignment="1">
      <alignment horizontal="center" vertical="center"/>
    </xf>
    <xf numFmtId="1" fontId="70" fillId="0" borderId="1" xfId="2" applyNumberFormat="1" applyFont="1" applyBorder="1" applyAlignment="1">
      <alignment horizontal="center" vertical="center"/>
    </xf>
    <xf numFmtId="0" fontId="17" fillId="0" borderId="53" xfId="14" applyBorder="1" applyAlignment="1">
      <alignment vertical="center" wrapText="1"/>
    </xf>
    <xf numFmtId="0" fontId="71" fillId="0" borderId="53" xfId="0" applyFont="1" applyBorder="1" applyAlignment="1">
      <alignment horizontal="left" vertical="center" wrapText="1"/>
    </xf>
    <xf numFmtId="0" fontId="71" fillId="0" borderId="53" xfId="0" applyFont="1" applyBorder="1" applyAlignment="1">
      <alignment vertical="center" wrapText="1"/>
    </xf>
    <xf numFmtId="0" fontId="70" fillId="0" borderId="3" xfId="0" applyFont="1" applyBorder="1" applyAlignment="1">
      <alignment wrapText="1"/>
    </xf>
    <xf numFmtId="0" fontId="78" fillId="24" borderId="1" xfId="0" applyFont="1" applyFill="1" applyBorder="1" applyAlignment="1">
      <alignment vertical="center" wrapText="1"/>
    </xf>
    <xf numFmtId="0" fontId="78" fillId="0" borderId="53" xfId="0" applyFont="1" applyBorder="1" applyAlignment="1">
      <alignment vertical="center" wrapText="1"/>
    </xf>
    <xf numFmtId="0" fontId="78" fillId="24" borderId="53" xfId="0" applyFont="1" applyFill="1" applyBorder="1" applyAlignment="1">
      <alignment vertical="center" wrapText="1"/>
    </xf>
    <xf numFmtId="0" fontId="78" fillId="0" borderId="62" xfId="0" applyFont="1" applyBorder="1" applyAlignment="1">
      <alignment vertical="center" wrapText="1"/>
    </xf>
    <xf numFmtId="0" fontId="71" fillId="2" borderId="1" xfId="0" applyFont="1" applyFill="1" applyBorder="1" applyAlignment="1" applyProtection="1">
      <alignment horizontal="center" vertical="center" wrapText="1"/>
      <protection locked="0"/>
    </xf>
    <xf numFmtId="0" fontId="68" fillId="0" borderId="1" xfId="0" applyFont="1" applyBorder="1" applyAlignment="1">
      <alignment horizontal="center" vertical="center"/>
    </xf>
    <xf numFmtId="0" fontId="79" fillId="0" borderId="1" xfId="0" applyFont="1" applyBorder="1" applyAlignment="1">
      <alignment wrapText="1"/>
    </xf>
    <xf numFmtId="0" fontId="64" fillId="0" borderId="1" xfId="0" applyFont="1" applyBorder="1" applyAlignment="1">
      <alignment vertical="center" wrapText="1"/>
    </xf>
    <xf numFmtId="0" fontId="41" fillId="0" borderId="1" xfId="0" applyFont="1" applyBorder="1" applyAlignment="1">
      <alignment vertical="center" wrapText="1"/>
    </xf>
    <xf numFmtId="0" fontId="17" fillId="0" borderId="0" xfId="14" applyFill="1" applyBorder="1" applyAlignment="1"/>
    <xf numFmtId="0" fontId="41" fillId="0" borderId="1" xfId="0" applyFont="1" applyBorder="1"/>
    <xf numFmtId="9" fontId="60" fillId="0" borderId="1" xfId="0" applyNumberFormat="1" applyFont="1" applyBorder="1" applyAlignment="1">
      <alignment horizontal="center" vertical="center"/>
    </xf>
    <xf numFmtId="0" fontId="41" fillId="0" borderId="1" xfId="0" applyFont="1" applyBorder="1" applyAlignment="1">
      <alignment wrapText="1"/>
    </xf>
    <xf numFmtId="0" fontId="41" fillId="0" borderId="50" xfId="0" applyFont="1" applyBorder="1" applyAlignment="1">
      <alignment wrapText="1"/>
    </xf>
    <xf numFmtId="0" fontId="17" fillId="0" borderId="13" xfId="14" applyFill="1" applyBorder="1" applyAlignment="1"/>
    <xf numFmtId="0" fontId="41" fillId="24" borderId="53" xfId="0" applyFont="1" applyFill="1" applyBorder="1" applyAlignment="1">
      <alignment wrapText="1"/>
    </xf>
    <xf numFmtId="0" fontId="41" fillId="0" borderId="53" xfId="0" applyFont="1" applyBorder="1"/>
    <xf numFmtId="9" fontId="42" fillId="0" borderId="58" xfId="0" applyNumberFormat="1" applyFont="1" applyBorder="1" applyAlignment="1" applyProtection="1">
      <alignment horizontal="center" vertical="center"/>
      <protection locked="0"/>
    </xf>
    <xf numFmtId="0" fontId="68" fillId="24" borderId="1" xfId="0" applyFont="1" applyFill="1" applyBorder="1" applyAlignment="1">
      <alignment wrapText="1"/>
    </xf>
    <xf numFmtId="0" fontId="78" fillId="24" borderId="1" xfId="0" applyFont="1" applyFill="1" applyBorder="1" applyAlignment="1">
      <alignment wrapText="1"/>
    </xf>
    <xf numFmtId="0" fontId="42" fillId="0" borderId="1" xfId="2" applyFont="1" applyBorder="1" applyAlignment="1" applyProtection="1">
      <alignment horizontal="left" vertical="center" wrapText="1"/>
      <protection locked="0"/>
    </xf>
    <xf numFmtId="0" fontId="80" fillId="2" borderId="13" xfId="0" applyFont="1" applyFill="1" applyBorder="1" applyAlignment="1" applyProtection="1">
      <alignment horizontal="center" vertical="center" wrapText="1"/>
      <protection locked="0"/>
    </xf>
    <xf numFmtId="0" fontId="17" fillId="0" borderId="0" xfId="14" applyAlignment="1">
      <alignment horizontal="center" vertical="center" wrapText="1"/>
    </xf>
    <xf numFmtId="0" fontId="8" fillId="2" borderId="13" xfId="0" applyFont="1" applyFill="1" applyBorder="1" applyAlignment="1" applyProtection="1">
      <alignment horizontal="center" vertical="center" wrapText="1"/>
      <protection locked="0"/>
    </xf>
    <xf numFmtId="9" fontId="42" fillId="2" borderId="1" xfId="0" applyNumberFormat="1" applyFont="1" applyFill="1" applyBorder="1" applyAlignment="1" applyProtection="1">
      <alignment horizontal="center" vertical="center"/>
      <protection locked="0"/>
    </xf>
    <xf numFmtId="0" fontId="41" fillId="24" borderId="1" xfId="0" applyFont="1" applyFill="1" applyBorder="1" applyAlignment="1">
      <alignment wrapText="1"/>
    </xf>
    <xf numFmtId="0" fontId="17" fillId="0" borderId="0" xfId="14" applyFill="1" applyBorder="1" applyAlignment="1">
      <alignment horizontal="center" vertical="center" wrapText="1"/>
    </xf>
    <xf numFmtId="9" fontId="68" fillId="24" borderId="1" xfId="0" applyNumberFormat="1" applyFont="1" applyFill="1" applyBorder="1" applyAlignment="1">
      <alignment horizontal="center" vertical="center"/>
    </xf>
    <xf numFmtId="0" fontId="60" fillId="24" borderId="13" xfId="0" applyFont="1" applyFill="1" applyBorder="1" applyAlignment="1">
      <alignment wrapText="1"/>
    </xf>
    <xf numFmtId="9" fontId="59" fillId="24" borderId="1" xfId="0" applyNumberFormat="1" applyFont="1" applyFill="1" applyBorder="1" applyAlignment="1">
      <alignment horizontal="center"/>
    </xf>
    <xf numFmtId="9" fontId="41" fillId="0" borderId="2" xfId="1" applyFont="1" applyFill="1" applyBorder="1" applyAlignment="1">
      <alignment horizontal="left" vertical="center" wrapText="1"/>
    </xf>
    <xf numFmtId="0" fontId="56" fillId="24" borderId="16" xfId="2" applyFont="1" applyFill="1" applyBorder="1" applyAlignment="1" applyProtection="1">
      <alignment vertical="center" wrapText="1"/>
      <protection locked="0"/>
    </xf>
    <xf numFmtId="9" fontId="42" fillId="0" borderId="13" xfId="2" applyNumberFormat="1" applyFont="1" applyBorder="1" applyAlignment="1" applyProtection="1">
      <alignment horizontal="center" vertical="center"/>
      <protection locked="0"/>
    </xf>
    <xf numFmtId="0" fontId="41" fillId="0" borderId="53" xfId="0" applyFont="1" applyBorder="1" applyAlignment="1">
      <alignment wrapText="1"/>
    </xf>
    <xf numFmtId="0" fontId="41" fillId="0" borderId="3" xfId="0" applyFont="1" applyBorder="1" applyAlignment="1">
      <alignment wrapText="1"/>
    </xf>
    <xf numFmtId="0" fontId="41" fillId="0" borderId="62" xfId="0" applyFont="1" applyBorder="1" applyAlignment="1">
      <alignment wrapText="1"/>
    </xf>
    <xf numFmtId="1" fontId="42" fillId="0" borderId="1" xfId="0" applyNumberFormat="1" applyFont="1" applyBorder="1" applyAlignment="1">
      <alignment horizontal="center" vertical="center"/>
    </xf>
    <xf numFmtId="9" fontId="69" fillId="0" borderId="53" xfId="0" applyNumberFormat="1" applyFont="1" applyBorder="1" applyAlignment="1">
      <alignment horizontal="center" vertical="center" wrapText="1"/>
    </xf>
    <xf numFmtId="1" fontId="41" fillId="0" borderId="50" xfId="1" applyNumberFormat="1" applyFont="1" applyFill="1" applyBorder="1" applyAlignment="1">
      <alignment horizontal="center" vertical="center"/>
    </xf>
    <xf numFmtId="0" fontId="17" fillId="0" borderId="1" xfId="14" applyFill="1" applyBorder="1" applyAlignment="1">
      <alignment wrapText="1"/>
    </xf>
    <xf numFmtId="9" fontId="42" fillId="0" borderId="1" xfId="0" applyNumberFormat="1" applyFont="1" applyBorder="1" applyAlignment="1" applyProtection="1">
      <alignment horizontal="center" vertical="center"/>
      <protection locked="0"/>
    </xf>
    <xf numFmtId="0" fontId="42" fillId="2" borderId="1" xfId="0" applyFont="1" applyFill="1" applyBorder="1" applyAlignment="1" applyProtection="1">
      <alignment horizontal="center" vertical="center"/>
      <protection locked="0"/>
    </xf>
    <xf numFmtId="0" fontId="17" fillId="0" borderId="0" xfId="14" applyFill="1" applyBorder="1" applyAlignment="1">
      <alignment horizontal="center" vertical="center"/>
    </xf>
    <xf numFmtId="0" fontId="41" fillId="2" borderId="1" xfId="2" applyFont="1" applyFill="1" applyBorder="1" applyAlignment="1" applyProtection="1">
      <alignment horizontal="center" vertical="center" wrapText="1"/>
      <protection locked="0"/>
    </xf>
    <xf numFmtId="0" fontId="42" fillId="0" borderId="1" xfId="0" applyFont="1" applyBorder="1" applyAlignment="1">
      <alignment horizontal="center" vertical="center" wrapText="1"/>
    </xf>
    <xf numFmtId="1" fontId="59" fillId="24" borderId="1" xfId="0" applyNumberFormat="1" applyFont="1" applyFill="1" applyBorder="1" applyAlignment="1">
      <alignment horizontal="center" vertical="center"/>
    </xf>
    <xf numFmtId="9" fontId="42" fillId="0" borderId="1" xfId="0" applyNumberFormat="1" applyFont="1" applyBorder="1" applyAlignment="1">
      <alignment horizontal="center" vertical="center" wrapText="1"/>
    </xf>
    <xf numFmtId="10" fontId="42" fillId="0" borderId="1" xfId="2" applyNumberFormat="1" applyFont="1" applyBorder="1" applyAlignment="1">
      <alignment horizontal="center" vertical="center"/>
    </xf>
    <xf numFmtId="0" fontId="42" fillId="0" borderId="3" xfId="0" applyFont="1" applyBorder="1" applyAlignment="1">
      <alignment horizontal="center" vertical="center"/>
    </xf>
    <xf numFmtId="0" fontId="17" fillId="0" borderId="62" xfId="14" applyFill="1" applyBorder="1" applyAlignment="1">
      <alignment horizontal="center" vertical="center" wrapText="1"/>
    </xf>
    <xf numFmtId="0" fontId="17" fillId="0" borderId="53" xfId="14" applyFill="1" applyBorder="1" applyAlignment="1">
      <alignment horizontal="center" vertical="center" wrapText="1"/>
    </xf>
    <xf numFmtId="0" fontId="41" fillId="0" borderId="3" xfId="0" applyFont="1" applyBorder="1" applyAlignment="1">
      <alignment horizontal="left" vertical="center" wrapText="1"/>
    </xf>
    <xf numFmtId="0" fontId="81" fillId="29" borderId="63" xfId="0" applyFont="1" applyFill="1" applyBorder="1"/>
    <xf numFmtId="0" fontId="81" fillId="29" borderId="64" xfId="0" applyFont="1" applyFill="1" applyBorder="1"/>
    <xf numFmtId="0" fontId="81" fillId="29" borderId="65" xfId="0" applyFont="1" applyFill="1" applyBorder="1"/>
    <xf numFmtId="0" fontId="81" fillId="30" borderId="66" xfId="0" applyFont="1" applyFill="1" applyBorder="1"/>
    <xf numFmtId="0" fontId="81" fillId="0" borderId="66" xfId="0" applyFont="1" applyBorder="1"/>
    <xf numFmtId="1" fontId="18" fillId="9" borderId="2" xfId="1" applyNumberFormat="1" applyFont="1" applyFill="1" applyBorder="1" applyAlignment="1">
      <alignment horizontal="center" vertical="center" wrapText="1"/>
    </xf>
    <xf numFmtId="1" fontId="42" fillId="0" borderId="0" xfId="1" applyNumberFormat="1" applyFont="1"/>
    <xf numFmtId="1" fontId="5" fillId="0" borderId="0" xfId="1" applyNumberFormat="1" applyFont="1" applyAlignment="1"/>
    <xf numFmtId="0" fontId="60" fillId="0" borderId="2" xfId="0" applyFont="1" applyBorder="1" applyAlignment="1">
      <alignment wrapText="1"/>
    </xf>
    <xf numFmtId="9" fontId="70" fillId="0" borderId="13" xfId="2" applyNumberFormat="1" applyFont="1" applyBorder="1" applyAlignment="1" applyProtection="1">
      <alignment horizontal="center" vertical="center"/>
      <protection locked="0"/>
    </xf>
    <xf numFmtId="9" fontId="42" fillId="9" borderId="1" xfId="2" applyNumberFormat="1" applyFont="1" applyFill="1" applyBorder="1" applyAlignment="1">
      <alignment horizontal="center" vertical="center"/>
    </xf>
    <xf numFmtId="0" fontId="0" fillId="0" borderId="56" xfId="0" applyBorder="1" applyAlignment="1">
      <alignment horizontal="center" vertical="center"/>
    </xf>
    <xf numFmtId="9" fontId="70" fillId="0" borderId="1" xfId="0" applyNumberFormat="1" applyFont="1" applyBorder="1" applyAlignment="1">
      <alignment horizontal="center"/>
    </xf>
    <xf numFmtId="9" fontId="41" fillId="0" borderId="1" xfId="0" applyNumberFormat="1" applyFont="1" applyBorder="1" applyAlignment="1" applyProtection="1">
      <alignment horizontal="center" vertical="center" wrapText="1"/>
      <protection locked="0"/>
    </xf>
    <xf numFmtId="0" fontId="67" fillId="26" borderId="1" xfId="2" applyFont="1" applyFill="1" applyBorder="1" applyAlignment="1">
      <alignment horizontal="center" vertical="center"/>
    </xf>
    <xf numFmtId="0" fontId="67" fillId="26" borderId="1" xfId="2" applyFont="1" applyFill="1" applyBorder="1" applyAlignment="1">
      <alignment horizontal="center" vertical="center" wrapText="1"/>
    </xf>
    <xf numFmtId="0" fontId="67" fillId="26" borderId="17" xfId="2" applyFont="1" applyFill="1" applyBorder="1" applyAlignment="1">
      <alignment horizontal="center" vertical="center" wrapText="1"/>
    </xf>
    <xf numFmtId="0" fontId="67" fillId="28" borderId="17" xfId="0" applyFont="1" applyFill="1" applyBorder="1" applyAlignment="1">
      <alignment horizontal="center" vertical="center" textRotation="180" wrapText="1"/>
    </xf>
    <xf numFmtId="9" fontId="67" fillId="28" borderId="17" xfId="1" applyFont="1" applyFill="1" applyBorder="1" applyAlignment="1">
      <alignment horizontal="center" vertical="center"/>
    </xf>
    <xf numFmtId="9" fontId="67" fillId="28" borderId="54" xfId="1" applyFont="1" applyFill="1" applyBorder="1" applyAlignment="1">
      <alignment horizontal="center" vertical="center"/>
    </xf>
    <xf numFmtId="0" fontId="47" fillId="26" borderId="1" xfId="2" applyFont="1" applyFill="1" applyBorder="1" applyAlignment="1">
      <alignment horizontal="center" vertical="center"/>
    </xf>
    <xf numFmtId="0" fontId="52" fillId="28" borderId="1" xfId="0" applyFont="1" applyFill="1" applyBorder="1" applyAlignment="1">
      <alignment horizontal="center" vertical="center"/>
    </xf>
    <xf numFmtId="0" fontId="52" fillId="6" borderId="1" xfId="0" applyFont="1" applyFill="1" applyBorder="1" applyAlignment="1">
      <alignment horizontal="center" vertical="center"/>
    </xf>
    <xf numFmtId="0" fontId="22" fillId="8" borderId="13" xfId="0" applyFont="1" applyFill="1" applyBorder="1" applyAlignment="1">
      <alignment horizontal="center" vertical="center" wrapText="1"/>
    </xf>
    <xf numFmtId="9" fontId="0" fillId="8" borderId="15" xfId="0" applyNumberFormat="1" applyFill="1" applyBorder="1" applyAlignment="1">
      <alignment horizontal="right" vertical="center" wrapText="1"/>
    </xf>
    <xf numFmtId="0" fontId="0" fillId="8" borderId="19" xfId="0" applyFill="1" applyBorder="1" applyAlignment="1">
      <alignment horizontal="right" vertical="center" wrapText="1"/>
    </xf>
    <xf numFmtId="0" fontId="0" fillId="8" borderId="2" xfId="0" applyFill="1" applyBorder="1" applyAlignment="1">
      <alignment horizontal="right" vertical="center" wrapText="1"/>
    </xf>
    <xf numFmtId="0" fontId="0" fillId="0" borderId="14"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left" vertical="center"/>
    </xf>
    <xf numFmtId="0" fontId="0" fillId="0" borderId="19" xfId="0" applyBorder="1" applyAlignment="1">
      <alignment horizontal="left" vertical="center"/>
    </xf>
    <xf numFmtId="0" fontId="0" fillId="0" borderId="23" xfId="0" applyBorder="1" applyAlignment="1">
      <alignment horizontal="left" vertical="center"/>
    </xf>
    <xf numFmtId="0" fontId="0" fillId="0" borderId="2" xfId="0" applyBorder="1" applyAlignment="1">
      <alignment horizontal="left" vertical="center"/>
    </xf>
    <xf numFmtId="0" fontId="0" fillId="0" borderId="9" xfId="0" applyBorder="1" applyAlignment="1">
      <alignment horizontal="left" vertical="center"/>
    </xf>
    <xf numFmtId="9" fontId="0" fillId="0" borderId="15" xfId="1" applyFont="1" applyBorder="1" applyAlignment="1">
      <alignment horizontal="right" vertical="center"/>
    </xf>
    <xf numFmtId="9" fontId="0" fillId="0" borderId="2" xfId="1" applyFont="1" applyBorder="1" applyAlignment="1">
      <alignment horizontal="right" vertical="center"/>
    </xf>
    <xf numFmtId="0" fontId="22" fillId="11" borderId="13" xfId="0" applyFont="1" applyFill="1" applyBorder="1" applyAlignment="1">
      <alignment horizontal="center" vertical="center" wrapText="1"/>
    </xf>
    <xf numFmtId="9" fontId="23" fillId="11" borderId="13" xfId="0" applyNumberFormat="1" applyFont="1" applyFill="1" applyBorder="1" applyAlignment="1">
      <alignment horizontal="right" vertical="center" wrapText="1"/>
    </xf>
    <xf numFmtId="0" fontId="23" fillId="11" borderId="13" xfId="0" applyFont="1" applyFill="1" applyBorder="1" applyAlignment="1">
      <alignment horizontal="right" vertical="center" wrapText="1"/>
    </xf>
    <xf numFmtId="0" fontId="22" fillId="3" borderId="13" xfId="0" applyFont="1" applyFill="1" applyBorder="1" applyAlignment="1">
      <alignment horizontal="center" vertical="center" wrapText="1"/>
    </xf>
    <xf numFmtId="9" fontId="23" fillId="3" borderId="15" xfId="1" applyFont="1" applyFill="1" applyBorder="1" applyAlignment="1">
      <alignment horizontal="right" vertical="center" wrapText="1"/>
    </xf>
    <xf numFmtId="9" fontId="23" fillId="3" borderId="19" xfId="1" applyFont="1" applyFill="1" applyBorder="1" applyAlignment="1">
      <alignment horizontal="right" vertical="center" wrapText="1"/>
    </xf>
    <xf numFmtId="0" fontId="10" fillId="2" borderId="13" xfId="2" applyFont="1" applyFill="1" applyBorder="1" applyAlignment="1" applyProtection="1">
      <alignment vertical="center" wrapText="1"/>
      <protection locked="0"/>
    </xf>
    <xf numFmtId="0" fontId="10" fillId="2" borderId="35" xfId="2" applyFont="1" applyFill="1" applyBorder="1" applyAlignment="1" applyProtection="1">
      <alignment vertical="center" wrapText="1"/>
      <protection locked="0"/>
    </xf>
    <xf numFmtId="0" fontId="10" fillId="2" borderId="13" xfId="2" applyFont="1" applyFill="1" applyBorder="1" applyAlignment="1" applyProtection="1">
      <alignment horizontal="left" vertical="center" wrapText="1"/>
      <protection locked="0"/>
    </xf>
    <xf numFmtId="0" fontId="10" fillId="2" borderId="13" xfId="2" applyFont="1" applyFill="1" applyBorder="1" applyAlignment="1" applyProtection="1">
      <alignment horizontal="center" vertical="center" wrapText="1"/>
      <protection locked="0"/>
    </xf>
    <xf numFmtId="0" fontId="10" fillId="2" borderId="35" xfId="2" applyFont="1" applyFill="1" applyBorder="1" applyAlignment="1" applyProtection="1">
      <alignment horizontal="center" vertical="center" wrapText="1"/>
      <protection locked="0"/>
    </xf>
    <xf numFmtId="9" fontId="10" fillId="2" borderId="13" xfId="3" applyFont="1" applyFill="1" applyBorder="1" applyAlignment="1" applyProtection="1">
      <alignment horizontal="center" vertical="center" wrapText="1"/>
      <protection locked="0"/>
    </xf>
    <xf numFmtId="9" fontId="10" fillId="2" borderId="35" xfId="3" applyFont="1" applyFill="1" applyBorder="1" applyAlignment="1" applyProtection="1">
      <alignment horizontal="center" vertical="center" wrapText="1"/>
      <protection locked="0"/>
    </xf>
    <xf numFmtId="0" fontId="10" fillId="2" borderId="35" xfId="2" applyFont="1" applyFill="1" applyBorder="1" applyAlignment="1" applyProtection="1">
      <alignment horizontal="left" vertical="center" wrapText="1"/>
      <protection locked="0"/>
    </xf>
    <xf numFmtId="0" fontId="10" fillId="2" borderId="16" xfId="2" applyFont="1" applyFill="1" applyBorder="1" applyAlignment="1" applyProtection="1">
      <alignment horizontal="center" vertical="center" wrapText="1"/>
      <protection locked="0"/>
    </xf>
    <xf numFmtId="0" fontId="10" fillId="2" borderId="11"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10" borderId="16" xfId="2" applyFont="1" applyFill="1" applyBorder="1" applyAlignment="1" applyProtection="1">
      <alignment horizontal="center" vertical="center" wrapText="1"/>
      <protection locked="0"/>
    </xf>
    <xf numFmtId="0" fontId="10" fillId="10" borderId="11" xfId="2" applyFont="1" applyFill="1" applyBorder="1" applyAlignment="1" applyProtection="1">
      <alignment horizontal="center" vertical="center" wrapText="1"/>
      <protection locked="0"/>
    </xf>
    <xf numFmtId="0" fontId="30" fillId="16" borderId="24" xfId="2" applyFont="1" applyFill="1" applyBorder="1" applyAlignment="1" applyProtection="1">
      <alignment horizontal="center" vertical="center" wrapText="1"/>
      <protection locked="0"/>
    </xf>
    <xf numFmtId="0" fontId="30" fillId="16" borderId="9" xfId="2" applyFont="1" applyFill="1" applyBorder="1" applyAlignment="1" applyProtection="1">
      <alignment horizontal="center" vertical="center" wrapText="1"/>
      <protection locked="0"/>
    </xf>
    <xf numFmtId="0" fontId="30" fillId="16" borderId="34" xfId="2" applyFont="1" applyFill="1" applyBorder="1" applyAlignment="1" applyProtection="1">
      <alignment horizontal="center" vertical="center" wrapText="1"/>
      <protection locked="0"/>
    </xf>
    <xf numFmtId="0" fontId="32" fillId="2" borderId="32" xfId="2" applyFont="1" applyFill="1" applyBorder="1" applyAlignment="1" applyProtection="1">
      <alignment horizontal="center" vertical="center" wrapText="1"/>
      <protection locked="0"/>
    </xf>
    <xf numFmtId="0" fontId="32" fillId="2" borderId="33" xfId="2" applyFont="1" applyFill="1" applyBorder="1" applyAlignment="1" applyProtection="1">
      <alignment horizontal="center" vertical="center" wrapText="1"/>
      <protection locked="0"/>
    </xf>
    <xf numFmtId="0" fontId="10" fillId="14" borderId="16" xfId="2" applyFont="1" applyFill="1" applyBorder="1" applyAlignment="1" applyProtection="1">
      <alignment horizontal="center" vertical="center" wrapText="1"/>
      <protection locked="0"/>
    </xf>
    <xf numFmtId="0" fontId="10" fillId="14" borderId="11" xfId="2" applyFont="1" applyFill="1" applyBorder="1" applyAlignment="1" applyProtection="1">
      <alignment horizontal="center" vertical="center" wrapText="1"/>
      <protection locked="0"/>
    </xf>
    <xf numFmtId="0" fontId="10" fillId="9" borderId="16" xfId="2" applyFont="1" applyFill="1" applyBorder="1" applyAlignment="1" applyProtection="1">
      <alignment horizontal="center" vertical="center" wrapText="1"/>
      <protection locked="0"/>
    </xf>
    <xf numFmtId="0" fontId="10" fillId="9" borderId="11" xfId="2" applyFont="1" applyFill="1" applyBorder="1" applyAlignment="1" applyProtection="1">
      <alignment horizontal="center" vertical="center" wrapText="1"/>
      <protection locked="0"/>
    </xf>
    <xf numFmtId="0" fontId="10" fillId="17" borderId="16" xfId="2" applyFont="1" applyFill="1" applyBorder="1" applyAlignment="1" applyProtection="1">
      <alignment horizontal="center" vertical="center" wrapText="1"/>
      <protection locked="0"/>
    </xf>
    <xf numFmtId="0" fontId="10" fillId="17" borderId="11" xfId="2" applyFont="1" applyFill="1" applyBorder="1" applyAlignment="1" applyProtection="1">
      <alignment horizontal="center" vertical="center" wrapText="1"/>
      <protection locked="0"/>
    </xf>
    <xf numFmtId="0" fontId="10" fillId="18" borderId="16" xfId="2" applyFont="1" applyFill="1" applyBorder="1" applyAlignment="1" applyProtection="1">
      <alignment horizontal="center" vertical="center" wrapText="1"/>
      <protection locked="0"/>
    </xf>
    <xf numFmtId="0" fontId="10" fillId="18" borderId="8" xfId="2" applyFont="1" applyFill="1" applyBorder="1" applyAlignment="1" applyProtection="1">
      <alignment horizontal="center" vertical="center" wrapText="1"/>
      <protection locked="0"/>
    </xf>
    <xf numFmtId="9" fontId="10" fillId="2" borderId="16" xfId="2" applyNumberFormat="1" applyFont="1" applyFill="1" applyBorder="1" applyAlignment="1" applyProtection="1">
      <alignment horizontal="center" vertical="center" wrapText="1"/>
      <protection locked="0"/>
    </xf>
    <xf numFmtId="0" fontId="29" fillId="15" borderId="24" xfId="2" applyFont="1" applyFill="1" applyBorder="1" applyAlignment="1" applyProtection="1">
      <alignment horizontal="center" vertical="center"/>
      <protection locked="0"/>
    </xf>
    <xf numFmtId="0" fontId="29" fillId="15" borderId="25" xfId="2" applyFont="1" applyFill="1" applyBorder="1" applyAlignment="1" applyProtection="1">
      <alignment horizontal="center" vertical="center"/>
      <protection locked="0"/>
    </xf>
    <xf numFmtId="0" fontId="29" fillId="15" borderId="26" xfId="2" applyFont="1" applyFill="1" applyBorder="1" applyAlignment="1" applyProtection="1">
      <alignment horizontal="center" vertical="center"/>
      <protection locked="0"/>
    </xf>
    <xf numFmtId="0" fontId="30" fillId="16" borderId="27" xfId="2" applyFont="1" applyFill="1" applyBorder="1" applyAlignment="1" applyProtection="1">
      <alignment horizontal="center" vertical="center" wrapText="1"/>
      <protection locked="0"/>
    </xf>
    <xf numFmtId="0" fontId="30" fillId="16" borderId="28" xfId="2" applyFont="1" applyFill="1" applyBorder="1" applyAlignment="1" applyProtection="1">
      <alignment horizontal="center" vertical="center" wrapText="1"/>
      <protection locked="0"/>
    </xf>
    <xf numFmtId="0" fontId="31" fillId="5" borderId="37" xfId="2" applyFont="1" applyFill="1" applyBorder="1" applyAlignment="1" applyProtection="1">
      <alignment horizontal="left" vertical="center" wrapText="1"/>
      <protection locked="0"/>
    </xf>
    <xf numFmtId="0" fontId="31" fillId="5" borderId="20" xfId="2" applyFont="1" applyFill="1" applyBorder="1" applyAlignment="1" applyProtection="1">
      <alignment horizontal="left" vertical="center" wrapText="1"/>
      <protection locked="0"/>
    </xf>
    <xf numFmtId="14" fontId="10" fillId="2" borderId="13" xfId="2" applyNumberFormat="1" applyFont="1" applyFill="1" applyBorder="1" applyAlignment="1" applyProtection="1">
      <alignment horizontal="left" vertical="center" wrapText="1"/>
      <protection locked="0"/>
    </xf>
    <xf numFmtId="14" fontId="10" fillId="2" borderId="35" xfId="2" applyNumberFormat="1" applyFont="1" applyFill="1" applyBorder="1" applyAlignment="1" applyProtection="1">
      <alignment horizontal="left" vertical="center" wrapText="1"/>
      <protection locked="0"/>
    </xf>
    <xf numFmtId="0" fontId="31" fillId="5" borderId="36" xfId="2" applyFont="1" applyFill="1" applyBorder="1" applyAlignment="1" applyProtection="1">
      <alignment horizontal="left" vertical="center" wrapText="1"/>
      <protection locked="0"/>
    </xf>
    <xf numFmtId="0" fontId="10" fillId="2" borderId="21" xfId="2" applyFont="1" applyFill="1" applyBorder="1" applyAlignment="1" applyProtection="1">
      <alignment horizontal="left" vertical="center" wrapText="1"/>
      <protection locked="0"/>
    </xf>
    <xf numFmtId="0" fontId="10" fillId="2" borderId="39" xfId="2" applyFont="1" applyFill="1" applyBorder="1" applyAlignment="1" applyProtection="1">
      <alignment horizontal="left" vertical="center" wrapText="1"/>
      <protection locked="0"/>
    </xf>
    <xf numFmtId="0" fontId="17" fillId="2" borderId="13" xfId="14" applyFill="1" applyBorder="1" applyAlignment="1" applyProtection="1">
      <alignment horizontal="left" vertical="center" wrapText="1"/>
      <protection locked="0"/>
    </xf>
    <xf numFmtId="0" fontId="17" fillId="2" borderId="35" xfId="14" applyFill="1" applyBorder="1" applyAlignment="1" applyProtection="1">
      <alignment horizontal="left" vertical="center" wrapText="1"/>
      <protection locked="0"/>
    </xf>
    <xf numFmtId="0" fontId="31" fillId="5" borderId="37" xfId="2" applyFont="1" applyFill="1" applyBorder="1" applyAlignment="1" applyProtection="1">
      <alignment horizontal="left" vertical="top" wrapText="1"/>
      <protection locked="0"/>
    </xf>
    <xf numFmtId="0" fontId="31" fillId="5" borderId="20" xfId="2" applyFont="1" applyFill="1" applyBorder="1" applyAlignment="1" applyProtection="1">
      <alignment horizontal="left" vertical="top" wrapText="1"/>
      <protection locked="0"/>
    </xf>
    <xf numFmtId="0" fontId="31" fillId="5" borderId="10" xfId="2" applyFont="1" applyFill="1" applyBorder="1" applyAlignment="1" applyProtection="1">
      <alignment horizontal="left" vertical="top" wrapText="1"/>
      <protection locked="0"/>
    </xf>
    <xf numFmtId="0" fontId="28" fillId="2" borderId="0" xfId="2" applyFont="1" applyFill="1" applyAlignment="1" applyProtection="1">
      <alignment horizontal="center" vertical="center" wrapText="1"/>
      <protection locked="0"/>
    </xf>
    <xf numFmtId="0" fontId="11" fillId="19" borderId="44" xfId="7" applyFont="1" applyFill="1" applyBorder="1" applyAlignment="1">
      <alignment horizontal="center" vertical="center"/>
    </xf>
    <xf numFmtId="0" fontId="11" fillId="19" borderId="0" xfId="7" applyFont="1" applyFill="1" applyAlignment="1">
      <alignment horizontal="center" vertical="center"/>
    </xf>
    <xf numFmtId="0" fontId="13" fillId="0" borderId="1" xfId="0" applyFont="1" applyBorder="1" applyAlignment="1">
      <alignment horizontal="left" vertical="center" wrapText="1"/>
    </xf>
    <xf numFmtId="0" fontId="36" fillId="20" borderId="46" xfId="0" applyFont="1" applyFill="1" applyBorder="1" applyAlignment="1">
      <alignment horizontal="center" vertical="center" wrapText="1"/>
    </xf>
    <xf numFmtId="0" fontId="36" fillId="20" borderId="47" xfId="0" applyFont="1" applyFill="1" applyBorder="1" applyAlignment="1">
      <alignment horizontal="center" vertical="center" wrapText="1"/>
    </xf>
    <xf numFmtId="0" fontId="34" fillId="19" borderId="45" xfId="7" applyFont="1" applyFill="1" applyBorder="1" applyAlignment="1">
      <alignment horizontal="center" vertical="center"/>
    </xf>
    <xf numFmtId="0" fontId="13" fillId="0" borderId="4" xfId="0" applyFont="1" applyBorder="1" applyAlignment="1">
      <alignment horizontal="left" vertical="center" wrapText="1"/>
    </xf>
    <xf numFmtId="0" fontId="15" fillId="0" borderId="4" xfId="0" applyFont="1" applyBorder="1"/>
    <xf numFmtId="0" fontId="34" fillId="19" borderId="1" xfId="7" applyFont="1" applyFill="1" applyBorder="1" applyAlignment="1">
      <alignment horizontal="center" vertical="center"/>
    </xf>
    <xf numFmtId="9" fontId="35" fillId="15" borderId="1" xfId="6" applyFont="1" applyFill="1" applyBorder="1" applyAlignment="1">
      <alignment vertical="center"/>
    </xf>
    <xf numFmtId="0" fontId="37" fillId="22" borderId="59" xfId="0" applyFont="1" applyFill="1" applyBorder="1" applyAlignment="1">
      <alignment horizontal="center" vertical="center" wrapText="1"/>
    </xf>
    <xf numFmtId="0" fontId="37" fillId="22" borderId="60" xfId="0" applyFont="1" applyFill="1" applyBorder="1" applyAlignment="1">
      <alignment horizontal="center" vertical="center" wrapText="1"/>
    </xf>
    <xf numFmtId="0" fontId="45" fillId="15" borderId="51" xfId="2" applyFont="1" applyFill="1" applyBorder="1" applyAlignment="1" applyProtection="1">
      <alignment horizontal="center" vertical="center"/>
      <protection locked="0"/>
    </xf>
    <xf numFmtId="0" fontId="45" fillId="15" borderId="32" xfId="2" applyFont="1" applyFill="1" applyBorder="1" applyAlignment="1" applyProtection="1">
      <alignment horizontal="center" vertical="center"/>
      <protection locked="0"/>
    </xf>
    <xf numFmtId="0" fontId="45" fillId="15" borderId="52" xfId="2" applyFont="1" applyFill="1" applyBorder="1" applyAlignment="1" applyProtection="1">
      <alignment horizontal="center" vertical="center"/>
      <protection locked="0"/>
    </xf>
    <xf numFmtId="0" fontId="39" fillId="9" borderId="1" xfId="7" applyFont="1" applyFill="1" applyBorder="1" applyAlignment="1">
      <alignment horizontal="center" vertical="center" wrapText="1"/>
    </xf>
    <xf numFmtId="0" fontId="53" fillId="9" borderId="1" xfId="7" applyFont="1" applyFill="1" applyBorder="1" applyAlignment="1">
      <alignment horizontal="center" vertical="center" wrapText="1"/>
    </xf>
    <xf numFmtId="0" fontId="6" fillId="9" borderId="1" xfId="14" applyFont="1" applyFill="1" applyBorder="1" applyAlignment="1">
      <alignment horizontal="left" vertical="center" wrapText="1"/>
    </xf>
    <xf numFmtId="0" fontId="6" fillId="9" borderId="61" xfId="14" applyFont="1" applyFill="1" applyBorder="1" applyAlignment="1">
      <alignment horizontal="center" vertical="center" wrapText="1"/>
    </xf>
    <xf numFmtId="0" fontId="6" fillId="9" borderId="0" xfId="14" applyFont="1" applyFill="1" applyAlignment="1">
      <alignment horizontal="center" vertical="center" wrapText="1"/>
    </xf>
    <xf numFmtId="0" fontId="6" fillId="9" borderId="1" xfId="14" applyFont="1" applyFill="1" applyBorder="1" applyAlignment="1">
      <alignment vertical="center" wrapText="1"/>
    </xf>
    <xf numFmtId="0" fontId="70" fillId="2" borderId="0" xfId="7" applyFont="1" applyFill="1" applyAlignment="1">
      <alignment horizontal="center" vertical="center"/>
    </xf>
    <xf numFmtId="9" fontId="42" fillId="2" borderId="0" xfId="1" applyFont="1" applyFill="1"/>
    <xf numFmtId="9" fontId="5" fillId="2" borderId="0" xfId="6" applyFont="1" applyFill="1"/>
    <xf numFmtId="1" fontId="42" fillId="2" borderId="0" xfId="1" applyNumberFormat="1" applyFont="1" applyFill="1"/>
    <xf numFmtId="0" fontId="8" fillId="2" borderId="0" xfId="7" applyFill="1"/>
    <xf numFmtId="0" fontId="42" fillId="2" borderId="0" xfId="7" applyFont="1" applyFill="1"/>
    <xf numFmtId="9" fontId="5" fillId="2" borderId="0" xfId="6" applyFont="1" applyFill="1" applyAlignment="1"/>
    <xf numFmtId="0" fontId="70" fillId="2" borderId="0" xfId="7" applyFont="1" applyFill="1"/>
    <xf numFmtId="1" fontId="5" fillId="2" borderId="0" xfId="1" applyNumberFormat="1" applyFont="1" applyFill="1" applyAlignment="1"/>
    <xf numFmtId="0" fontId="48" fillId="2" borderId="0" xfId="7" applyFont="1" applyFill="1"/>
    <xf numFmtId="9" fontId="5" fillId="2" borderId="0" xfId="1" applyFont="1" applyFill="1" applyAlignment="1"/>
    <xf numFmtId="9" fontId="41" fillId="0" borderId="2" xfId="1" applyFont="1" applyFill="1" applyBorder="1" applyAlignment="1">
      <alignment horizontal="justify" wrapText="1"/>
    </xf>
    <xf numFmtId="9" fontId="41" fillId="9" borderId="13" xfId="1" applyFont="1" applyFill="1" applyBorder="1" applyAlignment="1">
      <alignment horizontal="justify" vertical="center" wrapText="1"/>
    </xf>
  </cellXfs>
  <cellStyles count="18">
    <cellStyle name="Hipervínculo" xfId="14" builtinId="8"/>
    <cellStyle name="Hipervínculo 2" xfId="5" xr:uid="{00000000-0005-0000-0000-000001000000}"/>
    <cellStyle name="Millares" xfId="12" builtinId="3"/>
    <cellStyle name="Millares [0] 2" xfId="4" xr:uid="{00000000-0005-0000-0000-000004000000}"/>
    <cellStyle name="Millares [0] 2 2" xfId="13" xr:uid="{00000000-0005-0000-0000-000005000000}"/>
    <cellStyle name="Millares [0] 2 2 2" xfId="17" xr:uid="{9DBB0410-51F3-46D2-9B64-AB337CD12ABD}"/>
    <cellStyle name="Millares [0] 2 3" xfId="15" xr:uid="{C4EF6B6C-CA5F-4AFE-84D1-9AD84CC2EFBF}"/>
    <cellStyle name="Millares 2" xfId="16" xr:uid="{AA8FE84A-E5B8-4525-8F3B-6D8A66C444E4}"/>
    <cellStyle name="Moneda 2" xfId="8" xr:uid="{00000000-0005-0000-0000-000006000000}"/>
    <cellStyle name="Normal" xfId="0" builtinId="0"/>
    <cellStyle name="Normal 13" xfId="10" xr:uid="{00000000-0005-0000-0000-000008000000}"/>
    <cellStyle name="Normal 2" xfId="2" xr:uid="{00000000-0005-0000-0000-000009000000}"/>
    <cellStyle name="Normal 2 2" xfId="7" xr:uid="{00000000-0005-0000-0000-00000A000000}"/>
    <cellStyle name="Normal 3" xfId="11" xr:uid="{00000000-0005-0000-0000-00000B000000}"/>
    <cellStyle name="Normal 9" xfId="9" xr:uid="{00000000-0005-0000-0000-00000C000000}"/>
    <cellStyle name="Porcentaje" xfId="1" builtinId="5"/>
    <cellStyle name="Porcentaje 2" xfId="3" xr:uid="{00000000-0005-0000-0000-00000E000000}"/>
    <cellStyle name="Porcentaje 2 2" xfId="6" xr:uid="{00000000-0005-0000-0000-00000F000000}"/>
  </cellStyles>
  <dxfs count="5">
    <dxf>
      <fill>
        <patternFill>
          <bgColor rgb="FFC00000"/>
        </patternFill>
      </fill>
    </dxf>
    <dxf>
      <fill>
        <patternFill>
          <bgColor rgb="FF0070C0"/>
        </patternFill>
      </fill>
    </dxf>
    <dxf>
      <fill>
        <patternFill>
          <bgColor rgb="FF92D050"/>
        </patternFill>
      </fill>
    </dxf>
    <dxf>
      <fill>
        <patternFill>
          <bgColor rgb="FF92D050"/>
        </patternFill>
      </fill>
    </dxf>
    <dxf>
      <fill>
        <patternFill>
          <bgColor rgb="FF0070C0"/>
        </patternFill>
      </fill>
    </dxf>
  </dxfs>
  <tableStyles count="0" defaultTableStyle="TableStyleMedium2" defaultPivotStyle="PivotStyleLight16"/>
  <colors>
    <mruColors>
      <color rgb="FFED7D31"/>
      <color rgb="FF000000"/>
      <color rgb="FFF7CEC1"/>
      <color rgb="FFDA712B"/>
      <color rgb="FFC566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'Tablero de Control'!$B$22:$B$23</c:f>
              <c:strCache>
                <c:ptCount val="2"/>
                <c:pt idx="0">
                  <c:v>Avance Trimestre II</c:v>
                </c:pt>
                <c:pt idx="1">
                  <c:v>Total Trimestre II</c:v>
                </c:pt>
              </c:strCache>
            </c:strRef>
          </c:tx>
          <c:spPr>
            <a:solidFill>
              <a:srgbClr val="92D050"/>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A-6532-48C2-B62C-C7B087EAF75A}"/>
              </c:ext>
            </c:extLst>
          </c:dPt>
          <c:dPt>
            <c:idx val="1"/>
            <c:invertIfNegative val="0"/>
            <c:bubble3D val="0"/>
            <c:spPr>
              <a:solidFill>
                <a:srgbClr val="92D050"/>
              </a:solidFill>
              <a:ln>
                <a:noFill/>
              </a:ln>
              <a:effectLst/>
            </c:spPr>
            <c:extLst>
              <c:ext xmlns:c16="http://schemas.microsoft.com/office/drawing/2014/chart" uri="{C3380CC4-5D6E-409C-BE32-E72D297353CC}">
                <c16:uniqueId val="{00000009-6532-48C2-B62C-C7B087EAF75A}"/>
              </c:ext>
            </c:extLst>
          </c:dPt>
          <c:dPt>
            <c:idx val="2"/>
            <c:invertIfNegative val="0"/>
            <c:bubble3D val="0"/>
            <c:spPr>
              <a:solidFill>
                <a:srgbClr val="0070C0"/>
              </a:solidFill>
              <a:ln>
                <a:noFill/>
              </a:ln>
              <a:effectLst/>
            </c:spPr>
            <c:extLst>
              <c:ext xmlns:c16="http://schemas.microsoft.com/office/drawing/2014/chart" uri="{C3380CC4-5D6E-409C-BE32-E72D297353CC}">
                <c16:uniqueId val="{00000017-1E63-47CC-B31D-6146AEBB3738}"/>
              </c:ext>
            </c:extLst>
          </c:dPt>
          <c:dPt>
            <c:idx val="3"/>
            <c:invertIfNegative val="0"/>
            <c:bubble3D val="0"/>
            <c:spPr>
              <a:solidFill>
                <a:srgbClr val="0070C0"/>
              </a:solidFill>
              <a:ln>
                <a:noFill/>
              </a:ln>
              <a:effectLst/>
            </c:spPr>
            <c:extLst>
              <c:ext xmlns:c16="http://schemas.microsoft.com/office/drawing/2014/chart" uri="{C3380CC4-5D6E-409C-BE32-E72D297353CC}">
                <c16:uniqueId val="{00000016-1E63-47CC-B31D-6146AEBB3738}"/>
              </c:ext>
            </c:extLst>
          </c:dPt>
          <c:dPt>
            <c:idx val="4"/>
            <c:invertIfNegative val="0"/>
            <c:bubble3D val="0"/>
            <c:spPr>
              <a:solidFill>
                <a:srgbClr val="0070C0"/>
              </a:solidFill>
              <a:ln>
                <a:noFill/>
              </a:ln>
              <a:effectLst/>
            </c:spPr>
            <c:extLst>
              <c:ext xmlns:c16="http://schemas.microsoft.com/office/drawing/2014/chart" uri="{C3380CC4-5D6E-409C-BE32-E72D297353CC}">
                <c16:uniqueId val="{00000015-1E63-47CC-B31D-6146AEBB3738}"/>
              </c:ext>
            </c:extLst>
          </c:dPt>
          <c:dPt>
            <c:idx val="5"/>
            <c:invertIfNegative val="0"/>
            <c:bubble3D val="0"/>
            <c:spPr>
              <a:solidFill>
                <a:srgbClr val="92D050"/>
              </a:solidFill>
              <a:ln>
                <a:noFill/>
              </a:ln>
              <a:effectLst/>
            </c:spPr>
            <c:extLst>
              <c:ext xmlns:c16="http://schemas.microsoft.com/office/drawing/2014/chart" uri="{C3380CC4-5D6E-409C-BE32-E72D297353CC}">
                <c16:uniqueId val="{00000008-6532-48C2-B62C-C7B087EAF75A}"/>
              </c:ext>
            </c:extLst>
          </c:dPt>
          <c:dPt>
            <c:idx val="6"/>
            <c:invertIfNegative val="0"/>
            <c:bubble3D val="0"/>
            <c:spPr>
              <a:solidFill>
                <a:srgbClr val="92D050"/>
              </a:solidFill>
              <a:ln>
                <a:noFill/>
              </a:ln>
              <a:effectLst/>
            </c:spPr>
            <c:extLst>
              <c:ext xmlns:c16="http://schemas.microsoft.com/office/drawing/2014/chart" uri="{C3380CC4-5D6E-409C-BE32-E72D297353CC}">
                <c16:uniqueId val="{00000007-6532-48C2-B62C-C7B087EAF75A}"/>
              </c:ext>
            </c:extLst>
          </c:dPt>
          <c:dPt>
            <c:idx val="7"/>
            <c:invertIfNegative val="0"/>
            <c:bubble3D val="0"/>
            <c:spPr>
              <a:solidFill>
                <a:srgbClr val="92D050"/>
              </a:solidFill>
              <a:ln>
                <a:noFill/>
              </a:ln>
              <a:effectLst/>
            </c:spPr>
            <c:extLst>
              <c:ext xmlns:c16="http://schemas.microsoft.com/office/drawing/2014/chart" uri="{C3380CC4-5D6E-409C-BE32-E72D297353CC}">
                <c16:uniqueId val="{00000006-6532-48C2-B62C-C7B087EAF75A}"/>
              </c:ext>
            </c:extLst>
          </c:dPt>
          <c:dPt>
            <c:idx val="8"/>
            <c:invertIfNegative val="0"/>
            <c:bubble3D val="0"/>
            <c:spPr>
              <a:solidFill>
                <a:srgbClr val="92D050"/>
              </a:solidFill>
              <a:ln>
                <a:noFill/>
              </a:ln>
              <a:effectLst/>
            </c:spPr>
            <c:extLst>
              <c:ext xmlns:c16="http://schemas.microsoft.com/office/drawing/2014/chart" uri="{C3380CC4-5D6E-409C-BE32-E72D297353CC}">
                <c16:uniqueId val="{00000005-6532-48C2-B62C-C7B087EAF75A}"/>
              </c:ext>
            </c:extLst>
          </c:dPt>
          <c:dPt>
            <c:idx val="10"/>
            <c:invertIfNegative val="0"/>
            <c:bubble3D val="0"/>
            <c:spPr>
              <a:solidFill>
                <a:srgbClr val="92D050"/>
              </a:solidFill>
              <a:ln>
                <a:noFill/>
              </a:ln>
              <a:effectLst/>
            </c:spPr>
            <c:extLst>
              <c:ext xmlns:c16="http://schemas.microsoft.com/office/drawing/2014/chart" uri="{C3380CC4-5D6E-409C-BE32-E72D297353CC}">
                <c16:uniqueId val="{00000004-6532-48C2-B62C-C7B087EAF75A}"/>
              </c:ext>
            </c:extLst>
          </c:dPt>
          <c:dPt>
            <c:idx val="11"/>
            <c:invertIfNegative val="0"/>
            <c:bubble3D val="0"/>
            <c:spPr>
              <a:solidFill>
                <a:srgbClr val="92D050"/>
              </a:solidFill>
              <a:ln>
                <a:noFill/>
              </a:ln>
              <a:effectLst/>
            </c:spPr>
            <c:extLst>
              <c:ext xmlns:c16="http://schemas.microsoft.com/office/drawing/2014/chart" uri="{C3380CC4-5D6E-409C-BE32-E72D297353CC}">
                <c16:uniqueId val="{00000003-6532-48C2-B62C-C7B087EAF75A}"/>
              </c:ext>
            </c:extLst>
          </c:dPt>
          <c:dPt>
            <c:idx val="12"/>
            <c:invertIfNegative val="0"/>
            <c:bubble3D val="0"/>
            <c:spPr>
              <a:solidFill>
                <a:srgbClr val="92D050"/>
              </a:solidFill>
              <a:ln>
                <a:noFill/>
              </a:ln>
              <a:effectLst/>
            </c:spPr>
            <c:extLst>
              <c:ext xmlns:c16="http://schemas.microsoft.com/office/drawing/2014/chart" uri="{C3380CC4-5D6E-409C-BE32-E72D297353CC}">
                <c16:uniqueId val="{00000002-6532-48C2-B62C-C7B087EAF75A}"/>
              </c:ext>
            </c:extLst>
          </c:dPt>
          <c:dPt>
            <c:idx val="13"/>
            <c:invertIfNegative val="0"/>
            <c:bubble3D val="0"/>
            <c:spPr>
              <a:solidFill>
                <a:srgbClr val="92D050"/>
              </a:solidFill>
              <a:ln>
                <a:noFill/>
              </a:ln>
              <a:effectLst/>
            </c:spPr>
            <c:extLst>
              <c:ext xmlns:c16="http://schemas.microsoft.com/office/drawing/2014/chart" uri="{C3380CC4-5D6E-409C-BE32-E72D297353CC}">
                <c16:uniqueId val="{00000001-6532-48C2-B62C-C7B087EAF75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'Tablero de Control'!$A$24:$A$37</c:f>
              <c:strCache>
                <c:ptCount val="14"/>
                <c:pt idx="0">
                  <c:v>PLANEACIÓN, DIRECCIONAMIENTO ESTRATÉGICO Y COMUNICACIONES</c:v>
                </c:pt>
                <c:pt idx="1">
                  <c:v>GESTIÓN DEL CONOCIMIENTO Y LA INNOVACIÓN</c:v>
                </c:pt>
                <c:pt idx="2">
                  <c:v>GESTIÓN DEL TALENTO HUMANO</c:v>
                </c:pt>
                <c:pt idx="3">
                  <c:v>GESTIÓN POLÍTICA Y GOBIERNO</c:v>
                </c:pt>
                <c:pt idx="4">
                  <c:v>GESTIÓN PARA LA PROTECCIÓN DE LOS DERECHOS</c:v>
                </c:pt>
                <c:pt idx="5">
                  <c:v>GESTIÓN ADMINISTRATIVA</c:v>
                </c:pt>
                <c:pt idx="6">
                  <c:v>GESTIÓN FINANCIERA</c:v>
                </c:pt>
                <c:pt idx="7">
                  <c:v>GESTIÓN DOCUMENTAL Y ARCHIVO</c:v>
                </c:pt>
                <c:pt idx="8">
                  <c:v>GESTIÓN DE BIENES Y SERVICIOS</c:v>
                </c:pt>
                <c:pt idx="9">
                  <c:v>GESTIÓN JURÍDICA</c:v>
                </c:pt>
                <c:pt idx="10">
                  <c:v>SERVICIO AL CIUDADANO</c:v>
                </c:pt>
                <c:pt idx="11">
                  <c:v>GESTIÓN TECNOLÓGICA</c:v>
                </c:pt>
                <c:pt idx="12">
                  <c:v>GESTIÓN DE ASUNTOS DISCIPLINARIOS</c:v>
                </c:pt>
                <c:pt idx="13">
                  <c:v>SEGUIMIENTO Y EVALUACIÓN A LA GESTIÓN</c:v>
                </c:pt>
              </c:strCache>
            </c:strRef>
          </c:cat>
          <c:val>
            <c:numRef>
              <c:f>'Tablero de Control'!$B$24:$B$37</c:f>
              <c:numCache>
                <c:formatCode>0.0%</c:formatCode>
                <c:ptCount val="14"/>
                <c:pt idx="0">
                  <c:v>1.0000100000000001</c:v>
                </c:pt>
                <c:pt idx="1">
                  <c:v>1</c:v>
                </c:pt>
                <c:pt idx="2">
                  <c:v>0.98000700000000018</c:v>
                </c:pt>
                <c:pt idx="3">
                  <c:v>0.92950219999999995</c:v>
                </c:pt>
                <c:pt idx="4">
                  <c:v>0.9051935698996656</c:v>
                </c:pt>
                <c:pt idx="5">
                  <c:v>1.0000100000000001</c:v>
                </c:pt>
                <c:pt idx="6">
                  <c:v>1</c:v>
                </c:pt>
                <c:pt idx="7">
                  <c:v>1</c:v>
                </c:pt>
                <c:pt idx="8">
                  <c:v>1</c:v>
                </c:pt>
                <c:pt idx="9">
                  <c:v>1</c:v>
                </c:pt>
                <c:pt idx="10">
                  <c:v>1.0000100000000001</c:v>
                </c:pt>
                <c:pt idx="11">
                  <c:v>1.0000100000000001</c:v>
                </c:pt>
                <c:pt idx="12">
                  <c:v>0.99999999999999989</c:v>
                </c:pt>
                <c:pt idx="13">
                  <c:v>1</c:v>
                </c:pt>
              </c:numCache>
            </c:numRef>
          </c:val>
          <c:extLst>
            <c:ext xmlns:c16="http://schemas.microsoft.com/office/drawing/2014/chart" uri="{C3380CC4-5D6E-409C-BE32-E72D297353CC}">
              <c16:uniqueId val="{00000000-6532-48C2-B62C-C7B087EAF75A}"/>
            </c:ext>
          </c:extLst>
        </c:ser>
        <c:dLbls>
          <c:showLegendKey val="0"/>
          <c:showVal val="0"/>
          <c:showCatName val="0"/>
          <c:showSerName val="0"/>
          <c:showPercent val="0"/>
          <c:showBubbleSize val="0"/>
        </c:dLbls>
        <c:gapWidth val="182"/>
        <c:axId val="340405103"/>
        <c:axId val="340411343"/>
      </c:barChart>
      <c:catAx>
        <c:axId val="3404051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411343"/>
        <c:crosses val="autoZero"/>
        <c:auto val="1"/>
        <c:lblAlgn val="ctr"/>
        <c:lblOffset val="100"/>
        <c:noMultiLvlLbl val="0"/>
      </c:catAx>
      <c:valAx>
        <c:axId val="340411343"/>
        <c:scaling>
          <c:orientation val="minMax"/>
        </c:scaling>
        <c:delete val="1"/>
        <c:axPos val="b"/>
        <c:numFmt formatCode="0.0%" sourceLinked="1"/>
        <c:majorTickMark val="none"/>
        <c:minorTickMark val="none"/>
        <c:tickLblPos val="nextTo"/>
        <c:crossAx val="34040510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11</xdr:col>
      <xdr:colOff>581025</xdr:colOff>
      <xdr:row>2</xdr:row>
      <xdr:rowOff>781050</xdr:rowOff>
    </xdr:to>
    <xdr:grpSp>
      <xdr:nvGrpSpPr>
        <xdr:cNvPr id="24" name="Group 4">
          <a:extLst>
            <a:ext uri="{FF2B5EF4-FFF2-40B4-BE49-F238E27FC236}">
              <a16:creationId xmlns:a16="http://schemas.microsoft.com/office/drawing/2014/main" id="{0B6529C0-4690-440F-942A-649F04047E8F}"/>
            </a:ext>
            <a:ext uri="{147F2762-F138-4A5C-976F-8EAC2B608ADB}">
              <a16:predDERef xmlns:a16="http://schemas.microsoft.com/office/drawing/2014/main" pred="{DF5E9A2F-133F-6334-3A0B-D772DD71D0A3}"/>
            </a:ext>
          </a:extLst>
        </xdr:cNvPr>
        <xdr:cNvGrpSpPr>
          <a:grpSpLocks/>
        </xdr:cNvGrpSpPr>
      </xdr:nvGrpSpPr>
      <xdr:grpSpPr bwMode="auto">
        <a:xfrm>
          <a:off x="19050" y="0"/>
          <a:ext cx="9936580" cy="1432761"/>
          <a:chOff x="-11" y="0"/>
          <a:chExt cx="1406" cy="135"/>
        </a:xfrm>
      </xdr:grpSpPr>
      <xdr:sp macro="" textlink="">
        <xdr:nvSpPr>
          <xdr:cNvPr id="25" name="1 CuadroTexto">
            <a:extLst>
              <a:ext uri="{FF2B5EF4-FFF2-40B4-BE49-F238E27FC236}">
                <a16:creationId xmlns:a16="http://schemas.microsoft.com/office/drawing/2014/main" id="{F66496EE-DD32-472D-8C2F-13300A7C774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6" name="3 CuadroTexto">
            <a:extLst>
              <a:ext uri="{FF2B5EF4-FFF2-40B4-BE49-F238E27FC236}">
                <a16:creationId xmlns:a16="http://schemas.microsoft.com/office/drawing/2014/main" id="{FFA65F58-8FC3-42B8-974C-A6709C5D2A1B}"/>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PROCESO</a:t>
            </a:r>
          </a:p>
        </xdr:txBody>
      </xdr:sp>
      <xdr:sp macro="" textlink="">
        <xdr:nvSpPr>
          <xdr:cNvPr id="27" name="7 CuadroTexto">
            <a:extLst>
              <a:ext uri="{FF2B5EF4-FFF2-40B4-BE49-F238E27FC236}">
                <a16:creationId xmlns:a16="http://schemas.microsoft.com/office/drawing/2014/main" id="{8A3F77AB-5BCE-4275-935D-F2DDE458F6A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FORMATO</a:t>
            </a:r>
          </a:p>
        </xdr:txBody>
      </xdr:sp>
      <xdr:sp macro="" textlink="">
        <xdr:nvSpPr>
          <xdr:cNvPr id="28" name="8 CuadroTexto">
            <a:extLst>
              <a:ext uri="{FF2B5EF4-FFF2-40B4-BE49-F238E27FC236}">
                <a16:creationId xmlns:a16="http://schemas.microsoft.com/office/drawing/2014/main" id="{F00E59ED-F869-4B09-B7B4-1FB2C296EE6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4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200" b="1" i="0" strike="noStrike" baseline="0">
                <a:solidFill>
                  <a:sysClr val="windowText" lastClr="000000"/>
                </a:solidFill>
                <a:effectLst/>
                <a:latin typeface="Arial" panose="020B0604020202020204" pitchFamily="34" charset="0"/>
                <a:ea typeface="+mn-ea"/>
                <a:cs typeface="Arial" panose="020B0604020202020204" pitchFamily="34" charset="0"/>
              </a:rPr>
              <a:t>PLANEACIÓN, DIRECCIONAMIENTO ESTRATÉGICO Y COMUNICACIONES</a:t>
            </a:r>
          </a:p>
          <a:p>
            <a:pPr algn="ctr" rtl="0">
              <a:defRPr sz="1000"/>
            </a:pP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9" name="10 CuadroTexto">
            <a:extLst>
              <a:ext uri="{FF2B5EF4-FFF2-40B4-BE49-F238E27FC236}">
                <a16:creationId xmlns:a16="http://schemas.microsoft.com/office/drawing/2014/main" id="{79219EEF-F91F-4253-871E-6226C65ED9A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r>
              <a:rPr lang="es-ES" sz="1200" b="1" i="0">
                <a:effectLst/>
                <a:latin typeface="Arial" panose="020B0604020202020204" pitchFamily="34" charset="0"/>
                <a:ea typeface="+mn-ea"/>
                <a:cs typeface="Arial" panose="020B0604020202020204" pitchFamily="34" charset="0"/>
              </a:rPr>
              <a:t>FICHAS</a:t>
            </a:r>
            <a:r>
              <a:rPr lang="es-ES" sz="1200" b="1" i="0" baseline="0">
                <a:effectLst/>
                <a:latin typeface="Arial" panose="020B0604020202020204" pitchFamily="34" charset="0"/>
                <a:ea typeface="+mn-ea"/>
                <a:cs typeface="Arial" panose="020B0604020202020204" pitchFamily="34" charset="0"/>
              </a:rPr>
              <a:t> TÉCNICAS, AVANCE Y TABLERO DE CONTROL DE INDICADORES DE PROCESO</a:t>
            </a:r>
          </a:p>
          <a:p>
            <a:pPr algn="ctr" rtl="0"/>
            <a:r>
              <a:rPr lang="es-ES" sz="1200" b="1" i="0" baseline="0">
                <a:effectLst/>
                <a:latin typeface="Arial" panose="020B0604020202020204" pitchFamily="34" charset="0"/>
                <a:ea typeface="+mn-ea"/>
                <a:cs typeface="Arial" panose="020B0604020202020204" pitchFamily="34" charset="0"/>
              </a:rPr>
              <a:t>ANEXO 2</a:t>
            </a:r>
            <a:endParaRPr lang="es-CO" sz="1800">
              <a:effectLst/>
              <a:latin typeface="Arial" panose="020B0604020202020204" pitchFamily="34" charset="0"/>
              <a:cs typeface="Arial" panose="020B0604020202020204" pitchFamily="34" charset="0"/>
            </a:endParaRPr>
          </a:p>
        </xdr:txBody>
      </xdr:sp>
      <xdr:sp macro="" textlink="">
        <xdr:nvSpPr>
          <xdr:cNvPr id="30" name="12 CuadroTexto">
            <a:extLst>
              <a:ext uri="{FF2B5EF4-FFF2-40B4-BE49-F238E27FC236}">
                <a16:creationId xmlns:a16="http://schemas.microsoft.com/office/drawing/2014/main" id="{6A883B0B-C0D9-4ABB-83E6-CBFF7C3D74C6}"/>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1" name="13 CuadroTexto">
            <a:extLst>
              <a:ext uri="{FF2B5EF4-FFF2-40B4-BE49-F238E27FC236}">
                <a16:creationId xmlns:a16="http://schemas.microsoft.com/office/drawing/2014/main" id="{00A18CB4-0552-4B67-B246-B0162AD65AA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2" name="14 CuadroTexto">
            <a:extLst>
              <a:ext uri="{FF2B5EF4-FFF2-40B4-BE49-F238E27FC236}">
                <a16:creationId xmlns:a16="http://schemas.microsoft.com/office/drawing/2014/main" id="{1003E903-FE0C-4825-8F40-B7BEB886CB9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FECHA VIGENCIA</a:t>
            </a:r>
          </a:p>
        </xdr:txBody>
      </xdr:sp>
      <xdr:sp macro="" textlink="">
        <xdr:nvSpPr>
          <xdr:cNvPr id="33" name="12 CuadroTexto">
            <a:extLst>
              <a:ext uri="{FF2B5EF4-FFF2-40B4-BE49-F238E27FC236}">
                <a16:creationId xmlns:a16="http://schemas.microsoft.com/office/drawing/2014/main" id="{457943AD-32D7-483C-B164-6EFE585F0DF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07</a:t>
            </a:r>
          </a:p>
        </xdr:txBody>
      </xdr:sp>
      <xdr:sp macro="" textlink="">
        <xdr:nvSpPr>
          <xdr:cNvPr id="34" name="13 CuadroTexto">
            <a:extLst>
              <a:ext uri="{FF2B5EF4-FFF2-40B4-BE49-F238E27FC236}">
                <a16:creationId xmlns:a16="http://schemas.microsoft.com/office/drawing/2014/main" id="{CF9BE77F-FE5F-4DEA-A2E8-632285A40258}"/>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1 de 3</a:t>
            </a:r>
          </a:p>
        </xdr:txBody>
      </xdr:sp>
      <xdr:sp macro="" textlink="">
        <xdr:nvSpPr>
          <xdr:cNvPr id="35" name="14 CuadroTexto">
            <a:extLst>
              <a:ext uri="{FF2B5EF4-FFF2-40B4-BE49-F238E27FC236}">
                <a16:creationId xmlns:a16="http://schemas.microsoft.com/office/drawing/2014/main" id="{66C31617-0499-44FA-A78C-6FD986A09F6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eaLnBrk="1" fontAlgn="auto" latinLnBrk="0" hangingPunct="1"/>
            <a:r>
              <a:rPr lang="es-ES" sz="1200" b="1" i="0" strike="noStrike">
                <a:solidFill>
                  <a:srgbClr val="000000"/>
                </a:solidFill>
                <a:latin typeface="Arial" panose="020B0604020202020204" pitchFamily="34" charset="0"/>
                <a:ea typeface="+mn-ea"/>
                <a:cs typeface="Arial" panose="020B0604020202020204" pitchFamily="34" charset="0"/>
              </a:rPr>
              <a:t>06/11/2025</a:t>
            </a:r>
            <a:endParaRPr lang="es-CO" sz="1200">
              <a:effectLst/>
            </a:endParaRPr>
          </a:p>
        </xdr:txBody>
      </xdr:sp>
    </xdr:grpSp>
    <xdr:clientData/>
  </xdr:twoCellAnchor>
  <xdr:twoCellAnchor>
    <xdr:from>
      <xdr:col>0</xdr:col>
      <xdr:colOff>352425</xdr:colOff>
      <xdr:row>0</xdr:row>
      <xdr:rowOff>219075</xdr:rowOff>
    </xdr:from>
    <xdr:to>
      <xdr:col>1</xdr:col>
      <xdr:colOff>361950</xdr:colOff>
      <xdr:row>2</xdr:row>
      <xdr:rowOff>457200</xdr:rowOff>
    </xdr:to>
    <xdr:pic>
      <xdr:nvPicPr>
        <xdr:cNvPr id="36" name="Imagen 81">
          <a:extLst>
            <a:ext uri="{FF2B5EF4-FFF2-40B4-BE49-F238E27FC236}">
              <a16:creationId xmlns:a16="http://schemas.microsoft.com/office/drawing/2014/main" id="{28AED3E0-8D6A-48FE-ACA3-FB238EE873A2}"/>
            </a:ext>
            <a:ext uri="{147F2762-F138-4A5C-976F-8EAC2B608ADB}">
              <a16:predDERef xmlns:a16="http://schemas.microsoft.com/office/drawing/2014/main" pred="{0B6529C0-4690-440F-942A-649F04047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19075"/>
          <a:ext cx="9334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24</xdr:col>
      <xdr:colOff>1257300</xdr:colOff>
      <xdr:row>1</xdr:row>
      <xdr:rowOff>419100</xdr:rowOff>
    </xdr:to>
    <xdr:grpSp>
      <xdr:nvGrpSpPr>
        <xdr:cNvPr id="17" name="Group 4">
          <a:extLst>
            <a:ext uri="{FF2B5EF4-FFF2-40B4-BE49-F238E27FC236}">
              <a16:creationId xmlns:a16="http://schemas.microsoft.com/office/drawing/2014/main" id="{5B08291D-FCD9-5AD4-65E7-835E4A7B0548}"/>
            </a:ext>
          </a:extLst>
        </xdr:cNvPr>
        <xdr:cNvGrpSpPr>
          <a:grpSpLocks/>
        </xdr:cNvGrpSpPr>
      </xdr:nvGrpSpPr>
      <xdr:grpSpPr bwMode="auto">
        <a:xfrm>
          <a:off x="9525" y="0"/>
          <a:ext cx="20845463" cy="1085850"/>
          <a:chOff x="-11" y="0"/>
          <a:chExt cx="1406" cy="135"/>
        </a:xfrm>
      </xdr:grpSpPr>
      <xdr:sp macro="" textlink="">
        <xdr:nvSpPr>
          <xdr:cNvPr id="19" name="1 CuadroTexto">
            <a:extLst>
              <a:ext uri="{FF2B5EF4-FFF2-40B4-BE49-F238E27FC236}">
                <a16:creationId xmlns:a16="http://schemas.microsoft.com/office/drawing/2014/main" id="{17F06502-EC49-D93E-4FB4-336F70D0D5C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0" name="3 CuadroTexto">
            <a:extLst>
              <a:ext uri="{FF2B5EF4-FFF2-40B4-BE49-F238E27FC236}">
                <a16:creationId xmlns:a16="http://schemas.microsoft.com/office/drawing/2014/main" id="{EDAFF814-1570-05A2-36DD-2FFEA444BAB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endParaRPr lang="es-ES" sz="1400" b="1" i="0" strike="noStrike">
              <a:solidFill>
                <a:srgbClr val="000000"/>
              </a:solidFill>
              <a:latin typeface="Arial" panose="020B0604020202020204" pitchFamily="34" charset="0"/>
              <a:cs typeface="Arial" panose="020B0604020202020204" pitchFamily="34" charset="0"/>
            </a:endParaRPr>
          </a:p>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p>
        </xdr:txBody>
      </xdr:sp>
      <xdr:sp macro="" textlink="">
        <xdr:nvSpPr>
          <xdr:cNvPr id="21" name="7 CuadroTexto">
            <a:extLst>
              <a:ext uri="{FF2B5EF4-FFF2-40B4-BE49-F238E27FC236}">
                <a16:creationId xmlns:a16="http://schemas.microsoft.com/office/drawing/2014/main" id="{E7AD35C9-27DB-4B7E-FAF6-4FAAB8B37AC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endParaRPr lang="es-ES" sz="1400" b="1" i="0" strike="noStrike">
              <a:solidFill>
                <a:srgbClr val="000000"/>
              </a:solidFill>
              <a:latin typeface="Arial" panose="020B0604020202020204" pitchFamily="34" charset="0"/>
              <a:cs typeface="Arial" panose="020B0604020202020204" pitchFamily="34" charset="0"/>
            </a:endParaRPr>
          </a:p>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p>
        </xdr:txBody>
      </xdr:sp>
      <xdr:sp macro="" textlink="">
        <xdr:nvSpPr>
          <xdr:cNvPr id="22" name="8 CuadroTexto">
            <a:extLst>
              <a:ext uri="{FF2B5EF4-FFF2-40B4-BE49-F238E27FC236}">
                <a16:creationId xmlns:a16="http://schemas.microsoft.com/office/drawing/2014/main" id="{E3E21394-F836-53C3-9200-9B8AC74D2BD4}"/>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endParaRPr lang="es-CO" sz="1600" b="1" i="0" strike="noStrike" baseline="0">
              <a:solidFill>
                <a:sysClr val="windowText" lastClr="000000"/>
              </a:solidFill>
              <a:effectLst/>
              <a:latin typeface="Arial" panose="020B0604020202020204" pitchFamily="34" charset="0"/>
              <a:ea typeface="+mn-ea"/>
              <a:cs typeface="Arial" panose="020B0604020202020204" pitchFamily="34" charset="0"/>
            </a:endParaRPr>
          </a:p>
          <a:p>
            <a:pPr algn="ctr" rtl="0">
              <a:defRPr sz="1000"/>
            </a:pP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400" b="1" i="0" strike="noStrike" baseline="0">
                <a:solidFill>
                  <a:sysClr val="windowText" lastClr="000000"/>
                </a:solidFill>
                <a:effectLst/>
                <a:latin typeface="Arial" panose="020B0604020202020204" pitchFamily="34" charset="0"/>
                <a:ea typeface="+mn-ea"/>
                <a:cs typeface="Arial" panose="020B0604020202020204" pitchFamily="34" charset="0"/>
              </a:rPr>
              <a:t>PLANEACIÓN, DIRECCIONAMIENTO ESTRATÉGICO Y COMUNICACIONES</a:t>
            </a:r>
          </a:p>
          <a:p>
            <a:pPr algn="ctr" rtl="0">
              <a:defRPr sz="1000"/>
            </a:pP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0 CuadroTexto">
            <a:extLst>
              <a:ext uri="{FF2B5EF4-FFF2-40B4-BE49-F238E27FC236}">
                <a16:creationId xmlns:a16="http://schemas.microsoft.com/office/drawing/2014/main" id="{01847948-542C-2631-7663-7C02BC8DC87E}"/>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r>
              <a:rPr lang="es-ES" sz="1400" b="1" i="0">
                <a:effectLst/>
                <a:latin typeface="Arial" panose="020B0604020202020204" pitchFamily="34" charset="0"/>
                <a:ea typeface="+mn-ea"/>
                <a:cs typeface="Arial" panose="020B0604020202020204" pitchFamily="34" charset="0"/>
              </a:rPr>
              <a:t>FICHAS</a:t>
            </a:r>
            <a:r>
              <a:rPr lang="es-ES" sz="1400" b="1" i="0" baseline="0">
                <a:effectLst/>
                <a:latin typeface="Arial" panose="020B0604020202020204" pitchFamily="34" charset="0"/>
                <a:ea typeface="+mn-ea"/>
                <a:cs typeface="Arial" panose="020B0604020202020204" pitchFamily="34" charset="0"/>
              </a:rPr>
              <a:t> TÉCNICAS, AVANCE Y TABLERO DE CONTROL DE INDICADORES DE PROCESO</a:t>
            </a:r>
            <a:endParaRPr lang="es-CO" sz="2000">
              <a:effectLst/>
              <a:latin typeface="Arial" panose="020B0604020202020204" pitchFamily="34" charset="0"/>
              <a:cs typeface="Arial" panose="020B0604020202020204" pitchFamily="34" charset="0"/>
            </a:endParaRPr>
          </a:p>
        </xdr:txBody>
      </xdr:sp>
      <xdr:sp macro="" textlink="">
        <xdr:nvSpPr>
          <xdr:cNvPr id="24" name="12 CuadroTexto">
            <a:extLst>
              <a:ext uri="{FF2B5EF4-FFF2-40B4-BE49-F238E27FC236}">
                <a16:creationId xmlns:a16="http://schemas.microsoft.com/office/drawing/2014/main" id="{74278609-6C51-8E9B-0E4D-EE3471ED3F57}"/>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5" name="13 CuadroTexto">
            <a:extLst>
              <a:ext uri="{FF2B5EF4-FFF2-40B4-BE49-F238E27FC236}">
                <a16:creationId xmlns:a16="http://schemas.microsoft.com/office/drawing/2014/main" id="{AB31FAE0-DC75-D640-F739-483261A8371A}"/>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6" name="14 CuadroTexto">
            <a:extLst>
              <a:ext uri="{FF2B5EF4-FFF2-40B4-BE49-F238E27FC236}">
                <a16:creationId xmlns:a16="http://schemas.microsoft.com/office/drawing/2014/main" id="{497AC232-683C-79A9-42D3-9C52EDC145A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FECHA VIGENCIA</a:t>
            </a:r>
          </a:p>
        </xdr:txBody>
      </xdr:sp>
      <xdr:sp macro="" textlink="">
        <xdr:nvSpPr>
          <xdr:cNvPr id="27" name="12 CuadroTexto">
            <a:extLst>
              <a:ext uri="{FF2B5EF4-FFF2-40B4-BE49-F238E27FC236}">
                <a16:creationId xmlns:a16="http://schemas.microsoft.com/office/drawing/2014/main" id="{1FC9E999-A9D6-C43F-5C53-92158AA91C9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07</a:t>
            </a:r>
          </a:p>
        </xdr:txBody>
      </xdr:sp>
      <xdr:sp macro="" textlink="">
        <xdr:nvSpPr>
          <xdr:cNvPr id="28" name="13 CuadroTexto">
            <a:extLst>
              <a:ext uri="{FF2B5EF4-FFF2-40B4-BE49-F238E27FC236}">
                <a16:creationId xmlns:a16="http://schemas.microsoft.com/office/drawing/2014/main" id="{FC61EFFD-D4EB-91BF-AB01-37AD23B8F34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 3</a:t>
            </a:r>
          </a:p>
        </xdr:txBody>
      </xdr:sp>
      <xdr:sp macro="" textlink="">
        <xdr:nvSpPr>
          <xdr:cNvPr id="29" name="14 CuadroTexto">
            <a:extLst>
              <a:ext uri="{FF2B5EF4-FFF2-40B4-BE49-F238E27FC236}">
                <a16:creationId xmlns:a16="http://schemas.microsoft.com/office/drawing/2014/main" id="{FBF8900D-4C61-894A-8A16-5D9BFA9D495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ysClr val="windowText" lastClr="000000"/>
                </a:solidFill>
                <a:latin typeface="Arial" panose="020B0604020202020204" pitchFamily="34" charset="0"/>
                <a:cs typeface="Arial" panose="020B0604020202020204" pitchFamily="34" charset="0"/>
              </a:rPr>
              <a:t>06/11/2025</a:t>
            </a:r>
          </a:p>
        </xdr:txBody>
      </xdr:sp>
    </xdr:grpSp>
    <xdr:clientData/>
  </xdr:twoCellAnchor>
  <xdr:twoCellAnchor>
    <xdr:from>
      <xdr:col>1</xdr:col>
      <xdr:colOff>714375</xdr:colOff>
      <xdr:row>0</xdr:row>
      <xdr:rowOff>95250</xdr:rowOff>
    </xdr:from>
    <xdr:to>
      <xdr:col>2</xdr:col>
      <xdr:colOff>1009650</xdr:colOff>
      <xdr:row>1</xdr:row>
      <xdr:rowOff>209550</xdr:rowOff>
    </xdr:to>
    <xdr:pic>
      <xdr:nvPicPr>
        <xdr:cNvPr id="2" name="Imagen 81">
          <a:extLst>
            <a:ext uri="{FF2B5EF4-FFF2-40B4-BE49-F238E27FC236}">
              <a16:creationId xmlns:a16="http://schemas.microsoft.com/office/drawing/2014/main" id="{C621EC72-BBCE-44D3-9766-6D9A75232A9C}"/>
            </a:ext>
            <a:ext uri="{147F2762-F138-4A5C-976F-8EAC2B608ADB}">
              <a16:predDERef xmlns:a16="http://schemas.microsoft.com/office/drawing/2014/main" pred="{5B08291D-FCD9-5AD4-65E7-835E4A7B0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95250"/>
          <a:ext cx="13716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3028950</xdr:colOff>
      <xdr:row>5</xdr:row>
      <xdr:rowOff>19050</xdr:rowOff>
    </xdr:to>
    <xdr:grpSp>
      <xdr:nvGrpSpPr>
        <xdr:cNvPr id="14" name="Group 4">
          <a:extLst>
            <a:ext uri="{FF2B5EF4-FFF2-40B4-BE49-F238E27FC236}">
              <a16:creationId xmlns:a16="http://schemas.microsoft.com/office/drawing/2014/main" id="{4CC7F508-B349-112E-E6C9-3B59B2BC7036}"/>
            </a:ext>
          </a:extLst>
        </xdr:cNvPr>
        <xdr:cNvGrpSpPr>
          <a:grpSpLocks/>
        </xdr:cNvGrpSpPr>
      </xdr:nvGrpSpPr>
      <xdr:grpSpPr bwMode="auto">
        <a:xfrm>
          <a:off x="0" y="0"/>
          <a:ext cx="15750117" cy="1267883"/>
          <a:chOff x="-11" y="0"/>
          <a:chExt cx="1406" cy="135"/>
        </a:xfrm>
      </xdr:grpSpPr>
      <xdr:sp macro="" textlink="">
        <xdr:nvSpPr>
          <xdr:cNvPr id="15" name="1 CuadroTexto">
            <a:extLst>
              <a:ext uri="{FF2B5EF4-FFF2-40B4-BE49-F238E27FC236}">
                <a16:creationId xmlns:a16="http://schemas.microsoft.com/office/drawing/2014/main" id="{3A526931-76AB-AAD2-1702-E86E21C8CE9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7" name="3 CuadroTexto">
            <a:extLst>
              <a:ext uri="{FF2B5EF4-FFF2-40B4-BE49-F238E27FC236}">
                <a16:creationId xmlns:a16="http://schemas.microsoft.com/office/drawing/2014/main" id="{0B215D7D-8DBB-DA06-E5D2-5AEE73EEBDC6}"/>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PROCESO</a:t>
            </a:r>
          </a:p>
        </xdr:txBody>
      </xdr:sp>
      <xdr:sp macro="" textlink="">
        <xdr:nvSpPr>
          <xdr:cNvPr id="19" name="7 CuadroTexto">
            <a:extLst>
              <a:ext uri="{FF2B5EF4-FFF2-40B4-BE49-F238E27FC236}">
                <a16:creationId xmlns:a16="http://schemas.microsoft.com/office/drawing/2014/main" id="{E355977A-049B-C3F8-982A-E1DBEF53FBF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FORMATO</a:t>
            </a:r>
          </a:p>
        </xdr:txBody>
      </xdr:sp>
      <xdr:sp macro="" textlink="">
        <xdr:nvSpPr>
          <xdr:cNvPr id="31" name="8 CuadroTexto">
            <a:extLst>
              <a:ext uri="{FF2B5EF4-FFF2-40B4-BE49-F238E27FC236}">
                <a16:creationId xmlns:a16="http://schemas.microsoft.com/office/drawing/2014/main" id="{53F39DC3-39B3-97F5-1A4B-F43344032D5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4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200" b="1" i="0" strike="noStrike" baseline="0">
                <a:solidFill>
                  <a:sysClr val="windowText" lastClr="000000"/>
                </a:solidFill>
                <a:effectLst/>
                <a:latin typeface="Arial" panose="020B0604020202020204" pitchFamily="34" charset="0"/>
                <a:ea typeface="+mn-ea"/>
                <a:cs typeface="Arial" panose="020B0604020202020204" pitchFamily="34" charset="0"/>
              </a:rPr>
              <a:t>PLANEACIÓN, DIRECCIONAMIENTO ESTRATÉGICO Y COMUNICACIONES</a:t>
            </a:r>
          </a:p>
          <a:p>
            <a:pPr algn="ctr" rtl="0">
              <a:defRPr sz="1000"/>
            </a:pP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10 CuadroTexto">
            <a:extLst>
              <a:ext uri="{FF2B5EF4-FFF2-40B4-BE49-F238E27FC236}">
                <a16:creationId xmlns:a16="http://schemas.microsoft.com/office/drawing/2014/main" id="{E12D0E42-34F5-5673-16C9-0E6FEAF6FA78}"/>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r>
              <a:rPr lang="es-ES" sz="1200" b="1" i="0">
                <a:effectLst/>
                <a:latin typeface="Arial" panose="020B0604020202020204" pitchFamily="34" charset="0"/>
                <a:ea typeface="+mn-ea"/>
                <a:cs typeface="Arial" panose="020B0604020202020204" pitchFamily="34" charset="0"/>
              </a:rPr>
              <a:t>FICHAS</a:t>
            </a:r>
            <a:r>
              <a:rPr lang="es-ES" sz="1200" b="1" i="0" baseline="0">
                <a:effectLst/>
                <a:latin typeface="Arial" panose="020B0604020202020204" pitchFamily="34" charset="0"/>
                <a:ea typeface="+mn-ea"/>
                <a:cs typeface="Arial" panose="020B0604020202020204" pitchFamily="34" charset="0"/>
              </a:rPr>
              <a:t> TÉCNICAS, AVANCE Y TABLERO DE CONTROL DE INDICADORES DE PROCESO</a:t>
            </a:r>
            <a:endParaRPr lang="es-CO" sz="1800">
              <a:effectLst/>
              <a:latin typeface="Arial" panose="020B0604020202020204" pitchFamily="34" charset="0"/>
              <a:cs typeface="Arial" panose="020B0604020202020204" pitchFamily="34" charset="0"/>
            </a:endParaRPr>
          </a:p>
        </xdr:txBody>
      </xdr:sp>
      <xdr:sp macro="" textlink="">
        <xdr:nvSpPr>
          <xdr:cNvPr id="33" name="12 CuadroTexto">
            <a:extLst>
              <a:ext uri="{FF2B5EF4-FFF2-40B4-BE49-F238E27FC236}">
                <a16:creationId xmlns:a16="http://schemas.microsoft.com/office/drawing/2014/main" id="{5CD8403C-D608-B8E6-2F1C-957F32B5F76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4" name="13 CuadroTexto">
            <a:extLst>
              <a:ext uri="{FF2B5EF4-FFF2-40B4-BE49-F238E27FC236}">
                <a16:creationId xmlns:a16="http://schemas.microsoft.com/office/drawing/2014/main" id="{6FD7602A-C642-1D9C-D8AB-C4ECF882959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5" name="14 CuadroTexto">
            <a:extLst>
              <a:ext uri="{FF2B5EF4-FFF2-40B4-BE49-F238E27FC236}">
                <a16:creationId xmlns:a16="http://schemas.microsoft.com/office/drawing/2014/main" id="{C31162C6-A7AB-13F7-6BA6-EC25AA7B88EE}"/>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FECHA VIGENCIA</a:t>
            </a:r>
          </a:p>
        </xdr:txBody>
      </xdr:sp>
      <xdr:sp macro="" textlink="">
        <xdr:nvSpPr>
          <xdr:cNvPr id="36" name="12 CuadroTexto">
            <a:extLst>
              <a:ext uri="{FF2B5EF4-FFF2-40B4-BE49-F238E27FC236}">
                <a16:creationId xmlns:a16="http://schemas.microsoft.com/office/drawing/2014/main" id="{3F9CCD31-28EA-D3B4-DC2F-AB7BCACF1525}"/>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07</a:t>
            </a:r>
          </a:p>
        </xdr:txBody>
      </xdr:sp>
      <xdr:sp macro="" textlink="">
        <xdr:nvSpPr>
          <xdr:cNvPr id="37" name="13 CuadroTexto">
            <a:extLst>
              <a:ext uri="{FF2B5EF4-FFF2-40B4-BE49-F238E27FC236}">
                <a16:creationId xmlns:a16="http://schemas.microsoft.com/office/drawing/2014/main" id="{D7FA7EA4-0B38-5ADD-F684-3C2AB7742CF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Arial" panose="020B0604020202020204" pitchFamily="34" charset="0"/>
                <a:cs typeface="Arial" panose="020B0604020202020204" pitchFamily="34" charset="0"/>
              </a:rPr>
              <a:t>3 de 3</a:t>
            </a:r>
          </a:p>
        </xdr:txBody>
      </xdr:sp>
      <xdr:sp macro="" textlink="">
        <xdr:nvSpPr>
          <xdr:cNvPr id="38" name="14 CuadroTexto">
            <a:extLst>
              <a:ext uri="{FF2B5EF4-FFF2-40B4-BE49-F238E27FC236}">
                <a16:creationId xmlns:a16="http://schemas.microsoft.com/office/drawing/2014/main" id="{7AB03FA0-A756-A901-C0AD-4D694F2E409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s-CO" sz="1200" b="1" i="0" strike="noStrike">
                <a:solidFill>
                  <a:srgbClr val="000000"/>
                </a:solidFill>
                <a:latin typeface="Arial" panose="020B0604020202020204" pitchFamily="34" charset="0"/>
                <a:ea typeface="+mn-ea"/>
                <a:cs typeface="Arial" panose="020B0604020202020204" pitchFamily="34" charset="0"/>
              </a:rPr>
              <a:t>06/11/2025</a:t>
            </a:r>
          </a:p>
          <a:p>
            <a:pPr algn="ctr" rtl="0">
              <a:defRPr sz="1000"/>
            </a:pPr>
            <a:endParaRPr lang="es-ES" sz="1400" b="1" i="0" strike="noStrike">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0</xdr:col>
      <xdr:colOff>704850</xdr:colOff>
      <xdr:row>0</xdr:row>
      <xdr:rowOff>114300</xdr:rowOff>
    </xdr:from>
    <xdr:to>
      <xdr:col>0</xdr:col>
      <xdr:colOff>1504950</xdr:colOff>
      <xdr:row>4</xdr:row>
      <xdr:rowOff>276225</xdr:rowOff>
    </xdr:to>
    <xdr:pic>
      <xdr:nvPicPr>
        <xdr:cNvPr id="39" name="Imagen 81">
          <a:extLst>
            <a:ext uri="{FF2B5EF4-FFF2-40B4-BE49-F238E27FC236}">
              <a16:creationId xmlns:a16="http://schemas.microsoft.com/office/drawing/2014/main" id="{ECA68DBC-71DF-4596-B022-FB1A675AEC5E}"/>
            </a:ext>
            <a:ext uri="{147F2762-F138-4A5C-976F-8EAC2B608ADB}">
              <a16:predDERef xmlns:a16="http://schemas.microsoft.com/office/drawing/2014/main" pred="{4CC7F508-B349-112E-E6C9-3B59B2BC7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14300"/>
          <a:ext cx="8001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41</xdr:row>
      <xdr:rowOff>0</xdr:rowOff>
    </xdr:from>
    <xdr:to>
      <xdr:col>1</xdr:col>
      <xdr:colOff>2451100</xdr:colOff>
      <xdr:row>62</xdr:row>
      <xdr:rowOff>38100</xdr:rowOff>
    </xdr:to>
    <xdr:graphicFrame macro="">
      <xdr:nvGraphicFramePr>
        <xdr:cNvPr id="4" name="Gráfico 3">
          <a:extLst>
            <a:ext uri="{FF2B5EF4-FFF2-40B4-BE49-F238E27FC236}">
              <a16:creationId xmlns:a16="http://schemas.microsoft.com/office/drawing/2014/main" id="{F7690F08-363E-4A7C-E219-383429134705}"/>
            </a:ext>
            <a:ext uri="{147F2762-F138-4A5C-976F-8EAC2B608ADB}">
              <a16:predDERef xmlns:a16="http://schemas.microsoft.com/office/drawing/2014/main" pred="{ECA68DBC-71DF-4596-B022-FB1A675AEC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mailto:juliana.guerrero@mininterior.gov.co" TargetMode="External"/><Relationship Id="rId21" Type="http://schemas.openxmlformats.org/officeDocument/2006/relationships/hyperlink" Target="mailto:juliana.guerrero@mininterior.gov.co" TargetMode="External"/><Relationship Id="rId42" Type="http://schemas.openxmlformats.org/officeDocument/2006/relationships/hyperlink" Target="mailto:juliana.guerrero@mininterior.gov.co" TargetMode="External"/><Relationship Id="rId47" Type="http://schemas.openxmlformats.org/officeDocument/2006/relationships/hyperlink" Target="mailto:juliana.guerrero@mininterior.gov.co" TargetMode="External"/><Relationship Id="rId63" Type="http://schemas.openxmlformats.org/officeDocument/2006/relationships/hyperlink" Target="mailto:juliana.guerrero@mininterior.gov.co" TargetMode="External"/><Relationship Id="rId68" Type="http://schemas.openxmlformats.org/officeDocument/2006/relationships/hyperlink" Target="mailto:juliana.guerrero@mininterior.gov.co" TargetMode="External"/><Relationship Id="rId16" Type="http://schemas.openxmlformats.org/officeDocument/2006/relationships/hyperlink" Target="mailto:juliana.guerrero@mininterior.gov.co" TargetMode="External"/><Relationship Id="rId11" Type="http://schemas.openxmlformats.org/officeDocument/2006/relationships/hyperlink" Target="mailto:juliana.guerrero@mininterior.gov.co" TargetMode="External"/><Relationship Id="rId32" Type="http://schemas.openxmlformats.org/officeDocument/2006/relationships/hyperlink" Target="mailto:juliana.guerrero@mininterior.gov.co" TargetMode="External"/><Relationship Id="rId37" Type="http://schemas.openxmlformats.org/officeDocument/2006/relationships/hyperlink" Target="mailto:juliana.guerrero@mininterior.gov.co" TargetMode="External"/><Relationship Id="rId53" Type="http://schemas.openxmlformats.org/officeDocument/2006/relationships/hyperlink" Target="mailto:juliana.guerrero@mininterior.gov.co" TargetMode="External"/><Relationship Id="rId58" Type="http://schemas.openxmlformats.org/officeDocument/2006/relationships/hyperlink" Target="mailto:juliana.guerrero@mininterior.gov.co" TargetMode="External"/><Relationship Id="rId74" Type="http://schemas.openxmlformats.org/officeDocument/2006/relationships/hyperlink" Target="mailto:juliana.guerrero@mininterior.gov.co" TargetMode="External"/><Relationship Id="rId79" Type="http://schemas.openxmlformats.org/officeDocument/2006/relationships/hyperlink" Target="mailto:juliana.guerrero@mininterior.gov.co" TargetMode="External"/><Relationship Id="rId5" Type="http://schemas.openxmlformats.org/officeDocument/2006/relationships/hyperlink" Target="mailto:juliana.guerrero@mininterior.gov.co" TargetMode="External"/><Relationship Id="rId61" Type="http://schemas.openxmlformats.org/officeDocument/2006/relationships/hyperlink" Target="mailto:juliana.guerrero@mininterior.gov.co" TargetMode="External"/><Relationship Id="rId19" Type="http://schemas.openxmlformats.org/officeDocument/2006/relationships/hyperlink" Target="mailto:juliana.guerrero@mininterior.gov.co" TargetMode="External"/><Relationship Id="rId14" Type="http://schemas.openxmlformats.org/officeDocument/2006/relationships/hyperlink" Target="mailto:juliana.guerrero@mininterior.gov.co" TargetMode="External"/><Relationship Id="rId22" Type="http://schemas.openxmlformats.org/officeDocument/2006/relationships/hyperlink" Target="mailto:juliana.guerrero@mininterior.gov.co" TargetMode="External"/><Relationship Id="rId27" Type="http://schemas.openxmlformats.org/officeDocument/2006/relationships/hyperlink" Target="mailto:juliana.guerrero@mininterior.gov.co" TargetMode="External"/><Relationship Id="rId30" Type="http://schemas.openxmlformats.org/officeDocument/2006/relationships/hyperlink" Target="mailto:juliana.guerrero@mininterior.gov.co" TargetMode="External"/><Relationship Id="rId35" Type="http://schemas.openxmlformats.org/officeDocument/2006/relationships/hyperlink" Target="mailto:juliana.guerrero@mininterior.gov.co" TargetMode="External"/><Relationship Id="rId43" Type="http://schemas.openxmlformats.org/officeDocument/2006/relationships/hyperlink" Target="mailto:juliana.guerrero@mininterior.gov.co" TargetMode="External"/><Relationship Id="rId48" Type="http://schemas.openxmlformats.org/officeDocument/2006/relationships/hyperlink" Target="mailto:juliana.guerrero@mininterior.gov.co" TargetMode="External"/><Relationship Id="rId56" Type="http://schemas.openxmlformats.org/officeDocument/2006/relationships/hyperlink" Target="mailto:juliana.guerrero@mininterior.gov.co" TargetMode="External"/><Relationship Id="rId64" Type="http://schemas.openxmlformats.org/officeDocument/2006/relationships/hyperlink" Target="mailto:juliana.guerrero@mininterior.gov.co" TargetMode="External"/><Relationship Id="rId69" Type="http://schemas.openxmlformats.org/officeDocument/2006/relationships/hyperlink" Target="mailto:juliana.guerrero@mininterior.gov.co" TargetMode="External"/><Relationship Id="rId77" Type="http://schemas.openxmlformats.org/officeDocument/2006/relationships/hyperlink" Target="mailto:juliana.guerrero@mininterior.gov.co" TargetMode="External"/><Relationship Id="rId8" Type="http://schemas.openxmlformats.org/officeDocument/2006/relationships/hyperlink" Target="mailto:juliana.guerrero@mininterior.gov.co" TargetMode="External"/><Relationship Id="rId51" Type="http://schemas.openxmlformats.org/officeDocument/2006/relationships/hyperlink" Target="mailto:juliana.guerrero@mininterior.gov.co" TargetMode="External"/><Relationship Id="rId72" Type="http://schemas.openxmlformats.org/officeDocument/2006/relationships/hyperlink" Target="mailto:juliana.guerrero@mininterior.gov.co" TargetMode="External"/><Relationship Id="rId80" Type="http://schemas.openxmlformats.org/officeDocument/2006/relationships/printerSettings" Target="../printerSettings/printerSettings1.bin"/><Relationship Id="rId3" Type="http://schemas.openxmlformats.org/officeDocument/2006/relationships/hyperlink" Target="mailto:juliana.guerrero@mininterior.gov.co" TargetMode="External"/><Relationship Id="rId12" Type="http://schemas.openxmlformats.org/officeDocument/2006/relationships/hyperlink" Target="mailto:juliana.guerrero@mininterior.gov.co" TargetMode="External"/><Relationship Id="rId17" Type="http://schemas.openxmlformats.org/officeDocument/2006/relationships/hyperlink" Target="mailto:juliana.guerrero@mininterior.gov.co" TargetMode="External"/><Relationship Id="rId25" Type="http://schemas.openxmlformats.org/officeDocument/2006/relationships/hyperlink" Target="mailto:juliana.guerrero@mininterior.gov.co" TargetMode="External"/><Relationship Id="rId33" Type="http://schemas.openxmlformats.org/officeDocument/2006/relationships/hyperlink" Target="mailto:juliana.guerrero@mininterior.gov.co" TargetMode="External"/><Relationship Id="rId38" Type="http://schemas.openxmlformats.org/officeDocument/2006/relationships/hyperlink" Target="mailto:juliana.guerrero@mininterior.gov.co" TargetMode="External"/><Relationship Id="rId46" Type="http://schemas.openxmlformats.org/officeDocument/2006/relationships/hyperlink" Target="mailto:juliana.guerrero@mininterior.gov.co" TargetMode="External"/><Relationship Id="rId59" Type="http://schemas.openxmlformats.org/officeDocument/2006/relationships/hyperlink" Target="mailto:juliana.guerrero@mininterior.gov.co" TargetMode="External"/><Relationship Id="rId67" Type="http://schemas.openxmlformats.org/officeDocument/2006/relationships/hyperlink" Target="mailto:juliana.guerrero@mininterior.gov.co" TargetMode="External"/><Relationship Id="rId20" Type="http://schemas.openxmlformats.org/officeDocument/2006/relationships/hyperlink" Target="mailto:juliana.guerrero@mininterior.gov.co" TargetMode="External"/><Relationship Id="rId41" Type="http://schemas.openxmlformats.org/officeDocument/2006/relationships/hyperlink" Target="mailto:juliana.guerrero@mininterior.gov.co" TargetMode="External"/><Relationship Id="rId54" Type="http://schemas.openxmlformats.org/officeDocument/2006/relationships/hyperlink" Target="mailto:juliana.guerrero@mininterior.gov.co" TargetMode="External"/><Relationship Id="rId62" Type="http://schemas.openxmlformats.org/officeDocument/2006/relationships/hyperlink" Target="mailto:juliana.guerrero@mininterior.gov.co" TargetMode="External"/><Relationship Id="rId70" Type="http://schemas.openxmlformats.org/officeDocument/2006/relationships/hyperlink" Target="mailto:juliana.guerrero@mininterior.gov.co" TargetMode="External"/><Relationship Id="rId75" Type="http://schemas.openxmlformats.org/officeDocument/2006/relationships/hyperlink" Target="mailto:juliana.guerrero@mininterior.gov.co" TargetMode="External"/><Relationship Id="rId1" Type="http://schemas.openxmlformats.org/officeDocument/2006/relationships/hyperlink" Target="mailto:juliana.guerrero@mininterior.gov.co" TargetMode="External"/><Relationship Id="rId6" Type="http://schemas.openxmlformats.org/officeDocument/2006/relationships/hyperlink" Target="mailto:juliana.guerrero@mininterior.gov.co" TargetMode="External"/><Relationship Id="rId15" Type="http://schemas.openxmlformats.org/officeDocument/2006/relationships/hyperlink" Target="mailto:juliana.guerrero@mininterior.gov.co" TargetMode="External"/><Relationship Id="rId23" Type="http://schemas.openxmlformats.org/officeDocument/2006/relationships/hyperlink" Target="mailto:juliana.guerrero@mininterior.gov.co" TargetMode="External"/><Relationship Id="rId28" Type="http://schemas.openxmlformats.org/officeDocument/2006/relationships/hyperlink" Target="mailto:juliana.guerrero@mininterior.gov.co" TargetMode="External"/><Relationship Id="rId36" Type="http://schemas.openxmlformats.org/officeDocument/2006/relationships/hyperlink" Target="mailto:juliana.guerrero@mininterior.gov.co" TargetMode="External"/><Relationship Id="rId49" Type="http://schemas.openxmlformats.org/officeDocument/2006/relationships/hyperlink" Target="mailto:juliana.guerrero@mininterior.gov.co" TargetMode="External"/><Relationship Id="rId57" Type="http://schemas.openxmlformats.org/officeDocument/2006/relationships/hyperlink" Target="mailto:juliana.guerrero@mininterior.gov.co" TargetMode="External"/><Relationship Id="rId10" Type="http://schemas.openxmlformats.org/officeDocument/2006/relationships/hyperlink" Target="mailto:juliana.guerrero@mininterior.gov.co" TargetMode="External"/><Relationship Id="rId31" Type="http://schemas.openxmlformats.org/officeDocument/2006/relationships/hyperlink" Target="mailto:juliana.guerrero@mininterior.gov.co" TargetMode="External"/><Relationship Id="rId44" Type="http://schemas.openxmlformats.org/officeDocument/2006/relationships/hyperlink" Target="mailto:juliana.guerrero@mininterior.gov.co" TargetMode="External"/><Relationship Id="rId52" Type="http://schemas.openxmlformats.org/officeDocument/2006/relationships/hyperlink" Target="mailto:juliana.guerrero@mininterior.gov.co" TargetMode="External"/><Relationship Id="rId60" Type="http://schemas.openxmlformats.org/officeDocument/2006/relationships/hyperlink" Target="mailto:juliana.guerrero@mininterior.gov.co" TargetMode="External"/><Relationship Id="rId65" Type="http://schemas.openxmlformats.org/officeDocument/2006/relationships/hyperlink" Target="mailto:juliana.guerrero@mininterior.gov.co" TargetMode="External"/><Relationship Id="rId73" Type="http://schemas.openxmlformats.org/officeDocument/2006/relationships/hyperlink" Target="mailto:juliana.guerrero@mininterior.gov.co" TargetMode="External"/><Relationship Id="rId78" Type="http://schemas.openxmlformats.org/officeDocument/2006/relationships/hyperlink" Target="mailto:juliana.guerrero@mininterior.gov.co" TargetMode="External"/><Relationship Id="rId81" Type="http://schemas.openxmlformats.org/officeDocument/2006/relationships/drawing" Target="../drawings/drawing1.xml"/><Relationship Id="rId4" Type="http://schemas.openxmlformats.org/officeDocument/2006/relationships/hyperlink" Target="mailto:juliana.guerrero@mininterior.gov.co" TargetMode="External"/><Relationship Id="rId9" Type="http://schemas.openxmlformats.org/officeDocument/2006/relationships/hyperlink" Target="mailto:juliana.guerrero@mininterior.gov.co" TargetMode="External"/><Relationship Id="rId13" Type="http://schemas.openxmlformats.org/officeDocument/2006/relationships/hyperlink" Target="mailto:juliana.guerrero@mininterior.gov.co" TargetMode="External"/><Relationship Id="rId18" Type="http://schemas.openxmlformats.org/officeDocument/2006/relationships/hyperlink" Target="mailto:juliana.guerrero@mininterior.gov.co" TargetMode="External"/><Relationship Id="rId39" Type="http://schemas.openxmlformats.org/officeDocument/2006/relationships/hyperlink" Target="mailto:juliana.guerrero@mininterior.gov.co" TargetMode="External"/><Relationship Id="rId34" Type="http://schemas.openxmlformats.org/officeDocument/2006/relationships/hyperlink" Target="mailto:juliana.guerrero@mininterior.gov.co" TargetMode="External"/><Relationship Id="rId50" Type="http://schemas.openxmlformats.org/officeDocument/2006/relationships/hyperlink" Target="mailto:juliana.guerrero@mininterior.gov.co" TargetMode="External"/><Relationship Id="rId55" Type="http://schemas.openxmlformats.org/officeDocument/2006/relationships/hyperlink" Target="mailto:juliana.guerrero@mininterior.gov.co" TargetMode="External"/><Relationship Id="rId76" Type="http://schemas.openxmlformats.org/officeDocument/2006/relationships/hyperlink" Target="mailto:juliana.guerrero@mininterior.gov.co" TargetMode="External"/><Relationship Id="rId7" Type="http://schemas.openxmlformats.org/officeDocument/2006/relationships/hyperlink" Target="mailto:juliana.guerrero@mininterior.gov.co" TargetMode="External"/><Relationship Id="rId71" Type="http://schemas.openxmlformats.org/officeDocument/2006/relationships/hyperlink" Target="mailto:juliana.guerrero@mininterior.gov.co" TargetMode="External"/><Relationship Id="rId2" Type="http://schemas.openxmlformats.org/officeDocument/2006/relationships/hyperlink" Target="mailto:juliana.guerrero@mininterior.gov.co" TargetMode="External"/><Relationship Id="rId29" Type="http://schemas.openxmlformats.org/officeDocument/2006/relationships/hyperlink" Target="mailto:juliana.guerrero@mininterior.gov.co" TargetMode="External"/><Relationship Id="rId24" Type="http://schemas.openxmlformats.org/officeDocument/2006/relationships/hyperlink" Target="mailto:juliana.guerrero@mininterior.gov.co" TargetMode="External"/><Relationship Id="rId40" Type="http://schemas.openxmlformats.org/officeDocument/2006/relationships/hyperlink" Target="mailto:juliana.guerrero@mininterior.gov.co" TargetMode="External"/><Relationship Id="rId45" Type="http://schemas.openxmlformats.org/officeDocument/2006/relationships/hyperlink" Target="mailto:juliana.guerrero@mininterior.gov.co" TargetMode="External"/><Relationship Id="rId66" Type="http://schemas.openxmlformats.org/officeDocument/2006/relationships/hyperlink" Target="mailto:juliana.guerrero@mininterior.gov.co"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f:/r/sites/EvidenciasOAP/Documentos%20compartidos/Evidencias%20Indicadores%20de%20Proceso%202026/05.%20Gesti%C3%B3n%20para%20la%20Protecci%C3%B3n%20de%20los%20derechos/Direcci%C3%B3n%20de%20Asuntos%20para%20Comunidades%20Negras,%20Afrocolombianas,%20Raizales%20y%20Palenqueras/I%20trimestre/Ind045?csf=1&amp;web=1&amp;e=XmlffT" TargetMode="External"/><Relationship Id="rId21" Type="http://schemas.openxmlformats.org/officeDocument/2006/relationships/hyperlink" Target="mailto:amelia.cotes@mininterior.gov.co" TargetMode="External"/><Relationship Id="rId42" Type="http://schemas.openxmlformats.org/officeDocument/2006/relationships/hyperlink" Target="mailto:paula.sierra@mininterior.gov.co" TargetMode="External"/><Relationship Id="rId63" Type="http://schemas.openxmlformats.org/officeDocument/2006/relationships/hyperlink" Target="mailto:dire.alfonso.jimenez@mininterior.gov.co" TargetMode="External"/><Relationship Id="rId84" Type="http://schemas.openxmlformats.org/officeDocument/2006/relationships/hyperlink" Target="../../../../../: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 TargetMode="External"/><Relationship Id="rId138" Type="http://schemas.openxmlformats.org/officeDocument/2006/relationships/hyperlink" Target="../../../../../:f:/r/sites/EvidenciasOAP/Documentos%20compartidos/Evidencias%20Indicadores%20de%20Proceso%202026/01.%20Planeaci%C3%B3n,%20Direccionamiento%20Estrat%C3%A9gico%20y%20Comunicaciones/II%20Trimestre/Grupo%20Comunicaciones/Ind009?csf=1&amp;web=1&amp;e=QVRG1K" TargetMode="External"/><Relationship Id="rId159" Type="http://schemas.openxmlformats.org/officeDocument/2006/relationships/hyperlink" Target="../../../../EvidenciasOAP/Documentos%20compartidos/Forms/AllItems.aspx?e=5%3A9d10999d505d415e97e5617eb5caa245&amp;sharingv2=true&amp;fromShare=true&amp;at=9&amp;CT=1784118396525&amp;OR=OWA%2DNT%2DMail&amp;CID=d9b2420b%2D367d%2Dbcd6%2Dedb7%2D92cd9e61c0ee&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9" TargetMode="External"/><Relationship Id="rId107" Type="http://schemas.openxmlformats.org/officeDocument/2006/relationships/hyperlink" Target="../../../../../:f:/r/sites/EvidenciasOAP/Documentos%20compartidos/Evidencias%20Indicadores%20de%20Proceso%202026/14.%20Seguimiento%20y%20Evaluaci%C3%B3n%20a%20la%20Gesti%C3%B3n/I%20Trimestre/Ind083?csf=1&amp;web=1&amp;e=dXLq9m&amp;xsdata=MDV8MDJ8ZmFiaW8uc2FubWFydGluQG1pbmludGVyaW9yLmdvdi5jb3xiMWMzZTAyYzVhMjA0YTY1ODg5YjA4ZGU5NWIyYmY2Y3xjNGY3ODcwY2ViMDg0ZDAxYjAyM2E3MWRkOTRlODgzYnwwfDB8NjM5MTEyNzkyNjQwNDc5NjI2fFVua25vd258VFdGcGJHWnNiM2Q4ZXlKRmJYQjBlVTFoY0draU9uUnlkV1VzSWxZaU9pSXdMakF1TURBd01DSXNJbEFpT2lKWGFXNHpNaUlzSWtGT0lqb2lUV0ZwYkNJc0lsZFVJam95ZlE9PXwwfHx8&amp;sdata=S0d6WDJaQkRxc3krYkoreW95YTA0bjRJeTRXOHhyOWJWb0R6dnZheG9kYz0%3d" TargetMode="External"/><Relationship Id="rId11" Type="http://schemas.openxmlformats.org/officeDocument/2006/relationships/hyperlink" Target="mailto:yitcy.becerra@mininterior.gov.co" TargetMode="External"/><Relationship Id="rId32" Type="http://schemas.openxmlformats.org/officeDocument/2006/relationships/hyperlink" Target="mailto:lina.vacca@mininterior.gov.co" TargetMode="External"/><Relationship Id="rId53" Type="http://schemas.openxmlformats.org/officeDocument/2006/relationships/hyperlink" Target="mailto:nhora.mondragon@mininterior.gov.co" TargetMode="External"/><Relationship Id="rId74" Type="http://schemas.openxmlformats.org/officeDocument/2006/relationships/hyperlink" Target="../../../../../:f:/r/sites/EvidenciasOAP/Documentos%20compartidos/Evidencias%20Indicadores%20de%20Proceso%202026/08.%20Gesti%C3%B3n%20de%20Bienes%20y%20Servicios/I%20Trimestre/Ind066?csf=1&amp;web=1&amp;e=17a4rG" TargetMode="External"/><Relationship Id="rId128" Type="http://schemas.openxmlformats.org/officeDocument/2006/relationships/hyperlink" Target="../../../../../:f:/r/sites/EvidenciasOAP/Documentos%20compartidos/Evidencias%20Indicadores%20de%20Proceso%202026/01.%20Planeaci%C3%B3n,%20Direccionamiento%20Estrat%C3%A9gico%20y%20Comunicaciones/I%20Trimestre/Oficina%20Asesora%20de%20Planeaci%C3%B3n/Ind006?csf=1&amp;web=1&amp;e=CbDnem" TargetMode="External"/><Relationship Id="rId149" Type="http://schemas.openxmlformats.org/officeDocument/2006/relationships/hyperlink" Target="../../../../../:f:/r/sites/EvidenciasOAP/Documentos%20compartidos/Evidencias%20Indicadores%20de%20Proceso%202026/07.%20Gesti%C3%B3n%20Financiera/II%20trimestre/Ind062?csf=1&amp;web=1&amp;e=ocrDmc" TargetMode="External"/><Relationship Id="rId5" Type="http://schemas.openxmlformats.org/officeDocument/2006/relationships/hyperlink" Target="mailto:stella.canon@mininterior.gov.co" TargetMode="External"/><Relationship Id="rId95"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Ind042?csf=1&amp;web=1&amp;e=cldbRA" TargetMode="External"/><Relationship Id="rId160" Type="http://schemas.openxmlformats.org/officeDocument/2006/relationships/hyperlink" Target="../../../../../:f:/r/sites/EvidenciasOAP/Documentos%20compartidos/Evidencias%20Indicadores%20de%20Proceso%202026/05.%20Gesti%C3%B3n%20para%20la%20Protecci%C3%B3n%20de%20los%20derechos/Direcci%C3%B3n%20de%20Derechos%20Humanos/II%20trimestre/Ind030/Pol%C3%ADtica%20de%20Prevenci%C3%B3n?csf=1&amp;web=1&amp;e=HjABId" TargetMode="External"/><Relationship Id="rId22" Type="http://schemas.openxmlformats.org/officeDocument/2006/relationships/hyperlink" Target="mailto:amelia.cotes@mininterior.gov.co" TargetMode="External"/><Relationship Id="rId43" Type="http://schemas.openxmlformats.org/officeDocument/2006/relationships/hyperlink" Target="mailto:jomary.ortegon@mininterior.gov.co" TargetMode="External"/><Relationship Id="rId64" Type="http://schemas.openxmlformats.org/officeDocument/2006/relationships/hyperlink" Target="mailto:dire.alfonso.jimenez@mininterior.gov.co" TargetMode="External"/><Relationship Id="rId118" Type="http://schemas.openxmlformats.org/officeDocument/2006/relationships/hyperlink" Target="../../../../../:f:/r/sites/EvidenciasOAP/Documentos%20compartidos/Evidencias%20Indicadores%20de%20Proceso%202026/05.%20Gesti%C3%B3n%20para%20la%20Protecci%C3%B3n%20de%20los%20derechos/Direcci%C3%B3n%20de%20Asuntos%20para%20Comunidades%20Negras,%20Afrocolombianas,%20Raizales%20y%20Palenqueras/I%20trimestre/Ind044?csf=1&amp;web=1&amp;e=rqQhNv" TargetMode="External"/><Relationship Id="rId139" Type="http://schemas.openxmlformats.org/officeDocument/2006/relationships/hyperlink" Target="../../../../../:f:/r/sites/EvidenciasOAP/Documentos%20compartidos/Evidencias%20Indicadores%20de%20Proceso%202026/01.%20Planeaci%C3%B3n,%20Direccionamiento%20Estrat%C3%A9gico%20y%20Comunicaciones/II%20Trimestre/Grupo%20Comunicaciones/Ind008?csf=1&amp;web=1&amp;e=LhvvjP" TargetMode="External"/><Relationship Id="rId85" Type="http://schemas.openxmlformats.org/officeDocument/2006/relationships/hyperlink" Target="../../../../../: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3?csf=1&amp;web=1&amp;e=wOScCA" TargetMode="External"/><Relationship Id="rId150" Type="http://schemas.openxmlformats.org/officeDocument/2006/relationships/hyperlink" Target="../../../../../:f:/r/sites/EvidenciasOAP/Documentos%20compartidos/Evidencias%20Indicadores%20de%20Proceso%202026/12.%20Gesti%C3%B3n%20Documental%20y%20Archivo/II%20trimestre/Ind077?csf=1&amp;web=1&amp;e=jZYYGB" TargetMode="External"/><Relationship Id="rId12" Type="http://schemas.openxmlformats.org/officeDocument/2006/relationships/hyperlink" Target="mailto:sergio.arciniegas@mininterior.gov.co" TargetMode="External"/><Relationship Id="rId17" Type="http://schemas.openxmlformats.org/officeDocument/2006/relationships/hyperlink" Target="mailto:angelica.palacios@mininterior.gov.co" TargetMode="External"/><Relationship Id="rId33" Type="http://schemas.openxmlformats.org/officeDocument/2006/relationships/hyperlink" Target="mailto:diana.olmos@mininterior.gov.co" TargetMode="External"/><Relationship Id="rId38" Type="http://schemas.openxmlformats.org/officeDocument/2006/relationships/hyperlink" Target="mailto:juan.duran@mininterior.gov.co" TargetMode="External"/><Relationship Id="rId59" Type="http://schemas.openxmlformats.org/officeDocument/2006/relationships/hyperlink" Target="mailto:tito.lovo@mininterior.gov.co" TargetMode="External"/><Relationship Id="rId103" Type="http://schemas.openxmlformats.org/officeDocument/2006/relationships/hyperlink" Target="../../../../../:f:/r/sites/EvidenciasOAP/Documentos%20compartidos/Evidencias%20Indicadores%20de%20Proceso%202026/12.%20Gesti%C3%B3n%20Documental%20y%20Archivo/I%20trimestre/Ind077?csf=1&amp;web=1&amp;e=eNqPmd" TargetMode="External"/><Relationship Id="rId108" Type="http://schemas.openxmlformats.org/officeDocument/2006/relationships/hyperlink" Target="../../../../../:f:/r/sites/EvidenciasOAP/Documentos%20compartidos/Evidencias%20Indicadores%20de%20Proceso%202026/05.%20Gesti%C3%B3n%20para%20la%20Protecci%C3%B3n%20de%20los%20derechos/Direcci%C3%B3n%20de%20Derechos%20Humanos/Ind030?csf=1&amp;web=1&amp;e=kDW1dh" TargetMode="External"/><Relationship Id="rId124" Type="http://schemas.openxmlformats.org/officeDocument/2006/relationships/hyperlink" Target="../../../../../:f:/r/sites/EvidenciasOAP/Documentos%20compartidos/Evidencias%20Indicadores%20de%20Proceso%202026/05.%20Gesti%C3%B3n%20para%20la%20Protecci%C3%B3n%20de%20los%20derechos/Grupo%20de%20Articulaci%C3%B3n%20para%20pol%C3%ADtica%20de%20victimas/Ind028?csf=1&amp;web=1&amp;e=w2cFVF&amp;xsdata=MDV8MDJ8YW5kcmVzLnBhYm9uQG1pbmludGVyaW9yLmdvdi5jb3xkNTBlMDU5NWZkM2E0NDExMzA4NjA4ZGU4NDQzZmMxOXxjNGY3ODcwY2ViMDg0ZDAxYjAyM2E3MWRkOTRlODgzYnwwfDB8NjM5MDkzNjI1MjQxNjUyNTc0fFVua25vd258VFdGcGJHWnNiM2Q4ZXlKRmJYQjBlVTFoY0draU9uUnlkV1VzSWxZaU9pSXdMakF1TURBd01DSXNJbEFpT2lKWGFXNHpNaUlzSWtGT0lqb2lUV0ZwYkNJc0lsZFVJam95ZlE9PXwwfHx8&amp;sdata=TUVOeHdUZHNocjNCQ2tucHgybk5ISk52SVJrN2FHa2VZQ3lmelpnMkw4az0%3d" TargetMode="External"/><Relationship Id="rId129" Type="http://schemas.openxmlformats.org/officeDocument/2006/relationships/hyperlink" Target="../../../../../:f:/r/sites/EvidenciasOAP/Documentos%20compartidos/Evidencias%20Indicadores%20de%20Proceso%202026/05.%20Gesti%C3%B3n%20para%20la%20Protecci%C3%B3n%20de%20los%20derechos/Grupo%20enfoque%20de%20g%C3%A9nero%20y%20diversidad/II%20Trimestre/Ind040?csf=1&amp;web=1&amp;e=Nc2Ze6" TargetMode="External"/><Relationship Id="rId54" Type="http://schemas.openxmlformats.org/officeDocument/2006/relationships/hyperlink" Target="mailto:mariana.gomez@mininterior.gov.co" TargetMode="External"/><Relationship Id="rId70" Type="http://schemas.openxmlformats.org/officeDocument/2006/relationships/hyperlink" Target="mailto:sergio.arciniegas@mininterior.gov.co" TargetMode="External"/><Relationship Id="rId75" Type="http://schemas.openxmlformats.org/officeDocument/2006/relationships/hyperlink" Target="../../../../../:f:/r/sites/EvidenciasOAP/Documentos%20compartidos/Evidencias%20Indicadores%20de%20Proceso%202026/03.%20Gesti%C3%B3n%20del%20Talento%20Humano/I%20Trimestre/Ind012?csf=1&amp;web=1&amp;e=xMykwh" TargetMode="External"/><Relationship Id="rId91" Type="http://schemas.openxmlformats.org/officeDocument/2006/relationships/hyperlink" Target="../../../../../: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10?csf=1&amp;web=1&amp;e=XWomXw" TargetMode="External"/><Relationship Id="rId96"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Ind043?csf=1&amp;web=1&amp;e=1HJCpq" TargetMode="External"/><Relationship Id="rId140" Type="http://schemas.openxmlformats.org/officeDocument/2006/relationships/hyperlink" Target="../../../../../../../../: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 TargetMode="External"/><Relationship Id="rId145" Type="http://schemas.openxmlformats.org/officeDocument/2006/relationships/hyperlink" Target="../../../../../:f:/r/sites/EvidenciasOAP/Documentos%20compartidos/Evidencias%20Indicadores%20de%20Proceso%202026/06.%20Gesti%C3%B3n%20Administrativa/II%20trimestre/Ind058?csf=1&amp;web=1&amp;e=ezoWuJ" TargetMode="External"/><Relationship Id="rId161" Type="http://schemas.openxmlformats.org/officeDocument/2006/relationships/hyperlink" Target="../../../../../:w:/r/sites/EvidenciasOAP/Documentos%20compartidos/Evidencias%20Indicadores%20de%20Proceso%202026/05.%20Gesti%C3%B3n%20para%20la%20Protecci%C3%B3n%20de%20los%20derechos/Direcci%C3%B3n%20de%20Derechos%20Humanos/II%20trimestre/Ind032/Apoyar%20la%20implementaci%C3%B3n%20del%20Plan%20de%20Acci%C3%B3n%20Nacional%20del%20programa%20Integral%20de%20Garantias%20para%20Lideresas%20y%20Defensoras%20de%20DDHH,%20en%20el%20marco%20del%20auto%20737,%20sentencia%20T-025.docx?d=we1f5b117d5214f8f8bed1702e4aca681&amp;csf=1&amp;web=1&amp;e=4OL5v0" TargetMode="External"/><Relationship Id="rId166" Type="http://schemas.openxmlformats.org/officeDocument/2006/relationships/printerSettings" Target="../printerSettings/printerSettings2.bin"/><Relationship Id="rId1" Type="http://schemas.openxmlformats.org/officeDocument/2006/relationships/hyperlink" Target="mailto:sergio.arciniegas@mininterior.gov.co" TargetMode="External"/><Relationship Id="rId6" Type="http://schemas.openxmlformats.org/officeDocument/2006/relationships/hyperlink" Target="mailto:stella.canon@mininterior.gov.co" TargetMode="External"/><Relationship Id="rId23" Type="http://schemas.openxmlformats.org/officeDocument/2006/relationships/hyperlink" Target="mailto:richard.gamboa@mininterior.gov.co" TargetMode="External"/><Relationship Id="rId28" Type="http://schemas.openxmlformats.org/officeDocument/2006/relationships/hyperlink" Target="mailto:diana.olmos@mininterior.gov.co" TargetMode="External"/><Relationship Id="rId49" Type="http://schemas.openxmlformats.org/officeDocument/2006/relationships/hyperlink" Target="mailto:jomary.ortegon@mininterior.gov.co" TargetMode="External"/><Relationship Id="rId114" Type="http://schemas.openxmlformats.org/officeDocument/2006/relationships/hyperlink" Target="../../../../../:f:/r/sites/EvidenciasOAP/Documentos%20compartidos/Evidencias%20Indicadores%20de%20Proceso%202026/05.%20Gesti%C3%B3n%20para%20la%20Protecci%C3%B3n%20de%20los%20derechos/Direcci%C3%B3n%20de%20Derechos%20Humanos/Ind036?csf=1&amp;web=1&amp;e=j6YPbi" TargetMode="External"/><Relationship Id="rId119" Type="http://schemas.openxmlformats.org/officeDocument/2006/relationships/hyperlink" Target="../../../../../:f:/r/sites/EvidenciasOAP/Documentos%20compartidos/Evidencias%20Indicadores%20de%20Proceso%202026/05.%20Gesti%C3%B3n%20para%20la%20Protecci%C3%B3n%20de%20los%20derechos/Direcci%C3%B3n%20de%20Asuntos%20para%20Comunidades%20Negras,%20Afrocolombianas,%20Raizales%20y%20Palenqueras/I%20trimestre/Ind046?csf=1&amp;web=1&amp;e=zGMowN" TargetMode="External"/><Relationship Id="rId44" Type="http://schemas.openxmlformats.org/officeDocument/2006/relationships/hyperlink" Target="mailto:jomary.ortegon@mininterior.gov.co" TargetMode="External"/><Relationship Id="rId60" Type="http://schemas.openxmlformats.org/officeDocument/2006/relationships/hyperlink" Target="mailto:tito.lovo@mininterior.gov.co" TargetMode="External"/><Relationship Id="rId65" Type="http://schemas.openxmlformats.org/officeDocument/2006/relationships/hyperlink" Target="mailto:tito.lovo@mininterior.gov.co" TargetMode="External"/><Relationship Id="rId81" Type="http://schemas.openxmlformats.org/officeDocument/2006/relationships/hyperlink" Target="https://mininteriorgovco-my.sharepoint.com/:f:/r/personal/yovany_corredor_mininterior_gov_co/Documents/AA%20DANCP/CONSULTA%20PREVIA%202026/INDICADORES%20DE%20PROCESO%202026/EVIDENCIAS/1.%20Ind%20050.%201er%20Trimestre?csf=1&amp;web=1&amp;e=XcoRXd" TargetMode="External"/><Relationship Id="rId86" Type="http://schemas.openxmlformats.org/officeDocument/2006/relationships/hyperlink" Target="../../../../../: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4?csf=1&amp;web=1&amp;e=dmTP79" TargetMode="External"/><Relationship Id="rId130" Type="http://schemas.openxmlformats.org/officeDocument/2006/relationships/hyperlink" Target="../../../../../:f:/r/sites/EvidenciasOAP/Documentos%20compartidos/Evidencias%20Indicadores%20de%20Proceso%202026/05.%20Gesti%C3%B3n%20para%20la%20Protecci%C3%B3n%20de%20los%20derechos/Direcci%C3%B3n%20de%20la%20Autoridad%20Nacional%20de%20Consulta%20Previa/Seguimiento%20II%20Trimestre/Ind050?csf=1&amp;web=1&amp;e=T31HxW" TargetMode="External"/><Relationship Id="rId135" Type="http://schemas.openxmlformats.org/officeDocument/2006/relationships/hyperlink" Target="../../../../../../../../:f:/r/sites/oficinadetecnologia/Documentos%20compartidos/General/Proyectos%20MININT/Direccionamiento%20Estrat&#195;&#169;gico%20OIPI/04.%20Gesti&#195;&#179;n%20Riesgos%20y%20Seguridad/01.%20Mejoramiento%20Continuo/06.%20Plan%20de%20Mejoramiento%20Por%20Procesos%20OIP%20GT/Indicadores%20de%20Proceso%202026.%20Gesti&#195;&#179;n%20Tecnolo&#204;&#129;gica%20I%20Trimestre/Evidencia/Ind075?csf=1&amp;web=1&amp;e=HE0imH" TargetMode="External"/><Relationship Id="rId151" Type="http://schemas.openxmlformats.org/officeDocument/2006/relationships/hyperlink" Target="../../../../../:f:/r/sites/EvidenciasOAP/Documentos%20compartidos/Evidencias%20Indicadores%20de%20Proceso%202026/04.%20Gesti%C3%B3n%20Pol%C3%ADtica%20y%20Gobierno/Subdirecci%C3%B3n%20de%20Gobierno%20y%20Gesti%C3%B3n%20Territorial%20y%20Lucha%20Contra%20la%20Trata/Ind022/PRIMER%20TRIMESTRE?csf=1&amp;web=1&amp;e=KgTumH" TargetMode="External"/><Relationship Id="rId156" Type="http://schemas.openxmlformats.org/officeDocument/2006/relationships/hyperlink" Target="../../../../../:b:/r/sites/EvidenciasOAP/Documentos%20compartidos/Evidencias%20Indicadores%20de%20Proceso%202026/05.%20Gesti%C3%B3n%20para%20la%20Protecci%C3%B3n%20de%20los%20derechos/Direcci%C3%B3n%20de%20Derechos%20Humanos/II%20trimestre/Ind036/Fortalecer%20e%20implementar%20la%20Pol%C3%ADtica%20de%20Convivencia,%20Reconciliaci%C3%B3n,%20Tolerancia,%20y%20No%20Estigmatizaci%C3%B3n.pdf?csf=1&amp;web=1&amp;e=KOd73c" TargetMode="External"/><Relationship Id="rId13" Type="http://schemas.openxmlformats.org/officeDocument/2006/relationships/hyperlink" Target="mailto:sergio.arciniegas@mininterior.gov.co" TargetMode="External"/><Relationship Id="rId18" Type="http://schemas.openxmlformats.org/officeDocument/2006/relationships/hyperlink" Target="mailto:angelica.palacios@mininterior.gov.co" TargetMode="External"/><Relationship Id="rId39" Type="http://schemas.openxmlformats.org/officeDocument/2006/relationships/hyperlink" Target="mailto:juan.duran@mininterior.gov.co" TargetMode="External"/><Relationship Id="rId109" Type="http://schemas.openxmlformats.org/officeDocument/2006/relationships/hyperlink" Target="../../../../../:f:/r/sites/EvidenciasOAP/Documentos%20compartidos/Evidencias%20Indicadores%20de%20Proceso%202026/05.%20Gesti%C3%B3n%20para%20la%20Protecci%C3%B3n%20de%20los%20derechos/Direcci%C3%B3n%20de%20Derechos%20Humanos/Ind031?csf=1&amp;web=1&amp;e=MBwo9k" TargetMode="External"/><Relationship Id="rId34" Type="http://schemas.openxmlformats.org/officeDocument/2006/relationships/hyperlink" Target="mailto:diana.olmos@mininterior.gov.co" TargetMode="External"/><Relationship Id="rId50" Type="http://schemas.openxmlformats.org/officeDocument/2006/relationships/hyperlink" Target="mailto:roquelina.blanco@mininterior.gov.co" TargetMode="External"/><Relationship Id="rId55" Type="http://schemas.openxmlformats.org/officeDocument/2006/relationships/hyperlink" Target="mailto:jaime.guzman@mininterior.gov.co" TargetMode="External"/><Relationship Id="rId76" Type="http://schemas.openxmlformats.org/officeDocument/2006/relationships/hyperlink" Target="../../../../../:f:/r/sites/EvidenciasOAP/Documentos%20compartidos/Evidencias%20Indicadores%20de%20Proceso%202026/03.%20Gesti%C3%B3n%20del%20Talento%20Humano/I%20Trimestre/Ind013?csf=1&amp;web=1&amp;e=nw8mwt" TargetMode="External"/><Relationship Id="rId97" Type="http://schemas.openxmlformats.org/officeDocument/2006/relationships/hyperlink" Target="../../../../../:f:/r/sites/EvidenciasOAP/Documentos%20compartidos/Evidencias%20Indicadores%20de%20Proceso%202026/06.%20Gesti%C3%B3n%20Administrativa/I%20trimestre/Ind058?csf=1&amp;web=1&amp;e=GMD73D" TargetMode="External"/><Relationship Id="rId104" Type="http://schemas.openxmlformats.org/officeDocument/2006/relationships/hyperlink" Target="../../../../evidenciaspeiyaccion/Documentos%20compartidos/Forms/AllItems.aspx?id=%2Fsites%2Fevidenciaspeiyaccion%2FDocumentos%20compartidos%2FEvidencias%20PEIA%2F22%2E%20GCDI%2F2026%2FI%20TRIM&amp;viewid=cc8cb3c1%2De9ea%2D4a61%2Dbce6%2D836632e4cddc&amp;csf=1&amp;CID=44494d0c%2D2218%2D41fc%2Da785%2Da0b3ed3cc86d&amp;FolderCTID=0x0120001D5FE1D754E50A44AB04108E24A1ACBD" TargetMode="External"/><Relationship Id="rId120" Type="http://schemas.openxmlformats.org/officeDocument/2006/relationships/hyperlink" Target="../../../../../:f:/r/sites/EvidenciasOAP/Documentos%20compartidos/Evidencias%20Indicadores%20de%20Proceso%202026/05.%20Gesti%C3%B3n%20para%20la%20Protecci%C3%B3n%20de%20los%20derechos/Direcci%C3%B3n%20de%20Asuntos%20para%20Comunidades%20Negras,%20Afrocolombianas,%20Raizales%20y%20Palenqueras/I%20trimestre/Ind047?csf=1&amp;web=1&amp;e=qAwahc" TargetMode="External"/><Relationship Id="rId125" Type="http://schemas.openxmlformats.org/officeDocument/2006/relationships/hyperlink" Target="../../../../../:f:/r/sites/EvidenciasOAP/Documentos%20compartidos/Evidencias%20Indicadores%20de%20Proceso%202026/05.%20Gesti%C3%B3n%20para%20la%20Protecci%C3%B3n%20de%20los%20derechos/Direcci%C3%B3n%20Asuntos%20Ind%C3%ADgenas,%20ROM%20y%20Minor%C3%ADa/I%20TRIMESTRE/Ind037?e=5%3a0bd48bcba8f64f1288493f4c960626c5&amp;sharingv2=true&amp;fromShare=true&amp;at=9&amp;xsdata=MDV8MDJ8bGVhbmRyYS5kdXJhbkBtaW5pbnRlcmlvci5nb3YuY298M2VmYjc3YmU5YmU5NDIwZWYwNmQwOGRlOWM4MmUzMmN8YzRmNzg3MGNlYjA4NGQwMWIwMjNhNzFkZDk0ZTg4M2J8MHwwfDYzOTEyMDI4MzE0OTEwNTAyOXxVbmtub3dufFRXRnBiR1pzYjNkOGV5SkZiWEIwZVUxaGNHa2lPblJ5ZFdVc0lsWWlPaUl3TGpBdU1EQXdNQ0lzSWxBaU9pSlhhVzR6TWlJc0lrRk9Jam9pVFdGcGJDSXNJbGRVSWpveWZRPT18MHx8fA%3d%3d&amp;sdata=WktiK0xJM25Ed0RTZmRZWnh1VmlJMHJ2UW5VcEYyOWJKSHRzcWFodldGZz0%3d" TargetMode="External"/><Relationship Id="rId141" Type="http://schemas.openxmlformats.org/officeDocument/2006/relationships/hyperlink" Target="../../../../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 TargetMode="External"/><Relationship Id="rId146" Type="http://schemas.openxmlformats.org/officeDocument/2006/relationships/hyperlink" Target="../../../../../:f:/r/sites/EvidenciasOAP/Documentos%20compartidos/Evidencias%20Indicadores%20de%20Proceso%202026/06.%20Gesti%C3%B3n%20Administrativa/II%20trimestre/Ind059?csf=1&amp;web=1&amp;e=SItrig" TargetMode="External"/><Relationship Id="rId7" Type="http://schemas.openxmlformats.org/officeDocument/2006/relationships/hyperlink" Target="mailto:yitcy.becerra@mininterior.gov.co" TargetMode="External"/><Relationship Id="rId71" Type="http://schemas.openxmlformats.org/officeDocument/2006/relationships/hyperlink" Target="mailto:yitcy.becerra@mininterior.gov.co" TargetMode="External"/><Relationship Id="rId92" Type="http://schemas.openxmlformats.org/officeDocument/2006/relationships/hyperlink" Target="../../../../../:f:/r/sites/EvidenciasOAP/Documentos%20compartidos/Evidencias%20Indicadores%20de%20Proceso%202026/05.%20Gesti%C3%B3n%20para%20la%20Protecci%C3%B3n%20de%20los%20derechos/Grupo%20enfoque%20de%20g%C3%A9nero%20y%20diversidad/Ind040?csf=1&amp;web=1&amp;e=dFiWfM" TargetMode="External"/><Relationship Id="rId162" Type="http://schemas.openxmlformats.org/officeDocument/2006/relationships/hyperlink" Target="../../../../../:f:/r/sites/EvidenciasOAP/Documentos%20compartidos/Evidencias%20Indicadores%20de%20Proceso%202026/05.%20Gesti%C3%B3n%20para%20la%20Protecci%C3%B3n%20de%20los%20derechos/Direcci%C3%B3n%20de%20Derechos%20Humanos/II%20trimestre/Ind034/Fortalecer%20la%20Pol%C3%ADtica%20de%20Garant%C3%ADa%20y%20Respeto%20a%20la%20labor%20de%20defensa%20de%20los%20Derechos%20Humanos?csf=1&amp;web=1&amp;e=J0eiOx" TargetMode="External"/><Relationship Id="rId2" Type="http://schemas.openxmlformats.org/officeDocument/2006/relationships/hyperlink" Target="mailto:jaime.garcian@mininterior.gov.co" TargetMode="External"/><Relationship Id="rId29" Type="http://schemas.openxmlformats.org/officeDocument/2006/relationships/hyperlink" Target="mailto:diana.olmos@mininterior.gov.co" TargetMode="External"/><Relationship Id="rId24" Type="http://schemas.openxmlformats.org/officeDocument/2006/relationships/hyperlink" Target="mailto:richard.gamboa@mininterior.gov.co" TargetMode="External"/><Relationship Id="rId40" Type="http://schemas.openxmlformats.org/officeDocument/2006/relationships/hyperlink" Target="mailto:paula.sierra@mininterior.gov.co" TargetMode="External"/><Relationship Id="rId45" Type="http://schemas.openxmlformats.org/officeDocument/2006/relationships/hyperlink" Target="mailto:jomary.ortegon@mininterior.gov.co" TargetMode="External"/><Relationship Id="rId66" Type="http://schemas.openxmlformats.org/officeDocument/2006/relationships/hyperlink" Target="mailto:tito.lovo@mininterior.gov.co" TargetMode="External"/><Relationship Id="rId87" Type="http://schemas.openxmlformats.org/officeDocument/2006/relationships/hyperlink" Target="../../../../../: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5?csf=1&amp;web=1&amp;e=HE0imH" TargetMode="External"/><Relationship Id="rId110" Type="http://schemas.openxmlformats.org/officeDocument/2006/relationships/hyperlink" Target="../../../../../:f:/r/sites/EvidenciasOAP/Documentos%20compartidos/Evidencias%20Indicadores%20de%20Proceso%202026/05.%20Gesti%C3%B3n%20para%20la%20Protecci%C3%B3n%20de%20los%20derechos/Direcci%C3%B3n%20de%20Derechos%20Humanos/Ind032?csf=1&amp;web=1&amp;e=dEcUXe" TargetMode="External"/><Relationship Id="rId115" Type="http://schemas.openxmlformats.org/officeDocument/2006/relationships/hyperlink" Target="../../../../../:f:/r/sites/EvidenciasOAP/Documentos%20compartidos/Evidencias%20Indicadores%20de%20Proceso%202026/04.%20Gesti%C3%B3n%20Pol%C3%ADtica%20y%20Gobierno/Direcci%C3%B3n%20de%20Asuntos%20Legislativos/I%20Trimestre/Ind019?csf=1&amp;web=1&amp;e=U2hPg2" TargetMode="External"/><Relationship Id="rId131" Type="http://schemas.openxmlformats.org/officeDocument/2006/relationships/hyperlink" Target="../../../../../:f:/r/sites/EvidenciasOAP/Documentos%20compartidos/Evidencias%20Indicadores%20de%20Proceso%202026/05.%20Gesti%C3%B3n%20para%20la%20Protecci%C3%B3n%20de%20los%20derechos/Direcci%C3%B3n%20de%20la%20Autoridad%20Nacional%20de%20Consulta%20Previa/Seguimiento%20II%20Trimestre/Ind051?csf=1&amp;web=1&amp;e=C6IUPP" TargetMode="External"/><Relationship Id="rId136" Type="http://schemas.openxmlformats.org/officeDocument/2006/relationships/hyperlink" Target="../../../../../../../../:f:/r/sites/oficinadetecnologia/Documentos%20compartidos/General/Proyectos%20MININT/Direccionamiento%20Estrat&#195;&#169;gico%20OIPI/04.%20Gesti&#195;&#179;n%20Riesgos%20y%20Seguridad/01.%20Mejoramiento%20Continuo/06.%20Plan%20de%20Mejoramiento%20Por%20Procesos%20OIP%20GT/Indicadores%20de%20Proceso%202026.%20Gesti&#195;&#179;n%20Tecnolo&#204;&#129;gica%20I%20Trimestre/Evidencia/Ind076?csf=1&amp;web=1&amp;e=17VdCX" TargetMode="External"/><Relationship Id="rId157" Type="http://schemas.openxmlformats.org/officeDocument/2006/relationships/hyperlink" Target="../../../../EvidenciasOAP/Documentos%20compartidos/Forms/AllItems.aspx?e=5%3Ae93188392f4d4135b2faafa4549f90a4&amp;sharingv2=true&amp;fromShare=true&amp;at=9&amp;CT=1784118355472&amp;OR=OWA%2DNT%2DMail&amp;CID=0e3dc6fa%2Dc1aa%2D19dd%2De0c7%2Dbf85e59e6de7&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7" TargetMode="External"/><Relationship Id="rId61" Type="http://schemas.openxmlformats.org/officeDocument/2006/relationships/hyperlink" Target="mailto:dickson.gomez@mininterior.gov.co" TargetMode="External"/><Relationship Id="rId82" Type="http://schemas.openxmlformats.org/officeDocument/2006/relationships/hyperlink" Target="https://mininteriorgovco-my.sharepoint.com/:f:/r/personal/yovany_corredor_mininterior_gov_co/Documents/AA%20DANCP/CONSULTA%20PREVIA%202026/INDICADORES%20DE%20PROCESO%202026/EVIDENCIAS/2.Ind.%20051.%201er%20Trimestre?csf=1&amp;web=1&amp;e=q9EVJQ" TargetMode="External"/><Relationship Id="rId152" Type="http://schemas.openxmlformats.org/officeDocument/2006/relationships/hyperlink" Target="../../../../../:f:/s/EvidenciasOAP/IgDVcl9yra6IS42HKWhdlxuRAS-xWd-h1YDI-lapnDXOyAs?e=GlXeDr" TargetMode="External"/><Relationship Id="rId19" Type="http://schemas.openxmlformats.org/officeDocument/2006/relationships/hyperlink" Target="mailto:carlos.espitia@mininterior.gov.co" TargetMode="External"/><Relationship Id="rId14" Type="http://schemas.openxmlformats.org/officeDocument/2006/relationships/hyperlink" Target="mailto:henry.luna@mininterior.gov.co" TargetMode="External"/><Relationship Id="rId30" Type="http://schemas.openxmlformats.org/officeDocument/2006/relationships/hyperlink" Target="mailto:diana.olmos@mininterior.gov.co" TargetMode="External"/><Relationship Id="rId35" Type="http://schemas.openxmlformats.org/officeDocument/2006/relationships/hyperlink" Target="mailto:juan.duran@mininterior.gov.co" TargetMode="External"/><Relationship Id="rId56" Type="http://schemas.openxmlformats.org/officeDocument/2006/relationships/hyperlink" Target="mailto:jaime.guzman@mininterior.gov.co" TargetMode="External"/><Relationship Id="rId77" Type="http://schemas.openxmlformats.org/officeDocument/2006/relationships/hyperlink" Target="../../../../../:f:/r/sites/EvidenciasOAP/Documentos%20compartidos/Evidencias%20Indicadores%20de%20Proceso%202026/03.%20Gesti%C3%B3n%20del%20Talento%20Humano/I%20Trimestre/Ind014?csf=1&amp;web=1&amp;e=sTASjB" TargetMode="External"/><Relationship Id="rId100" Type="http://schemas.openxmlformats.org/officeDocument/2006/relationships/hyperlink" Target="../../../../../:f:/r/sites/EvidenciasOAP/Documentos%20compartidos/Evidencias%20Indicadores%20de%20Proceso%202026/07.%20Gesti%C3%B3n%20Financiera/I%20trimestre/Ind061?csf=1&amp;web=1&amp;e=1eXAxW" TargetMode="External"/><Relationship Id="rId105" Type="http://schemas.openxmlformats.org/officeDocument/2006/relationships/hyperlink" Target="../../../../evidenciaspeiyaccion/Documentos%20compartidos/Forms/AllItems.aspx?id=%2Fsites%2Fevidenciaspeiyaccion%2FDocumentos%20compartidos%2FEvidencias%20PEIA%2F22%2E%20GCDI%2F2026%2FI%20TRIM%2FIniciativa%2003&amp;viewid=cc8cb3c1%2De9ea%2D4a61%2Dbce6%2D836632e4cddc&amp;csf=1&amp;CID=44494d0c%2D2218%2D41fc%2Da785%2Da0b3ed3cc86d&amp;FolderCTID=0x0120001D5FE1D754E50A44AB04108E24A1ACBD" TargetMode="External"/><Relationship Id="rId126" Type="http://schemas.openxmlformats.org/officeDocument/2006/relationships/hyperlink" Target="../../../../../:f:/r/sites/EvidenciasOAP/Documentos%20compartidos/Evidencias%20Indicadores%20de%20Proceso%202026/05.%20Gesti%C3%B3n%20para%20la%20Protecci%C3%B3n%20de%20los%20derechos/Direcci%C3%B3n%20Asuntos%20Ind%C3%ADgenas,%20ROM%20y%20Minor%C3%ADa/I%20TRIMESTRE/Ind038?e=5%3a40b85c16ea2f4133bc51df09df94db84&amp;sharingv2=true&amp;fromShare=true&amp;at=9&amp;xsdata=MDV8MDJ8bGVhbmRyYS5kdXJhbkBtaW5pbnRlcmlvci5nb3YuY298YTUyYzU2NmU5MWQzNDY4OWJjZmEwOGRlOWM4MmYwNTF8YzRmNzg3MGNlYjA4NGQwMWIwMjNhNzFkZDk0ZTg4M2J8MHwwfDYzOTEyMDI4MzM1NDE4MzA3MHxVbmtub3dufFRXRnBiR1pzYjNkOGV5SkZiWEIwZVUxaGNHa2lPblJ5ZFdVc0lsWWlPaUl3TGpBdU1EQXdNQ0lzSWxBaU9pSlhhVzR6TWlJc0lrRk9Jam9pVFdGcGJDSXNJbGRVSWpveWZRPT18MHx8fA%3d%3d&amp;sdata=UXgrbUxDR05GOHBVQkRnNUJZeExQMmR5MElLNmZMWVQ1Z09hV0FuSldlQT0%3d" TargetMode="External"/><Relationship Id="rId147" Type="http://schemas.openxmlformats.org/officeDocument/2006/relationships/hyperlink" Target="../../../../../:f:/r/sites/EvidenciasOAP/Documentos%20compartidos/Evidencias%20Indicadores%20de%20Proceso%202026/07.%20Gesti%C3%B3n%20Financiera/II%20trimestre/Ind060?csf=1&amp;web=1&amp;e=qXVaNQ" TargetMode="External"/><Relationship Id="rId8" Type="http://schemas.openxmlformats.org/officeDocument/2006/relationships/hyperlink" Target="mailto:yitcy.becerra@mininterior.gov.co" TargetMode="External"/><Relationship Id="rId51" Type="http://schemas.openxmlformats.org/officeDocument/2006/relationships/hyperlink" Target="mailto:roquelina.blanco@mininterior.gov.co" TargetMode="External"/><Relationship Id="rId72" Type="http://schemas.openxmlformats.org/officeDocument/2006/relationships/hyperlink" Target="../../../../../:f:/r/sites/EvidenciasOAP/Documentos%20compartidos/Evidencias%20Indicadores%20de%20Proceso%202026/08.%20Gesti%C3%B3n%20de%20Bienes%20y%20Servicios/I%20Trimestre/Ind.063?csf=1&amp;web=1&amp;e=iJHRfv" TargetMode="External"/><Relationship Id="rId93" Type="http://schemas.openxmlformats.org/officeDocument/2006/relationships/hyperlink" Target="../../../../../:f:/r/sites/EvidenciasOAP/Documentos%20compartidos/Evidencias%20Indicadores%20de%20Proceso%202026/05.%20Gesti%C3%B3n%20para%20la%20Protecci%C3%B3n%20de%20los%20derechos/Grupo%20Equipo%20de%20Paz/Ind049?csf=1&amp;web=1&amp;e=sOYWLk" TargetMode="External"/><Relationship Id="rId98" Type="http://schemas.openxmlformats.org/officeDocument/2006/relationships/hyperlink" Target="../../../../../:f:/r/sites/EvidenciasOAP/Documentos%20compartidos/Evidencias%20Indicadores%20de%20Proceso%202026/06.%20Gesti%C3%B3n%20Administrativa/I%20trimestre/Ind059?csf=1&amp;web=1&amp;e=FS4WIf" TargetMode="External"/><Relationship Id="rId121" Type="http://schemas.openxmlformats.org/officeDocument/2006/relationships/hyperlink" Target="../../../../../:f:/r/sites/EvidenciasOAP/Documentos%20compartidos/Evidencias%20Indicadores%20de%20Proceso%202026/09.%20Gesti%C3%B3n%20Jur%C3%ADdica/I%20Trimestre/Ind069?csf=1&amp;web=1&amp;e=MmrmFL" TargetMode="External"/><Relationship Id="rId142"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Trimestre%20II/Ind041?csf=1&amp;web=1&amp;e=d3DSJe" TargetMode="External"/><Relationship Id="rId163" Type="http://schemas.openxmlformats.org/officeDocument/2006/relationships/hyperlink" Target="../../../../../:f:/r/sites/EvidenciasOAP/Documentos%20compartidos/Evidencias%20Indicadores%20de%20Proceso%202026/05.%20Gesti%C3%B3n%20para%20la%20Protecci%C3%B3n%20de%20los%20derechos/Direcci%C3%B3n%20de%20Derechos%20Humanos/II%20trimestre/Ind035/ABRIL?csf=1&amp;web=1&amp;e=orXvlT" TargetMode="External"/><Relationship Id="rId3" Type="http://schemas.openxmlformats.org/officeDocument/2006/relationships/hyperlink" Target="mailto:jaime.garcian@mininterior.gov.co" TargetMode="External"/><Relationship Id="rId25" Type="http://schemas.openxmlformats.org/officeDocument/2006/relationships/hyperlink" Target="mailto:richard.gamboa@mininterior.gov.co" TargetMode="External"/><Relationship Id="rId46" Type="http://schemas.openxmlformats.org/officeDocument/2006/relationships/hyperlink" Target="mailto:jomary.ortegon@mininterior.gov.co" TargetMode="External"/><Relationship Id="rId67" Type="http://schemas.openxmlformats.org/officeDocument/2006/relationships/hyperlink" Target="mailto:tito.lovo@mininterior.gov.co" TargetMode="External"/><Relationship Id="rId116" Type="http://schemas.openxmlformats.org/officeDocument/2006/relationships/hyperlink" Target="../../../../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 TargetMode="External"/><Relationship Id="rId137" Type="http://schemas.openxmlformats.org/officeDocument/2006/relationships/hyperlink" Target="../../../../../:f:/r/sites/EvidenciasOAP/Documentos%20compartidos/Evidencias%20Indicadores%20de%20Proceso%202026/01.%20Planeaci%C3%B3n,%20Direccionamiento%20Estrat%C3%A9gico%20y%20Comunicaciones/II%20Trimestre/Grupo%20Comunicaciones/Ind010?csf=1&amp;web=1&amp;e=WQUjSe" TargetMode="External"/><Relationship Id="rId158" Type="http://schemas.openxmlformats.org/officeDocument/2006/relationships/hyperlink" Target="../../../../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8%20TRIMESTRE%2FInd038" TargetMode="External"/><Relationship Id="rId20" Type="http://schemas.openxmlformats.org/officeDocument/2006/relationships/hyperlink" Target="mailto:carlos.espitia@mininterior.gov.co" TargetMode="External"/><Relationship Id="rId41" Type="http://schemas.openxmlformats.org/officeDocument/2006/relationships/hyperlink" Target="mailto:paula.sierra@mininterior.gov.co" TargetMode="External"/><Relationship Id="rId62" Type="http://schemas.openxmlformats.org/officeDocument/2006/relationships/hyperlink" Target="mailto:dire.alfonso.jimenez@mininterior.gov.co" TargetMode="External"/><Relationship Id="rId83" Type="http://schemas.openxmlformats.org/officeDocument/2006/relationships/hyperlink" Target="https://mininteriorgovco-my.sharepoint.com/:f:/r/personal/yovany_corredor_mininterior_gov_co/Documents/AA%20DANCP/CONSULTA%20PREVIA%202026/INDICADORES%20DE%20PROCESO%202026/EVIDENCIAS/3.%20Ind.052.%201er%20Trimestre?csf=1&amp;web=1&amp;e=a7Dl9L" TargetMode="External"/><Relationship Id="rId88" Type="http://schemas.openxmlformats.org/officeDocument/2006/relationships/hyperlink" Target="../../../../../: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6?csf=1&amp;web=1&amp;e=17VdCX" TargetMode="External"/><Relationship Id="rId111" Type="http://schemas.openxmlformats.org/officeDocument/2006/relationships/hyperlink" Target="../../../../../:f:/r/sites/EvidenciasOAP/Documentos%20compartidos/Evidencias%20Indicadores%20de%20Proceso%202026/05.%20Gesti%C3%B3n%20para%20la%20Protecci%C3%B3n%20de%20los%20derechos/Direcci%C3%B3n%20de%20Derechos%20Humanos/Ind033?csf=1&amp;web=1&amp;e=999PuF" TargetMode="External"/><Relationship Id="rId132" Type="http://schemas.openxmlformats.org/officeDocument/2006/relationships/hyperlink" Target="../../../../../:f:/r/sites/EvidenciasOAP/Documentos%20compartidos/Evidencias%20Indicadores%20de%20Proceso%202026/05.%20Gesti%C3%B3n%20para%20la%20Protecci%C3%B3n%20de%20los%20derechos/Direcci%C3%B3n%20de%20la%20Autoridad%20Nacional%20de%20Consulta%20Previa/Seguimiento%20II%20Trimestre/Ind052?csf=1&amp;web=1&amp;e=UwGLHR" TargetMode="External"/><Relationship Id="rId153" Type="http://schemas.openxmlformats.org/officeDocument/2006/relationships/hyperlink" Target="../../../../../:f:/s/EvidenciasOAP/IgBcBUkEnO4CRLN1qDC8lBFJASAPRBQWgBsMwslI1qXa7qY?e=z5tUnZ" TargetMode="External"/><Relationship Id="rId15" Type="http://schemas.openxmlformats.org/officeDocument/2006/relationships/hyperlink" Target="mailto:henry.luna@mininterior.gov.co" TargetMode="External"/><Relationship Id="rId36" Type="http://schemas.openxmlformats.org/officeDocument/2006/relationships/hyperlink" Target="mailto:juan.duran@mininterior.gov.co" TargetMode="External"/><Relationship Id="rId57" Type="http://schemas.openxmlformats.org/officeDocument/2006/relationships/hyperlink" Target="mailto:ethel.vasquez@mininterior.gov.co" TargetMode="External"/><Relationship Id="rId106" Type="http://schemas.openxmlformats.org/officeDocument/2006/relationships/hyperlink" Target="../../../../../:f:/r/sites/EvidenciasOAP/Documentos%20compartidos/Evidencias%20Indicadores%20de%20Proceso%202026/14.%20Seguimiento%20y%20Evaluaci%C3%B3n%20a%20la%20Gesti%C3%B3n/I%20Trimestre/Ind082?csf=1&amp;web=1&amp;e=41ajuf&amp;xsdata=MDV8MDJ8ZmFiaW8uc2FubWFydGluQG1pbmludGVyaW9yLmdvdi5jb3xiMWMzZTAyYzVhMjA0YTY1ODg5YjA4ZGU5NWIyYmY2Y3xjNGY3ODcwY2ViMDg0ZDAxYjAyM2E3MWRkOTRlODgzYnwwfDB8NjM5MTEyNzkyNjQwNDYxNTMxfFVua25vd258VFdGcGJHWnNiM2Q4ZXlKRmJYQjBlVTFoY0draU9uUnlkV1VzSWxZaU9pSXdMakF1TURBd01DSXNJbEFpT2lKWGFXNHpNaUlzSWtGT0lqb2lUV0ZwYkNJc0lsZFVJam95ZlE9PXwwfHx8&amp;sdata=RWNyajdmdWZPNnhhMWhaTHN6V0xlNFYxOG4xdG51TFY0VnRiVGRQMGlaWT0%3d" TargetMode="External"/><Relationship Id="rId127" Type="http://schemas.openxmlformats.org/officeDocument/2006/relationships/hyperlink" Target="../../../../../:f:/r/sites/EvidenciasOAP/Documentos%20compartidos/Evidencias%20Indicadores%20de%20Proceso%202026/01.%20Planeaci%C3%B3n,%20Direccionamiento%20Estrat%C3%A9gico%20y%20Comunicaciones/I%20Trimestre/Oficina%20Asesora%20de%20Planeaci%C3%B3n/Ind005?csf=1&amp;web=1&amp;e=xIee7t" TargetMode="External"/><Relationship Id="rId10" Type="http://schemas.openxmlformats.org/officeDocument/2006/relationships/hyperlink" Target="mailto:yitcy.becerra@mininterior.gov.co" TargetMode="External"/><Relationship Id="rId31" Type="http://schemas.openxmlformats.org/officeDocument/2006/relationships/hyperlink" Target="mailto:lina.vacca@mininterior.gov.co" TargetMode="External"/><Relationship Id="rId52" Type="http://schemas.openxmlformats.org/officeDocument/2006/relationships/hyperlink" Target="mailto:roquelina.blanco@mininterior.gov.co" TargetMode="External"/><Relationship Id="rId73" Type="http://schemas.openxmlformats.org/officeDocument/2006/relationships/hyperlink" Target="../../../../../:f:/r/sites/EvidenciasOAP/Documentos%20compartidos/Evidencias%20Indicadores%20de%20Proceso%202026/08.%20Gesti%C3%B3n%20de%20Bienes%20y%20Servicios/I%20Trimestre/Ind064?csf=1&amp;web=1&amp;e=epjCFi" TargetMode="External"/><Relationship Id="rId78" Type="http://schemas.openxmlformats.org/officeDocument/2006/relationships/hyperlink" Target="../../../../../:f:/r/sites/EvidenciasOAP/Documentos%20compartidos/Evidencias%20Indicadores%20de%20Proceso%202026/03.%20Gesti%C3%B3n%20del%20Talento%20Humano/I%20Trimestre/Ind015?csf=1&amp;web=1&amp;e=Rh3Yhq" TargetMode="External"/><Relationship Id="rId94"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Ind041?csf=1&amp;web=1&amp;e=GuJEQC" TargetMode="External"/><Relationship Id="rId99" Type="http://schemas.openxmlformats.org/officeDocument/2006/relationships/hyperlink" Target="../../../../../:f:/r/sites/EvidenciasOAP/Documentos%20compartidos/Evidencias%20Indicadores%20de%20Proceso%202026/07.%20Gesti%C3%B3n%20Financiera/I%20trimestre/Ind060?csf=1&amp;web=1&amp;e=D0N0bc" TargetMode="External"/><Relationship Id="rId101" Type="http://schemas.openxmlformats.org/officeDocument/2006/relationships/hyperlink" Target="../../../../../:f:/r/sites/EvidenciasOAP/Documentos%20compartidos/Evidencias%20Indicadores%20de%20Proceso%202026/07.%20Gesti%C3%B3n%20Financiera/I%20trimestre/Ind062?csf=1&amp;web=1&amp;e=H9RFQr" TargetMode="External"/><Relationship Id="rId122" Type="http://schemas.openxmlformats.org/officeDocument/2006/relationships/hyperlink" Target="../../../../../:f:/r/sites/EvidenciasOAP/Documentos%20compartidos/Evidencias%20Indicadores%20de%20Proceso%202026/09.%20Gesti%C3%B3n%20Jur%C3%ADdica/I%20Trimestre/Ind070?csf=1&amp;web=1&amp;e=QBTDUk" TargetMode="External"/><Relationship Id="rId143"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Trimestre%20II/Ind042?csf=1&amp;web=1&amp;e=QxgVQc" TargetMode="External"/><Relationship Id="rId148" Type="http://schemas.openxmlformats.org/officeDocument/2006/relationships/hyperlink" Target="../../../../../:f:/r/sites/EvidenciasOAP/Documentos%20compartidos/Evidencias%20Indicadores%20de%20Proceso%202026/07.%20Gesti%C3%B3n%20Financiera/II%20trimestre/Ind061?csf=1&amp;web=1&amp;e=aDt8gM" TargetMode="External"/><Relationship Id="rId164" Type="http://schemas.openxmlformats.org/officeDocument/2006/relationships/hyperlink" Target="../../../../EvidenciasOAP/Documentos%20compartidos/Forms/AllItems.aspx?csf=1&amp;web=1&amp;e=xjUchI&amp;CT=1784135043741&amp;OR=OWA%2DNT%2DMail&amp;CID=9696242d%2D0679%2D63a2%2D0082%2Dfd617e135ba8&amp;SI=NonSentItems&amp;clickParams=eyJYLUFwcE5hbWUiOiJNaWNyb3NvZnQgT3V0bG9vayBXZWIgQXBwIiwiWC1BcHBWZXJzaW9uIjoiMjAyNjA3MDMwMDguMDgiLCJPUyI6IldpbmRvd3MgMTEifQ%3D%3D&amp;SLSync=F&amp;cidOR=Client&amp;FolderCTID=0x01200071BA4BEEC5A4884E88FD3CFB2470F298&amp;id=%2Fsites%2FEvidenciasOAP%2FDocumentos%20compartidos%2FEvidencias%20Indicadores%20de%20Proceso%202026%2F05%2E%20Gesti%C3%B3n%20para%20la%20Protecci%C3%B3n%20de%20los%20derechos%2FGrupo%20de%20Articulaci%C3%B3n%20Interna%20para%20la%20Pol%C3%ADtica%20de%20V%C3%ADctimas%20del%20Conflicto%20Armado%2FInd%2E%20028" TargetMode="External"/><Relationship Id="rId4" Type="http://schemas.openxmlformats.org/officeDocument/2006/relationships/hyperlink" Target="mailto:jaime.garcian@mininterior.gov.co" TargetMode="External"/><Relationship Id="rId9" Type="http://schemas.openxmlformats.org/officeDocument/2006/relationships/hyperlink" Target="mailto:yitcy.becerra@mininterior.gov.co" TargetMode="External"/><Relationship Id="rId26" Type="http://schemas.openxmlformats.org/officeDocument/2006/relationships/hyperlink" Target="mailto:diana.olmos@mininterior.gov.co" TargetMode="External"/><Relationship Id="rId47" Type="http://schemas.openxmlformats.org/officeDocument/2006/relationships/hyperlink" Target="mailto:jomary.ortegon@mininterior.gov.co" TargetMode="External"/><Relationship Id="rId68" Type="http://schemas.openxmlformats.org/officeDocument/2006/relationships/hyperlink" Target="mailto:sergio.arciniegas@mininterior.gov.co" TargetMode="External"/><Relationship Id="rId89" Type="http://schemas.openxmlformats.org/officeDocument/2006/relationships/hyperlink" Target="../../../../../: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8?csf=1&amp;web=1&amp;e=V0secf" TargetMode="External"/><Relationship Id="rId112" Type="http://schemas.openxmlformats.org/officeDocument/2006/relationships/hyperlink" Target="../../../../../:f:/r/sites/EvidenciasOAP/Documentos%20compartidos/Evidencias%20Indicadores%20de%20Proceso%202026/05.%20Gesti%C3%B3n%20para%20la%20Protecci%C3%B3n%20de%20los%20derechos/Direcci%C3%B3n%20de%20Derechos%20Humanos/Ind034?csf=1&amp;web=1&amp;e=V7pMiU" TargetMode="External"/><Relationship Id="rId133" Type="http://schemas.openxmlformats.org/officeDocument/2006/relationships/hyperlink" Target="https://mininteriorgovco-my.sharepoint.com/:b:/r/personal/yitcy_becerra_mininterior_gov_co/Documents/Planeaci%C3%B3n%20OIP%202026/04.%20Planeaci%C3%B3n%20Estrat%C3%A9gica/07.%20INDICADORES%20PROCESO%202026/INDICADORES%20PROCESO%202%20TRIMESTRE/GESTION%20TECNOLOGICA/Ind073/Ind073%20-%20Informe%20Publicaciones%20Sede%20Electr%C3%B3nica%20Abril%20-%20Junio.pdf?csf=1&amp;web=1&amp;e=dNtphv" TargetMode="External"/><Relationship Id="rId154" Type="http://schemas.openxmlformats.org/officeDocument/2006/relationships/hyperlink" Target="../../../../../:f:/r/sites/EvidenciasOAP/Documentos%20compartidos/Evidencias%20Indicadores%20de%20Proceso%202026/05.%20Gesti%C3%B3n%20para%20la%20Protecci%C3%B3n%20de%20los%20derechos/Direcci%C3%B3n%20de%20Derechos%20Humanos/II%20trimestre/Ind031/Fortalecer%20el%20Programa%20Integral%20de%20Seguridad%20y%20protecci%C3%B3n%20para%20comunidades%20y%20Organizaciones%20en%20los%20Territorios?csf=1&amp;web=1&amp;e=m3Udde" TargetMode="External"/><Relationship Id="rId16" Type="http://schemas.openxmlformats.org/officeDocument/2006/relationships/hyperlink" Target="mailto:henry.luna@mininterior.gov.co" TargetMode="External"/><Relationship Id="rId37" Type="http://schemas.openxmlformats.org/officeDocument/2006/relationships/hyperlink" Target="mailto:juan.duran@mininterior.gov.co" TargetMode="External"/><Relationship Id="rId58" Type="http://schemas.openxmlformats.org/officeDocument/2006/relationships/hyperlink" Target="mailto:sergio.arciniegas@mininterior.gov.co" TargetMode="External"/><Relationship Id="rId79" Type="http://schemas.openxmlformats.org/officeDocument/2006/relationships/hyperlink" Target="../../../../../:f:/r/sites/EvidenciasOAP/Documentos%20compartidos/Evidencias%20Indicadores%20de%20Proceso%202026/03.%20Gesti%C3%B3n%20del%20Talento%20Humano/I%20Trimestre/Ind016?csf=1&amp;web=1&amp;e=FKtQgG" TargetMode="External"/><Relationship Id="rId102" Type="http://schemas.openxmlformats.org/officeDocument/2006/relationships/hyperlink" Target="../../../../../:f:/r/sites/EvidenciasOAP/Documentos%20compartidos/Evidencias%20Indicadores%20de%20Proceso%202026/12.%20Gesti%C3%B3n%20Documental%20y%20Archivo/I%20trimestre/Ind078?csf=1&amp;web=1&amp;e=5e0rG7" TargetMode="External"/><Relationship Id="rId123" Type="http://schemas.openxmlformats.org/officeDocument/2006/relationships/hyperlink" Target="../../../../../:f:/r/sites/EvidenciasOAP/Documentos%20compartidos/Evidencias%20Indicadores%20de%20Proceso%202026/05.%20Gesti%C3%B3n%20para%20la%20Protecci%C3%B3n%20de%20los%20derechos/Grupo%20de%20Articulaci%C3%B3n%20para%20pol%C3%ADtica%20de%20victimas/Ind029?csf=1&amp;web=1&amp;e=EZS2Xu" TargetMode="External"/><Relationship Id="rId144" Type="http://schemas.openxmlformats.org/officeDocument/2006/relationships/hyperlink" Target="../../../../../:f:/r/sites/EvidenciasOAP/Documentos%20compartidos/Evidencias%20Indicadores%20de%20Proceso%202026/05.%20Gesti%C3%B3n%20para%20la%20Protecci%C3%B3n%20de%20los%20derechos/Direcci%C3%B3n%20de%20Seguridad,%20Convivencia%20Ciudadana%20y%20Gobierno/Trimestre%20II/Ind043?csf=1&amp;web=1&amp;e=icjv0u" TargetMode="External"/><Relationship Id="rId90" Type="http://schemas.openxmlformats.org/officeDocument/2006/relationships/hyperlink" Target="../../../../../: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9?csf=1&amp;web=1&amp;e=FpPqfz" TargetMode="External"/><Relationship Id="rId165" Type="http://schemas.openxmlformats.org/officeDocument/2006/relationships/hyperlink" Target="../../../../EvidenciasOAP/Documentos%20compartidos/Forms/AllItems.aspx?csf=1&amp;web=1&amp;e=e3HoMc&amp;CT=1784135059540&amp;OR=OWA%2DNT%2DMail&amp;CID=60d0acc9%2D960e%2De2dc%2Df15f%2D0c431c8f28e2&amp;SI=NonSentItems&amp;clickParams=eyJYLUFwcE5hbWUiOiJNaWNyb3NvZnQgT3V0bG9vayBXZWIgQXBwIiwiWC1BcHBWZXJzaW9uIjoiMjAyNjA3MDMwMDguMDgiLCJPUyI6IldpbmRvd3MgMTEifQ%3D%3D&amp;SLSync=F&amp;cidOR=Client&amp;FolderCTID=0x01200071BA4BEEC5A4884E88FD3CFB2470F298&amp;id=%2Fsites%2FEvidenciasOAP%2FDocumentos%20compartidos%2FEvidencias%20Indicadores%20de%20Proceso%202026%2F05%2E%20Gesti%C3%B3n%20para%20la%20Protecci%C3%B3n%20de%20los%20derechos%2FGrupo%20de%20Articulaci%C3%B3n%20Interna%20para%20la%20Pol%C3%ADtica%20de%20V%C3%ADctimas%20del%20Conflicto%20Armado%2FInd%2E%20029" TargetMode="External"/><Relationship Id="rId27" Type="http://schemas.openxmlformats.org/officeDocument/2006/relationships/hyperlink" Target="mailto:diana.olmos@mininterior.gov.co" TargetMode="External"/><Relationship Id="rId48" Type="http://schemas.openxmlformats.org/officeDocument/2006/relationships/hyperlink" Target="mailto:jomary.ortegon@mininterior.gov.co" TargetMode="External"/><Relationship Id="rId69" Type="http://schemas.openxmlformats.org/officeDocument/2006/relationships/hyperlink" Target="mailto:sergio.arciniegas@mininterior.gov.co" TargetMode="External"/><Relationship Id="rId113" Type="http://schemas.openxmlformats.org/officeDocument/2006/relationships/hyperlink" Target="../../../../../:f:/r/sites/EvidenciasOAP/Documentos%20compartidos/Evidencias%20Indicadores%20de%20Proceso%202026/05.%20Gesti%C3%B3n%20para%20la%20Protecci%C3%B3n%20de%20los%20derechos/Direcci%C3%B3n%20de%20Derechos%20Humanos/Ind035?csf=1&amp;web=1&amp;e=kk2uee" TargetMode="External"/><Relationship Id="rId134" Type="http://schemas.openxmlformats.org/officeDocument/2006/relationships/hyperlink" Target="https://mininteriorgovco-my.sharepoint.com/:f:/r/personal/yitcy_becerra_mininterior_gov_co/Documents/Planeaci%C3%B3n%20OIP%202026/04.%20Planeaci%C3%B3n%20Estrat%C3%A9gica/07.%20INDICADORES%20PROCESO%202026/INDICADORES%20PROCESO%202%20TRIMESTRE/GESTION%20TECNOLOGICA/Ind074?csf=1&amp;web=1&amp;e=gZzQor" TargetMode="External"/><Relationship Id="rId80" Type="http://schemas.openxmlformats.org/officeDocument/2006/relationships/hyperlink" Target="../../../../../:f:/r/sites/EvidenciasOAP/Documentos%20compartidos/Evidencias%20Indicadores%20de%20Proceso%202026/03.%20Gesti%C3%B3n%20del%20Talento%20Humano/I%20Trimestre/Ind017?csf=1&amp;web=1&amp;e=WqFbyE" TargetMode="External"/><Relationship Id="rId155" Type="http://schemas.openxmlformats.org/officeDocument/2006/relationships/hyperlink" Target="../../../../../:b:/r/sites/EvidenciasOAP/Documentos%20compartidos/Evidencias%20Indicadores%20de%20Proceso%202026/05.%20Gesti%C3%B3n%20para%20la%20Protecci%C3%B3n%20de%20los%20derechos/Direcci%C3%B3n%20de%20Derechos%20Humanos/II%20trimestre/Ind033/ABRIL%202026.%20Fortalecer%20la%20gesti%C3%B3n%20de%20los%20cementerios%20como%20acci%C3%B3n%20de%20apoyo%20al%20proceso%20de%20b%C3%BAsqueda%20de%20personas%20desaparecidas%20en%20Colombia.pdf?csf=1&amp;web=1&amp;e=0fScQV"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dimension ref="C2:Q30"/>
  <sheetViews>
    <sheetView zoomScaleNormal="140" workbookViewId="0">
      <selection activeCell="K8" sqref="K8"/>
    </sheetView>
  </sheetViews>
  <sheetFormatPr baseColWidth="10" defaultColWidth="11.42578125" defaultRowHeight="15"/>
  <cols>
    <col min="3" max="3" width="15.28515625" customWidth="1"/>
    <col min="4" max="4" width="55.42578125" customWidth="1"/>
    <col min="5" max="5" width="68.42578125" customWidth="1"/>
    <col min="6" max="6" width="24" customWidth="1"/>
    <col min="7" max="7" width="50.28515625" customWidth="1"/>
    <col min="13" max="17" width="21.7109375" customWidth="1"/>
  </cols>
  <sheetData>
    <row r="2" spans="3:17" ht="15.75" thickBot="1"/>
    <row r="3" spans="3:17" s="12" customFormat="1" ht="50.25" thickBot="1">
      <c r="C3" s="57" t="s">
        <v>0</v>
      </c>
      <c r="D3" s="58" t="s">
        <v>1</v>
      </c>
      <c r="E3" s="58" t="s">
        <v>2</v>
      </c>
      <c r="F3" s="58" t="s">
        <v>3</v>
      </c>
      <c r="G3" s="58" t="s">
        <v>4</v>
      </c>
      <c r="M3" s="15" t="s">
        <v>5</v>
      </c>
      <c r="N3" s="15" t="s">
        <v>2</v>
      </c>
      <c r="O3" s="15" t="s">
        <v>6</v>
      </c>
      <c r="P3" s="16" t="s">
        <v>7</v>
      </c>
      <c r="Q3" s="15" t="s">
        <v>8</v>
      </c>
    </row>
    <row r="4" spans="3:17" ht="33">
      <c r="C4" s="540" t="s">
        <v>9</v>
      </c>
      <c r="D4" s="59" t="s">
        <v>10</v>
      </c>
      <c r="E4" s="59" t="s">
        <v>11</v>
      </c>
      <c r="F4" s="63">
        <v>1</v>
      </c>
      <c r="G4" s="59" t="s">
        <v>12</v>
      </c>
      <c r="M4" s="553" t="s">
        <v>13</v>
      </c>
      <c r="N4" s="17" t="s">
        <v>11</v>
      </c>
      <c r="O4" s="31">
        <v>0.6</v>
      </c>
      <c r="P4" s="32"/>
      <c r="Q4" s="554">
        <v>1</v>
      </c>
    </row>
    <row r="5" spans="3:17" ht="16.5">
      <c r="C5" s="541"/>
      <c r="D5" s="54" t="s">
        <v>14</v>
      </c>
      <c r="E5" s="54" t="s">
        <v>15</v>
      </c>
      <c r="F5" s="64">
        <v>1</v>
      </c>
      <c r="G5" s="54" t="s">
        <v>12</v>
      </c>
      <c r="M5" s="553"/>
      <c r="N5" s="17" t="s">
        <v>16</v>
      </c>
      <c r="O5" s="31">
        <v>0.2</v>
      </c>
      <c r="P5" s="32"/>
      <c r="Q5" s="555"/>
    </row>
    <row r="6" spans="3:17" ht="16.5">
      <c r="C6" s="541"/>
      <c r="D6" s="546" t="s">
        <v>17</v>
      </c>
      <c r="E6" s="54" t="s">
        <v>18</v>
      </c>
      <c r="F6" s="64">
        <v>0.2</v>
      </c>
      <c r="G6" s="55" t="s">
        <v>19</v>
      </c>
      <c r="M6" s="553"/>
      <c r="N6" s="17" t="s">
        <v>20</v>
      </c>
      <c r="O6" s="31">
        <v>0.2</v>
      </c>
      <c r="P6" s="32"/>
      <c r="Q6" s="555"/>
    </row>
    <row r="7" spans="3:17" ht="33">
      <c r="C7" s="541"/>
      <c r="D7" s="547"/>
      <c r="E7" s="546" t="s">
        <v>11</v>
      </c>
      <c r="F7" s="551">
        <v>0.6</v>
      </c>
      <c r="G7" s="54" t="s">
        <v>12</v>
      </c>
      <c r="M7" s="18" t="s">
        <v>21</v>
      </c>
      <c r="N7" s="19" t="s">
        <v>11</v>
      </c>
      <c r="O7" s="33">
        <v>1</v>
      </c>
      <c r="P7" s="34"/>
      <c r="Q7" s="35">
        <v>1</v>
      </c>
    </row>
    <row r="8" spans="3:17" ht="33">
      <c r="C8" s="541"/>
      <c r="D8" s="547"/>
      <c r="E8" s="549"/>
      <c r="F8" s="552"/>
      <c r="G8" s="55" t="s">
        <v>19</v>
      </c>
      <c r="M8" s="20" t="s">
        <v>22</v>
      </c>
      <c r="N8" s="21" t="s">
        <v>15</v>
      </c>
      <c r="O8" s="36">
        <v>1</v>
      </c>
      <c r="P8" s="37"/>
      <c r="Q8" s="38">
        <v>1</v>
      </c>
    </row>
    <row r="9" spans="3:17" ht="17.25" thickBot="1">
      <c r="C9" s="542"/>
      <c r="D9" s="548"/>
      <c r="E9" s="56" t="s">
        <v>23</v>
      </c>
      <c r="F9" s="65">
        <v>0.2</v>
      </c>
      <c r="G9" s="60" t="s">
        <v>24</v>
      </c>
      <c r="M9" s="556" t="s">
        <v>25</v>
      </c>
      <c r="N9" s="22" t="s">
        <v>26</v>
      </c>
      <c r="O9" s="39">
        <v>0.25</v>
      </c>
      <c r="P9" s="40">
        <v>0.5</v>
      </c>
      <c r="Q9" s="557">
        <v>1</v>
      </c>
    </row>
    <row r="10" spans="3:17" ht="27">
      <c r="C10" s="543" t="s">
        <v>27</v>
      </c>
      <c r="D10" s="550" t="s">
        <v>28</v>
      </c>
      <c r="E10" s="59" t="s">
        <v>29</v>
      </c>
      <c r="F10" s="63">
        <f t="shared" ref="F10:F17" si="0">1/8</f>
        <v>0.125</v>
      </c>
      <c r="G10" s="59" t="s">
        <v>30</v>
      </c>
      <c r="M10" s="556"/>
      <c r="N10" s="22" t="s">
        <v>31</v>
      </c>
      <c r="O10" s="39">
        <v>0.25</v>
      </c>
      <c r="P10" s="41">
        <v>0.2</v>
      </c>
      <c r="Q10" s="558"/>
    </row>
    <row r="11" spans="3:17" ht="27">
      <c r="C11" s="544"/>
      <c r="D11" s="547"/>
      <c r="E11" s="54" t="s">
        <v>32</v>
      </c>
      <c r="F11" s="64">
        <f t="shared" si="0"/>
        <v>0.125</v>
      </c>
      <c r="G11" s="54" t="s">
        <v>33</v>
      </c>
      <c r="M11" s="556"/>
      <c r="N11" s="22" t="s">
        <v>34</v>
      </c>
      <c r="O11" s="39">
        <v>0.25</v>
      </c>
      <c r="P11" s="41">
        <v>0.2</v>
      </c>
      <c r="Q11" s="558"/>
    </row>
    <row r="12" spans="3:17" ht="16.5">
      <c r="C12" s="544"/>
      <c r="D12" s="547"/>
      <c r="E12" s="54" t="s">
        <v>35</v>
      </c>
      <c r="F12" s="64">
        <f t="shared" si="0"/>
        <v>0.125</v>
      </c>
      <c r="G12" s="54" t="s">
        <v>36</v>
      </c>
      <c r="M12" s="556"/>
      <c r="N12" s="23" t="s">
        <v>37</v>
      </c>
      <c r="O12" s="42">
        <v>0.25</v>
      </c>
      <c r="P12" s="41">
        <v>0.1</v>
      </c>
      <c r="Q12" s="558"/>
    </row>
    <row r="13" spans="3:17">
      <c r="C13" s="544"/>
      <c r="D13" s="547"/>
      <c r="E13" s="54" t="s">
        <v>38</v>
      </c>
      <c r="F13" s="64">
        <f t="shared" si="0"/>
        <v>0.125</v>
      </c>
      <c r="G13" s="54" t="s">
        <v>39</v>
      </c>
      <c r="M13" s="536" t="s">
        <v>40</v>
      </c>
      <c r="N13" s="24" t="s">
        <v>35</v>
      </c>
      <c r="O13" s="43">
        <v>0.125</v>
      </c>
      <c r="P13" s="44">
        <v>0.125</v>
      </c>
      <c r="Q13" s="537">
        <v>1</v>
      </c>
    </row>
    <row r="14" spans="3:17" ht="27">
      <c r="C14" s="544"/>
      <c r="D14" s="547"/>
      <c r="E14" s="54" t="s">
        <v>41</v>
      </c>
      <c r="F14" s="64">
        <f t="shared" si="0"/>
        <v>0.125</v>
      </c>
      <c r="G14" s="54" t="s">
        <v>42</v>
      </c>
      <c r="M14" s="536"/>
      <c r="N14" s="25" t="s">
        <v>43</v>
      </c>
      <c r="O14" s="43">
        <v>0.125</v>
      </c>
      <c r="P14" s="45">
        <v>0.125</v>
      </c>
      <c r="Q14" s="538"/>
    </row>
    <row r="15" spans="3:17" ht="27">
      <c r="C15" s="544"/>
      <c r="D15" s="547"/>
      <c r="E15" s="54" t="s">
        <v>44</v>
      </c>
      <c r="F15" s="64">
        <f t="shared" si="0"/>
        <v>0.125</v>
      </c>
      <c r="G15" s="54" t="s">
        <v>36</v>
      </c>
      <c r="M15" s="536"/>
      <c r="N15" s="24" t="s">
        <v>45</v>
      </c>
      <c r="O15" s="43">
        <v>0.125</v>
      </c>
      <c r="P15" s="45">
        <v>8.3299999999999999E-2</v>
      </c>
      <c r="Q15" s="538"/>
    </row>
    <row r="16" spans="3:17" ht="27">
      <c r="C16" s="544"/>
      <c r="D16" s="547"/>
      <c r="E16" s="54" t="s">
        <v>46</v>
      </c>
      <c r="F16" s="64">
        <f t="shared" si="0"/>
        <v>0.125</v>
      </c>
      <c r="G16" s="54" t="s">
        <v>42</v>
      </c>
      <c r="M16" s="536"/>
      <c r="N16" s="24" t="s">
        <v>47</v>
      </c>
      <c r="O16" s="43">
        <v>0.125</v>
      </c>
      <c r="P16" s="45">
        <v>8.3299999999999999E-2</v>
      </c>
      <c r="Q16" s="538"/>
    </row>
    <row r="17" spans="3:17" ht="27">
      <c r="C17" s="544"/>
      <c r="D17" s="549"/>
      <c r="E17" s="54" t="s">
        <v>48</v>
      </c>
      <c r="F17" s="64">
        <f t="shared" si="0"/>
        <v>0.125</v>
      </c>
      <c r="G17" s="54" t="s">
        <v>49</v>
      </c>
      <c r="M17" s="536"/>
      <c r="N17" s="24" t="s">
        <v>50</v>
      </c>
      <c r="O17" s="43">
        <v>0.125</v>
      </c>
      <c r="P17" s="45">
        <v>8.3299999999999999E-2</v>
      </c>
      <c r="Q17" s="538"/>
    </row>
    <row r="18" spans="3:17" ht="40.5">
      <c r="C18" s="544"/>
      <c r="D18" s="546" t="s">
        <v>51</v>
      </c>
      <c r="E18" s="54" t="s">
        <v>52</v>
      </c>
      <c r="F18" s="64">
        <v>0.33</v>
      </c>
      <c r="G18" s="54" t="s">
        <v>53</v>
      </c>
      <c r="I18" t="s">
        <v>54</v>
      </c>
      <c r="M18" s="536"/>
      <c r="N18" s="26" t="s">
        <v>41</v>
      </c>
      <c r="O18" s="43">
        <v>0.125</v>
      </c>
      <c r="P18" s="45">
        <v>0.125</v>
      </c>
      <c r="Q18" s="538"/>
    </row>
    <row r="19" spans="3:17">
      <c r="C19" s="544"/>
      <c r="D19" s="547"/>
      <c r="E19" s="54" t="s">
        <v>55</v>
      </c>
      <c r="F19" s="64">
        <v>0.33</v>
      </c>
      <c r="G19" s="54" t="s">
        <v>56</v>
      </c>
      <c r="M19" s="536"/>
      <c r="N19" s="24" t="s">
        <v>32</v>
      </c>
      <c r="O19" s="43">
        <v>0.125</v>
      </c>
      <c r="P19" s="45">
        <v>0.25</v>
      </c>
      <c r="Q19" s="538"/>
    </row>
    <row r="20" spans="3:17" ht="41.25" thickBot="1">
      <c r="C20" s="545"/>
      <c r="D20" s="548"/>
      <c r="E20" s="56" t="s">
        <v>57</v>
      </c>
      <c r="F20" s="64">
        <v>0.33</v>
      </c>
      <c r="G20" s="56" t="s">
        <v>58</v>
      </c>
      <c r="M20" s="536"/>
      <c r="N20" s="26" t="s">
        <v>59</v>
      </c>
      <c r="O20" s="43">
        <v>0.125</v>
      </c>
      <c r="P20" s="45">
        <v>0.125</v>
      </c>
      <c r="Q20" s="538"/>
    </row>
    <row r="21" spans="3:17">
      <c r="C21" s="540" t="s">
        <v>60</v>
      </c>
      <c r="D21" s="59" t="s">
        <v>61</v>
      </c>
      <c r="E21" s="59" t="s">
        <v>62</v>
      </c>
      <c r="F21" s="63">
        <v>1</v>
      </c>
      <c r="G21" s="59" t="s">
        <v>12</v>
      </c>
      <c r="M21" s="536"/>
      <c r="N21" s="26" t="s">
        <v>63</v>
      </c>
      <c r="O21" s="46">
        <v>0.04</v>
      </c>
      <c r="P21" s="47"/>
      <c r="Q21" s="539"/>
    </row>
    <row r="22" spans="3:17" ht="27">
      <c r="C22" s="541"/>
      <c r="D22" s="54" t="s">
        <v>64</v>
      </c>
      <c r="E22" s="54" t="s">
        <v>65</v>
      </c>
      <c r="F22" s="64">
        <v>1</v>
      </c>
      <c r="G22" s="54" t="s">
        <v>12</v>
      </c>
      <c r="M22" s="28" t="s">
        <v>66</v>
      </c>
      <c r="N22" s="27" t="s">
        <v>62</v>
      </c>
      <c r="O22" s="48">
        <v>1</v>
      </c>
      <c r="P22" s="49"/>
      <c r="Q22" s="50">
        <v>1</v>
      </c>
    </row>
    <row r="23" spans="3:17" ht="27">
      <c r="C23" s="541"/>
      <c r="D23" s="54" t="s">
        <v>67</v>
      </c>
      <c r="E23" s="54" t="s">
        <v>68</v>
      </c>
      <c r="F23" s="64">
        <v>1</v>
      </c>
      <c r="G23" s="55" t="s">
        <v>69</v>
      </c>
      <c r="M23" s="28" t="s">
        <v>70</v>
      </c>
      <c r="N23" s="27" t="s">
        <v>62</v>
      </c>
      <c r="O23" s="48">
        <v>1</v>
      </c>
      <c r="P23" s="49"/>
      <c r="Q23" s="50">
        <v>1</v>
      </c>
    </row>
    <row r="24" spans="3:17" ht="33">
      <c r="C24" s="541"/>
      <c r="D24" s="54" t="s">
        <v>71</v>
      </c>
      <c r="E24" s="54" t="s">
        <v>62</v>
      </c>
      <c r="F24" s="64">
        <v>1</v>
      </c>
      <c r="G24" s="54" t="s">
        <v>12</v>
      </c>
      <c r="M24" s="28" t="s">
        <v>72</v>
      </c>
      <c r="N24" s="27" t="s">
        <v>73</v>
      </c>
      <c r="O24" s="48">
        <v>1</v>
      </c>
      <c r="P24" s="49"/>
      <c r="Q24" s="50">
        <v>1</v>
      </c>
    </row>
    <row r="25" spans="3:17" ht="16.5">
      <c r="C25" s="541"/>
      <c r="D25" s="54" t="s">
        <v>74</v>
      </c>
      <c r="E25" s="54" t="s">
        <v>62</v>
      </c>
      <c r="F25" s="64">
        <v>1</v>
      </c>
      <c r="G25" s="54" t="s">
        <v>12</v>
      </c>
      <c r="M25" s="28" t="s">
        <v>75</v>
      </c>
      <c r="N25" s="27" t="s">
        <v>76</v>
      </c>
      <c r="O25" s="48">
        <v>1</v>
      </c>
      <c r="P25" s="49"/>
      <c r="Q25" s="50">
        <v>1</v>
      </c>
    </row>
    <row r="26" spans="3:17" ht="27">
      <c r="C26" s="541"/>
      <c r="D26" s="54" t="s">
        <v>77</v>
      </c>
      <c r="E26" s="54" t="s">
        <v>78</v>
      </c>
      <c r="F26" s="64">
        <v>1</v>
      </c>
      <c r="G26" s="54" t="s">
        <v>12</v>
      </c>
      <c r="M26" s="28" t="s">
        <v>79</v>
      </c>
      <c r="N26" s="27" t="s">
        <v>23</v>
      </c>
      <c r="O26" s="48">
        <v>1</v>
      </c>
      <c r="P26" s="49"/>
      <c r="Q26" s="50">
        <v>1</v>
      </c>
    </row>
    <row r="27" spans="3:17" ht="27">
      <c r="C27" s="541"/>
      <c r="D27" s="54" t="s">
        <v>80</v>
      </c>
      <c r="E27" s="54" t="s">
        <v>23</v>
      </c>
      <c r="F27" s="64">
        <v>1</v>
      </c>
      <c r="G27" s="54" t="s">
        <v>12</v>
      </c>
      <c r="M27" s="28" t="s">
        <v>81</v>
      </c>
      <c r="N27" s="27" t="s">
        <v>23</v>
      </c>
      <c r="O27" s="48">
        <v>1</v>
      </c>
      <c r="P27" s="49"/>
      <c r="Q27" s="50">
        <v>1</v>
      </c>
    </row>
    <row r="28" spans="3:17" ht="33.75" thickBot="1">
      <c r="C28" s="542"/>
      <c r="D28" s="56" t="s">
        <v>82</v>
      </c>
      <c r="E28" s="56" t="s">
        <v>23</v>
      </c>
      <c r="F28" s="65">
        <v>1</v>
      </c>
      <c r="G28" s="56" t="s">
        <v>12</v>
      </c>
      <c r="M28" s="28" t="s">
        <v>83</v>
      </c>
      <c r="N28" s="27" t="s">
        <v>62</v>
      </c>
      <c r="O28" s="48">
        <v>1</v>
      </c>
      <c r="P28" s="49"/>
      <c r="Q28" s="50">
        <v>1</v>
      </c>
    </row>
    <row r="29" spans="3:17" ht="33.75" thickBot="1">
      <c r="C29" s="62" t="s">
        <v>84</v>
      </c>
      <c r="D29" s="61" t="s">
        <v>85</v>
      </c>
      <c r="E29" s="61" t="s">
        <v>86</v>
      </c>
      <c r="F29" s="66">
        <v>1</v>
      </c>
      <c r="G29" s="61" t="s">
        <v>12</v>
      </c>
      <c r="M29" s="28" t="s">
        <v>87</v>
      </c>
      <c r="N29" s="27" t="s">
        <v>65</v>
      </c>
      <c r="O29" s="48">
        <v>1</v>
      </c>
      <c r="P29" s="49"/>
      <c r="Q29" s="50">
        <v>1</v>
      </c>
    </row>
    <row r="30" spans="3:17" ht="33">
      <c r="M30" s="29" t="s">
        <v>88</v>
      </c>
      <c r="N30" s="30" t="s">
        <v>86</v>
      </c>
      <c r="O30" s="51">
        <v>1</v>
      </c>
      <c r="P30" s="52"/>
      <c r="Q30" s="53">
        <v>1</v>
      </c>
    </row>
  </sheetData>
  <mergeCells count="14">
    <mergeCell ref="M13:M21"/>
    <mergeCell ref="Q13:Q21"/>
    <mergeCell ref="C21:C28"/>
    <mergeCell ref="C4:C9"/>
    <mergeCell ref="C10:C20"/>
    <mergeCell ref="D6:D9"/>
    <mergeCell ref="E7:E8"/>
    <mergeCell ref="D10:D17"/>
    <mergeCell ref="D18:D20"/>
    <mergeCell ref="F7:F8"/>
    <mergeCell ref="M4:M6"/>
    <mergeCell ref="Q4:Q6"/>
    <mergeCell ref="M9:M12"/>
    <mergeCell ref="Q9:Q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O2847"/>
  <sheetViews>
    <sheetView showGridLines="0" zoomScale="76" zoomScaleNormal="100" workbookViewId="0">
      <selection activeCell="M35" sqref="M35"/>
    </sheetView>
  </sheetViews>
  <sheetFormatPr baseColWidth="10" defaultColWidth="11.42578125" defaultRowHeight="15"/>
  <cols>
    <col min="1" max="1" width="13.85546875" style="105" customWidth="1"/>
    <col min="2" max="2" width="43.85546875" customWidth="1"/>
    <col min="3" max="12" width="9.28515625" customWidth="1"/>
  </cols>
  <sheetData>
    <row r="1" spans="1:13" s="2" customFormat="1" ht="27" customHeight="1">
      <c r="A1" s="99"/>
      <c r="B1" s="3"/>
    </row>
    <row r="2" spans="1:13" s="2" customFormat="1" ht="24.95" customHeight="1">
      <c r="A2" s="99"/>
      <c r="B2" s="3"/>
    </row>
    <row r="3" spans="1:13" s="2" customFormat="1" ht="77.099999999999994" customHeight="1">
      <c r="A3" s="99"/>
      <c r="B3" s="603"/>
      <c r="C3" s="603"/>
      <c r="D3" s="603"/>
      <c r="E3" s="603"/>
      <c r="F3" s="603"/>
      <c r="G3" s="603"/>
      <c r="H3" s="603"/>
      <c r="I3" s="603"/>
      <c r="J3" s="603"/>
      <c r="K3" s="603"/>
      <c r="L3" s="603"/>
    </row>
    <row r="4" spans="1:13" s="2" customFormat="1" ht="12" customHeight="1" thickBot="1">
      <c r="A4" s="99"/>
      <c r="B4" s="68"/>
      <c r="C4" s="68"/>
      <c r="D4" s="68"/>
      <c r="E4" s="68"/>
      <c r="F4" s="68"/>
      <c r="G4" s="68"/>
      <c r="H4" s="68"/>
      <c r="I4" s="68"/>
      <c r="J4" s="68"/>
      <c r="K4" s="68"/>
      <c r="L4" s="68"/>
    </row>
    <row r="5" spans="1:13" ht="21.75" thickBot="1">
      <c r="A5" s="586" t="s">
        <v>89</v>
      </c>
      <c r="B5" s="587"/>
      <c r="C5" s="587"/>
      <c r="D5" s="587"/>
      <c r="E5" s="587"/>
      <c r="F5" s="587"/>
      <c r="G5" s="587"/>
      <c r="H5" s="587"/>
      <c r="I5" s="587"/>
      <c r="J5" s="587"/>
      <c r="K5" s="587"/>
      <c r="L5" s="588"/>
    </row>
    <row r="6" spans="1:13" ht="33" customHeight="1" thickBot="1">
      <c r="A6" s="69" t="s">
        <v>90</v>
      </c>
      <c r="B6" s="589" t="s">
        <v>91</v>
      </c>
      <c r="C6" s="589"/>
      <c r="D6" s="589"/>
      <c r="E6" s="589"/>
      <c r="F6" s="589"/>
      <c r="G6" s="589"/>
      <c r="H6" s="589"/>
      <c r="I6" s="589"/>
      <c r="J6" s="589"/>
      <c r="K6" s="589"/>
      <c r="L6" s="589"/>
    </row>
    <row r="7" spans="1:13" ht="33" customHeight="1" thickBot="1">
      <c r="A7" s="100"/>
      <c r="B7" s="71" t="s">
        <v>92</v>
      </c>
      <c r="C7" s="575" t="s">
        <v>93</v>
      </c>
      <c r="D7" s="575"/>
      <c r="E7" s="575"/>
      <c r="F7" s="575"/>
      <c r="G7" s="575"/>
      <c r="H7" s="575"/>
      <c r="I7" s="575"/>
      <c r="J7" s="575"/>
      <c r="K7" s="575"/>
      <c r="L7" s="576"/>
    </row>
    <row r="8" spans="1:13" ht="17.25" thickBot="1">
      <c r="A8" s="101"/>
      <c r="B8" s="589" t="s">
        <v>94</v>
      </c>
      <c r="C8" s="590"/>
      <c r="D8" s="590"/>
      <c r="E8" s="590"/>
      <c r="F8" s="590"/>
      <c r="G8" s="590"/>
      <c r="H8" s="590"/>
      <c r="I8" s="590"/>
      <c r="J8" s="590"/>
      <c r="K8" s="590"/>
      <c r="L8" s="590"/>
      <c r="M8" s="2"/>
    </row>
    <row r="9" spans="1:13" ht="16.5">
      <c r="A9" s="101"/>
      <c r="B9" s="71" t="s">
        <v>95</v>
      </c>
      <c r="C9" s="559" t="s">
        <v>96</v>
      </c>
      <c r="D9" s="559"/>
      <c r="E9" s="559"/>
      <c r="F9" s="559"/>
      <c r="G9" s="559"/>
      <c r="H9" s="559"/>
      <c r="I9" s="559"/>
      <c r="J9" s="559"/>
      <c r="K9" s="559"/>
      <c r="L9" s="560"/>
      <c r="M9" s="2"/>
    </row>
    <row r="10" spans="1:13" ht="16.5">
      <c r="A10" s="102" t="s">
        <v>97</v>
      </c>
      <c r="B10" s="72" t="s">
        <v>98</v>
      </c>
      <c r="C10" s="559" t="str">
        <f ca="1">OFFSET('Bateria indicadores proceso'!$F$3,(RIGHT(A10,3)),1)</f>
        <v>Oficina Asesora de Planeación</v>
      </c>
      <c r="D10" s="559"/>
      <c r="E10" s="559"/>
      <c r="F10" s="559"/>
      <c r="G10" s="559"/>
      <c r="H10" s="559"/>
      <c r="I10" s="559"/>
      <c r="J10" s="559"/>
      <c r="K10" s="559"/>
      <c r="L10" s="560"/>
      <c r="M10" s="2"/>
    </row>
    <row r="11" spans="1:13" ht="24" customHeight="1">
      <c r="A11" s="101"/>
      <c r="B11" s="72" t="s">
        <v>99</v>
      </c>
      <c r="C11" s="559" t="str">
        <f ca="1">OFFSET('Bateria indicadores proceso'!$K$3,(RIGHT(A10,3)),1)</f>
        <v>Seguimientos realizados a las metas y compromisos del Ministerio del Interior</v>
      </c>
      <c r="D11" s="559"/>
      <c r="E11" s="559"/>
      <c r="F11" s="559"/>
      <c r="G11" s="559"/>
      <c r="H11" s="559"/>
      <c r="I11" s="559"/>
      <c r="J11" s="559"/>
      <c r="K11" s="559"/>
      <c r="L11" s="560"/>
      <c r="M11" s="2"/>
    </row>
    <row r="12" spans="1:13" ht="16.5">
      <c r="A12" s="101"/>
      <c r="B12" s="72" t="s">
        <v>100</v>
      </c>
      <c r="C12" s="559" t="str">
        <f ca="1">OFFSET('Bateria indicadores proceso'!$I$3,(RIGHT(A10,3)),1)</f>
        <v>Eficacia</v>
      </c>
      <c r="D12" s="559"/>
      <c r="E12" s="559"/>
      <c r="F12" s="559"/>
      <c r="G12" s="559"/>
      <c r="H12" s="559"/>
      <c r="I12" s="559"/>
      <c r="J12" s="559"/>
      <c r="K12" s="559"/>
      <c r="L12" s="560"/>
      <c r="M12" s="2"/>
    </row>
    <row r="13" spans="1:13" ht="42.75" customHeight="1" thickBot="1">
      <c r="A13" s="103"/>
      <c r="B13" s="73" t="s">
        <v>101</v>
      </c>
      <c r="C13" s="559" t="str">
        <f ca="1">OFFSET('Bateria indicadores proceso'!$J$3,(RIGHT(A10,3)),1)</f>
        <v>El objetivo de este indicador es mantener el porcentaje de seguimientos efectuados a las metas y compromisos establecidos en la planeación estratégica 2026 (PES y PEIA), así como en el Plan Nacional de Desarrollo (PND), con el fin de monitorear el avance y generar alertas para el cumplimiento de los objetivos del Ministerio del Interior.</v>
      </c>
      <c r="D13" s="559"/>
      <c r="E13" s="559"/>
      <c r="F13" s="559"/>
      <c r="G13" s="559"/>
      <c r="H13" s="559"/>
      <c r="I13" s="559"/>
      <c r="J13" s="559"/>
      <c r="K13" s="559"/>
      <c r="L13" s="560"/>
      <c r="M13" s="3"/>
    </row>
    <row r="14" spans="1:13" ht="17.25" thickBot="1">
      <c r="A14" s="103"/>
      <c r="B14" s="572" t="s">
        <v>102</v>
      </c>
      <c r="C14" s="573"/>
      <c r="D14" s="573"/>
      <c r="E14" s="573"/>
      <c r="F14" s="573"/>
      <c r="G14" s="573"/>
      <c r="H14" s="573"/>
      <c r="I14" s="573"/>
      <c r="J14" s="573"/>
      <c r="K14" s="573"/>
      <c r="L14" s="574"/>
      <c r="M14" s="3"/>
    </row>
    <row r="15" spans="1:13" ht="16.5">
      <c r="A15" s="101"/>
      <c r="B15" s="71" t="s">
        <v>103</v>
      </c>
      <c r="C15" s="559" t="str">
        <f ca="1">OFFSET('Bateria indicadores proceso'!$O$3,(RIGHT(A10,3)),1)</f>
        <v>Porcentaje</v>
      </c>
      <c r="D15" s="559"/>
      <c r="E15" s="559"/>
      <c r="F15" s="559"/>
      <c r="G15" s="559"/>
      <c r="H15" s="559"/>
      <c r="I15" s="559"/>
      <c r="J15" s="559"/>
      <c r="K15" s="559"/>
      <c r="L15" s="560"/>
      <c r="M15" s="2"/>
    </row>
    <row r="16" spans="1:13" ht="24">
      <c r="A16" s="101"/>
      <c r="B16" s="72" t="s">
        <v>104</v>
      </c>
      <c r="C16" s="559"/>
      <c r="D16" s="559"/>
      <c r="E16" s="559"/>
      <c r="F16" s="559"/>
      <c r="G16" s="559"/>
      <c r="H16" s="559"/>
      <c r="I16" s="559"/>
      <c r="J16" s="559"/>
      <c r="K16" s="559"/>
      <c r="L16" s="560"/>
      <c r="M16" s="2"/>
    </row>
    <row r="17" spans="1:15" ht="16.5">
      <c r="A17" s="101"/>
      <c r="B17" s="72" t="s">
        <v>105</v>
      </c>
      <c r="C17" s="559" t="str">
        <f ca="1">OFFSET('Bateria indicadores proceso'!$L$3,(RIGHT(A10,3)),1)</f>
        <v>(Número de seguimientos realizados/Número de seguimientos programados)*100%</v>
      </c>
      <c r="D17" s="559"/>
      <c r="E17" s="559"/>
      <c r="F17" s="559"/>
      <c r="G17" s="559"/>
      <c r="H17" s="559"/>
      <c r="I17" s="559"/>
      <c r="J17" s="559"/>
      <c r="K17" s="559"/>
      <c r="L17" s="560"/>
      <c r="M17" s="2"/>
    </row>
    <row r="18" spans="1:15" ht="16.5">
      <c r="A18" s="101"/>
      <c r="B18" s="72" t="s">
        <v>106</v>
      </c>
      <c r="C18" s="559" t="str">
        <f ca="1">OFFSET('Bateria indicadores proceso'!$Z$3,(RIGHT(A10,3)),1)</f>
        <v>Trimestral</v>
      </c>
      <c r="D18" s="559"/>
      <c r="E18" s="559"/>
      <c r="F18" s="559"/>
      <c r="G18" s="559"/>
      <c r="H18" s="559"/>
      <c r="I18" s="559"/>
      <c r="J18" s="559"/>
      <c r="K18" s="559"/>
      <c r="L18" s="560"/>
      <c r="M18" s="2"/>
    </row>
    <row r="19" spans="1:15" ht="64.5" customHeight="1">
      <c r="A19" s="101"/>
      <c r="B19" s="72" t="s">
        <v>107</v>
      </c>
      <c r="C19" s="559" t="str">
        <f ca="1">OFFSET('Bateria indicadores proceso'!$X$3,(RIGHT(A10,3)),1)</f>
        <v>Plan Estratégico Institucional y de Acción (PEIA) 2026, Plan Estratégico Sectorial (PES) 2026, Plataforma SINERGIA</v>
      </c>
      <c r="D19" s="559"/>
      <c r="E19" s="559"/>
      <c r="F19" s="559"/>
      <c r="G19" s="559"/>
      <c r="H19" s="559"/>
      <c r="I19" s="559"/>
      <c r="J19" s="559"/>
      <c r="K19" s="559"/>
      <c r="L19" s="560"/>
      <c r="M19" s="2"/>
    </row>
    <row r="20" spans="1:15" ht="16.5">
      <c r="A20" s="101"/>
      <c r="B20" s="72" t="s">
        <v>108</v>
      </c>
      <c r="C20" s="561">
        <f ca="1">OFFSET('Bateria indicadores proceso'!$P$3,(RIGHT(A10,3)),1)</f>
        <v>2022</v>
      </c>
      <c r="D20" s="561"/>
      <c r="E20" s="561"/>
      <c r="F20" s="561"/>
      <c r="G20" s="561"/>
      <c r="H20" s="561"/>
      <c r="I20" s="561"/>
      <c r="J20" s="561"/>
      <c r="K20" s="561"/>
      <c r="L20" s="566"/>
      <c r="M20" s="2"/>
    </row>
    <row r="21" spans="1:15" ht="16.5">
      <c r="A21" s="101"/>
      <c r="B21" s="72" t="s">
        <v>109</v>
      </c>
      <c r="C21" s="561" t="str">
        <f ca="1">IF(C15="Número",TEXT(OFFSET('Bateria indicadores proceso'!$Q$3,(RIGHT(A10,3)),1),"######"),TEXT(OFFSET('Bateria indicadores proceso'!$Q$3,(RIGHT(A10,3)),1),"0.0%"))</f>
        <v>100%</v>
      </c>
      <c r="D21" s="561"/>
      <c r="E21" s="561"/>
      <c r="F21" s="561"/>
      <c r="G21" s="561"/>
      <c r="H21" s="561"/>
      <c r="I21" s="561"/>
      <c r="J21" s="561"/>
      <c r="K21" s="561"/>
      <c r="L21" s="566"/>
      <c r="M21" s="2"/>
    </row>
    <row r="22" spans="1:15" ht="16.5">
      <c r="A22" s="101"/>
      <c r="B22" s="72" t="s">
        <v>110</v>
      </c>
      <c r="C22" s="593">
        <f ca="1">+OFFSET('Bateria indicadores proceso'!$R$3,(RIGHT(A10,3)),1)</f>
        <v>46022</v>
      </c>
      <c r="D22" s="593"/>
      <c r="E22" s="593"/>
      <c r="F22" s="593"/>
      <c r="G22" s="593"/>
      <c r="H22" s="593"/>
      <c r="I22" s="593"/>
      <c r="J22" s="593"/>
      <c r="K22" s="593"/>
      <c r="L22" s="594"/>
      <c r="M22" s="2"/>
    </row>
    <row r="23" spans="1:15" ht="16.5">
      <c r="A23" s="101"/>
      <c r="B23" s="72" t="s">
        <v>111</v>
      </c>
      <c r="C23" s="561" t="str">
        <f ca="1">OFFSET('Bateria indicadores proceso'!$M$3,(RIGHT(A10,3)),1)</f>
        <v>Mantener</v>
      </c>
      <c r="D23" s="561"/>
      <c r="E23" s="561"/>
      <c r="F23" s="561"/>
      <c r="G23" s="561"/>
      <c r="H23" s="561"/>
      <c r="I23" s="561"/>
      <c r="J23" s="561"/>
      <c r="K23" s="561"/>
      <c r="L23" s="566"/>
      <c r="M23" s="2"/>
    </row>
    <row r="24" spans="1:15" ht="16.5">
      <c r="A24" s="101"/>
      <c r="B24" s="72" t="s">
        <v>112</v>
      </c>
      <c r="C24" s="561" t="str">
        <f ca="1">OFFSET('Bateria indicadores proceso'!$N$3,(RIGHT(A10,3)),1)</f>
        <v>Stock</v>
      </c>
      <c r="D24" s="561"/>
      <c r="E24" s="561"/>
      <c r="F24" s="561"/>
      <c r="G24" s="561"/>
      <c r="H24" s="561"/>
      <c r="I24" s="561"/>
      <c r="J24" s="561"/>
      <c r="K24" s="561"/>
      <c r="L24" s="566"/>
      <c r="M24" s="2"/>
    </row>
    <row r="25" spans="1:15" ht="16.5">
      <c r="A25" s="101"/>
      <c r="B25" s="72" t="s">
        <v>113</v>
      </c>
      <c r="C25" s="561" t="str">
        <f ca="1">IF(C15="Número",TEXT(OFFSET('Bateria indicadores proceso'!$W$3,(RIGHT(A10,3)),1),"######"),TEXT(OFFSET('Bateria indicadores proceso'!$W$3,(RIGHT(A10,3)),1),"0.0%"))</f>
        <v>100%</v>
      </c>
      <c r="D25" s="561"/>
      <c r="E25" s="561"/>
      <c r="F25" s="561"/>
      <c r="G25" s="561"/>
      <c r="H25" s="561"/>
      <c r="I25" s="561"/>
      <c r="J25" s="561"/>
      <c r="K25" s="561"/>
      <c r="L25" s="566"/>
      <c r="M25" s="2"/>
    </row>
    <row r="26" spans="1:15" ht="16.5">
      <c r="A26" s="101"/>
      <c r="B26" s="595" t="s">
        <v>114</v>
      </c>
      <c r="C26" s="70" t="s">
        <v>115</v>
      </c>
      <c r="D26" s="70" t="s">
        <v>116</v>
      </c>
      <c r="E26" s="70" t="s">
        <v>117</v>
      </c>
      <c r="F26" s="70" t="s">
        <v>118</v>
      </c>
      <c r="J26" s="75"/>
      <c r="K26" s="75"/>
      <c r="L26" s="76"/>
      <c r="M26" s="2"/>
    </row>
    <row r="27" spans="1:15" ht="16.5">
      <c r="A27" s="101"/>
      <c r="B27" s="595"/>
      <c r="C27" s="70" t="str">
        <f ca="1">IF(C15="Número",TEXT(OFFSET('Bateria indicadores proceso'!$S$3,(RIGHT(A10,3)),1),"######"),TEXT(OFFSET('Bateria indicadores proceso'!$S$3,(RIGHT(A10,3)),1),"0.0%"))</f>
        <v>100%</v>
      </c>
      <c r="D27" s="70" t="str">
        <f ca="1">IF(C15="Número",TEXT(OFFSET('Bateria indicadores proceso'!$T$3,(RIGHT(A10,3)),1),"######"),TEXT(OFFSET('Bateria indicadores proceso'!$T$3,(RIGHT(A10,3)),1),"0.0%"))</f>
        <v>100%</v>
      </c>
      <c r="E27" s="70" t="str">
        <f ca="1">IF(C15="Número",TEXT(OFFSET('Bateria indicadores proceso'!$U$3,(RIGHT(A10,3)),1),"######"),TEXT(OFFSET('Bateria indicadores proceso'!$U$3,(RIGHT(A10,3)),1),"0.0%"))</f>
        <v>100%</v>
      </c>
      <c r="F27" s="70" t="str">
        <f ca="1">IF(C15="Número",TEXT(OFFSET('Bateria indicadores proceso'!$V$3,(RIGHT(A10,3)),1),"######"),TEXT(OFFSET('Bateria indicadores proceso'!$V$3,(RIGHT(A10,3)),1),"0.0%"))</f>
        <v>100%</v>
      </c>
      <c r="J27" s="77"/>
      <c r="K27" s="77"/>
      <c r="L27" s="78"/>
      <c r="M27" s="2"/>
    </row>
    <row r="28" spans="1:15" ht="31.5" customHeight="1">
      <c r="A28" s="101"/>
      <c r="B28" s="600" t="s">
        <v>119</v>
      </c>
      <c r="C28" s="567" t="s">
        <v>120</v>
      </c>
      <c r="D28" s="568"/>
      <c r="E28" s="567" t="s">
        <v>121</v>
      </c>
      <c r="F28" s="568"/>
      <c r="G28" s="567" t="s">
        <v>122</v>
      </c>
      <c r="H28" s="568"/>
      <c r="I28" s="567" t="s">
        <v>123</v>
      </c>
      <c r="J28" s="568"/>
      <c r="K28" s="567" t="s">
        <v>124</v>
      </c>
      <c r="L28" s="569"/>
      <c r="M28" s="2"/>
    </row>
    <row r="29" spans="1:15" ht="16.5">
      <c r="A29" s="101"/>
      <c r="B29" s="601"/>
      <c r="C29" s="570" t="s">
        <v>125</v>
      </c>
      <c r="D29" s="571"/>
      <c r="E29" s="577" t="s">
        <v>126</v>
      </c>
      <c r="F29" s="578"/>
      <c r="G29" s="579" t="s">
        <v>127</v>
      </c>
      <c r="H29" s="580"/>
      <c r="I29" s="581" t="s">
        <v>128</v>
      </c>
      <c r="J29" s="582"/>
      <c r="K29" s="583" t="s">
        <v>129</v>
      </c>
      <c r="L29" s="584"/>
      <c r="M29" s="2"/>
    </row>
    <row r="30" spans="1:15" ht="15" customHeight="1">
      <c r="A30" s="101"/>
      <c r="B30" s="602"/>
      <c r="C30" s="567" t="s">
        <v>130</v>
      </c>
      <c r="D30" s="568"/>
      <c r="E30" s="567" t="s">
        <v>131</v>
      </c>
      <c r="F30" s="568"/>
      <c r="G30" s="585" t="s">
        <v>132</v>
      </c>
      <c r="H30" s="568"/>
      <c r="I30" s="567" t="s">
        <v>133</v>
      </c>
      <c r="J30" s="568"/>
      <c r="K30" s="567" t="s">
        <v>134</v>
      </c>
      <c r="L30" s="569"/>
      <c r="M30" s="14"/>
      <c r="N30" s="67"/>
      <c r="O30" s="14"/>
    </row>
    <row r="31" spans="1:15" ht="33.75" customHeight="1">
      <c r="A31" s="101"/>
      <c r="B31" s="72" t="s">
        <v>135</v>
      </c>
      <c r="C31" s="559" t="str">
        <f ca="1">OFFSET('Bateria indicadores proceso'!$Y$3,(RIGHT(A10,3)),1)</f>
        <v>Matriz consolidada seguimiento PEIA, Matriz consolidada seguimiento PES, y matriz de seguimiento indicadores de SINERGIA.</v>
      </c>
      <c r="D31" s="559"/>
      <c r="E31" s="559"/>
      <c r="F31" s="559"/>
      <c r="G31" s="559"/>
      <c r="H31" s="559"/>
      <c r="I31" s="559"/>
      <c r="J31" s="559"/>
      <c r="K31" s="559"/>
      <c r="L31" s="560"/>
      <c r="M31" s="2"/>
    </row>
    <row r="32" spans="1:15" ht="16.5">
      <c r="A32" s="101"/>
      <c r="B32" s="591" t="s">
        <v>136</v>
      </c>
      <c r="C32" s="561" t="s">
        <v>137</v>
      </c>
      <c r="D32" s="561"/>
      <c r="E32" s="561"/>
      <c r="F32" s="562" t="str">
        <f ca="1">OFFSET('Bateria indicadores proceso'!$B$3,(RIGHT(A10,3)),1)</f>
        <v>PLANEACIÓN, DIRECCIONAMIENTO ESTRATÉGICO Y COMUNICACIONES</v>
      </c>
      <c r="G32" s="562"/>
      <c r="H32" s="562"/>
      <c r="I32" s="562"/>
      <c r="J32" s="562"/>
      <c r="K32" s="562"/>
      <c r="L32" s="563"/>
      <c r="M32" s="2"/>
    </row>
    <row r="33" spans="1:13" ht="23.25" customHeight="1">
      <c r="A33" s="101"/>
      <c r="B33" s="592"/>
      <c r="C33" s="561" t="s">
        <v>138</v>
      </c>
      <c r="D33" s="561"/>
      <c r="E33" s="561"/>
      <c r="F33" s="564">
        <f ca="1">OFFSET('Bateria indicadores proceso'!$C$3,(RIGHT(A10,3)),1)</f>
        <v>0.6</v>
      </c>
      <c r="G33" s="564"/>
      <c r="H33" s="564"/>
      <c r="I33" s="564"/>
      <c r="J33" s="564"/>
      <c r="K33" s="564"/>
      <c r="L33" s="565"/>
      <c r="M33" s="2"/>
    </row>
    <row r="34" spans="1:13" ht="25.5" customHeight="1" thickBot="1">
      <c r="A34" s="101"/>
      <c r="B34" s="592"/>
      <c r="C34" s="561" t="s">
        <v>139</v>
      </c>
      <c r="D34" s="561"/>
      <c r="E34" s="561"/>
      <c r="F34" s="564">
        <f ca="1">OFFSET('Bateria indicadores proceso'!$E$3,(RIGHT(A10,3)),1)</f>
        <v>0.2</v>
      </c>
      <c r="G34" s="564"/>
      <c r="H34" s="564"/>
      <c r="I34" s="564"/>
      <c r="J34" s="564"/>
      <c r="K34" s="564"/>
      <c r="L34" s="565"/>
      <c r="M34" s="2"/>
    </row>
    <row r="35" spans="1:13" ht="15" customHeight="1" thickBot="1">
      <c r="A35" s="101"/>
      <c r="B35" s="572" t="s">
        <v>140</v>
      </c>
      <c r="C35" s="573"/>
      <c r="D35" s="573"/>
      <c r="E35" s="573"/>
      <c r="F35" s="573"/>
      <c r="G35" s="573"/>
      <c r="H35" s="573"/>
      <c r="I35" s="573"/>
      <c r="J35" s="573"/>
      <c r="K35" s="573"/>
      <c r="L35" s="574"/>
      <c r="M35" s="2" t="s">
        <v>141</v>
      </c>
    </row>
    <row r="36" spans="1:13" ht="16.5">
      <c r="A36" s="101"/>
      <c r="B36" s="72" t="s">
        <v>142</v>
      </c>
      <c r="C36" s="561" t="str">
        <f ca="1">OFFSET('Bateria indicadores proceso'!$G$3,(RIGHT(A10,3)),1)</f>
        <v xml:space="preserve">Jefe de Oficina </v>
      </c>
      <c r="D36" s="561"/>
      <c r="E36" s="561"/>
      <c r="F36" s="561"/>
      <c r="G36" s="561"/>
      <c r="H36" s="561"/>
      <c r="I36" s="561"/>
      <c r="J36" s="561"/>
      <c r="K36" s="561"/>
      <c r="L36" s="566"/>
      <c r="M36" s="2"/>
    </row>
    <row r="37" spans="1:13" ht="16.5">
      <c r="A37" s="101"/>
      <c r="B37" s="72" t="s">
        <v>143</v>
      </c>
      <c r="C37" s="561" t="str">
        <f ca="1">OFFSET('Bateria indicadores proceso'!$F$3,(RIGHT(A10,3)),1)</f>
        <v>Oficina Asesora de Planeación</v>
      </c>
      <c r="D37" s="561"/>
      <c r="E37" s="561"/>
      <c r="F37" s="561"/>
      <c r="G37" s="561"/>
      <c r="H37" s="561"/>
      <c r="I37" s="561"/>
      <c r="J37" s="561"/>
      <c r="K37" s="561"/>
      <c r="L37" s="566"/>
      <c r="M37" s="2"/>
    </row>
    <row r="38" spans="1:13" ht="16.5">
      <c r="A38" s="101"/>
      <c r="B38" s="72" t="s">
        <v>144</v>
      </c>
      <c r="C38" s="598" t="str">
        <f ca="1">OFFSET('Bateria indicadores proceso'!$H$3,(RIGHT(A10,3)),1)</f>
        <v>sergio.arciniegas@mininterior.gov.co</v>
      </c>
      <c r="D38" s="598"/>
      <c r="E38" s="598"/>
      <c r="F38" s="598"/>
      <c r="G38" s="598"/>
      <c r="H38" s="598"/>
      <c r="I38" s="598"/>
      <c r="J38" s="598"/>
      <c r="K38" s="598"/>
      <c r="L38" s="599"/>
      <c r="M38" s="2"/>
    </row>
    <row r="39" spans="1:13" ht="17.25" thickBot="1">
      <c r="A39" s="104"/>
      <c r="B39" s="74" t="s">
        <v>145</v>
      </c>
      <c r="C39" s="596" t="s">
        <v>146</v>
      </c>
      <c r="D39" s="596"/>
      <c r="E39" s="596"/>
      <c r="F39" s="596"/>
      <c r="G39" s="596"/>
      <c r="H39" s="596"/>
      <c r="I39" s="596"/>
      <c r="J39" s="596"/>
      <c r="K39" s="596"/>
      <c r="L39" s="597"/>
      <c r="M39" s="2"/>
    </row>
    <row r="40" spans="1:13" ht="15.75" thickBot="1"/>
    <row r="41" spans="1:13" ht="21.75" thickBot="1">
      <c r="A41" s="586" t="s">
        <v>89</v>
      </c>
      <c r="B41" s="587"/>
      <c r="C41" s="587"/>
      <c r="D41" s="587"/>
      <c r="E41" s="587"/>
      <c r="F41" s="587"/>
      <c r="G41" s="587"/>
      <c r="H41" s="587"/>
      <c r="I41" s="587"/>
      <c r="J41" s="587"/>
      <c r="K41" s="587"/>
      <c r="L41" s="588"/>
    </row>
    <row r="42" spans="1:13" ht="32.25" thickBot="1">
      <c r="A42" s="69" t="s">
        <v>90</v>
      </c>
      <c r="B42" s="589" t="s">
        <v>91</v>
      </c>
      <c r="C42" s="589"/>
      <c r="D42" s="589"/>
      <c r="E42" s="589"/>
      <c r="F42" s="589"/>
      <c r="G42" s="589"/>
      <c r="H42" s="589"/>
      <c r="I42" s="589"/>
      <c r="J42" s="589"/>
      <c r="K42" s="589"/>
      <c r="L42" s="589"/>
    </row>
    <row r="43" spans="1:13" ht="16.5" thickBot="1">
      <c r="A43" s="100"/>
      <c r="B43" s="71" t="s">
        <v>92</v>
      </c>
      <c r="C43" s="575" t="s">
        <v>93</v>
      </c>
      <c r="D43" s="575"/>
      <c r="E43" s="575"/>
      <c r="F43" s="575"/>
      <c r="G43" s="575"/>
      <c r="H43" s="575"/>
      <c r="I43" s="575"/>
      <c r="J43" s="575"/>
      <c r="K43" s="575"/>
      <c r="L43" s="576"/>
    </row>
    <row r="44" spans="1:13" ht="16.5" thickBot="1">
      <c r="A44" s="101"/>
      <c r="B44" s="589" t="s">
        <v>94</v>
      </c>
      <c r="C44" s="590"/>
      <c r="D44" s="590"/>
      <c r="E44" s="590"/>
      <c r="F44" s="590"/>
      <c r="G44" s="590"/>
      <c r="H44" s="590"/>
      <c r="I44" s="590"/>
      <c r="J44" s="590"/>
      <c r="K44" s="590"/>
      <c r="L44" s="590"/>
    </row>
    <row r="45" spans="1:13">
      <c r="A45" s="101"/>
      <c r="B45" s="71" t="s">
        <v>95</v>
      </c>
      <c r="C45" s="559" t="s">
        <v>96</v>
      </c>
      <c r="D45" s="559"/>
      <c r="E45" s="559"/>
      <c r="F45" s="559"/>
      <c r="G45" s="559"/>
      <c r="H45" s="559"/>
      <c r="I45" s="559"/>
      <c r="J45" s="559"/>
      <c r="K45" s="559"/>
      <c r="L45" s="560"/>
    </row>
    <row r="46" spans="1:13">
      <c r="A46" s="102" t="s">
        <v>147</v>
      </c>
      <c r="B46" s="72" t="s">
        <v>98</v>
      </c>
      <c r="C46" s="559" t="str">
        <f ca="1">OFFSET('Bateria indicadores proceso'!$F$3,(RIGHT(A46,3)),1)</f>
        <v>Oficina Asesora de Planeación</v>
      </c>
      <c r="D46" s="559"/>
      <c r="E46" s="559"/>
      <c r="F46" s="559"/>
      <c r="G46" s="559"/>
      <c r="H46" s="559"/>
      <c r="I46" s="559"/>
      <c r="J46" s="559"/>
      <c r="K46" s="559"/>
      <c r="L46" s="560"/>
    </row>
    <row r="47" spans="1:13">
      <c r="A47" s="101"/>
      <c r="B47" s="72" t="s">
        <v>99</v>
      </c>
      <c r="C47" s="559" t="str">
        <f ca="1">OFFSET('Bateria indicadores proceso'!$K$3,(RIGHT(A46,3)),1)</f>
        <v>Proyectos de inversión  y/o programas misionales de funcionamiento viabilizados por la Oficina Asesora de Planeación.</v>
      </c>
      <c r="D47" s="559"/>
      <c r="E47" s="559"/>
      <c r="F47" s="559"/>
      <c r="G47" s="559"/>
      <c r="H47" s="559"/>
      <c r="I47" s="559"/>
      <c r="J47" s="559"/>
      <c r="K47" s="559"/>
      <c r="L47" s="560"/>
    </row>
    <row r="48" spans="1:13">
      <c r="A48" s="101"/>
      <c r="B48" s="72" t="s">
        <v>100</v>
      </c>
      <c r="C48" s="559" t="str">
        <f ca="1">OFFSET('Bateria indicadores proceso'!$I$3,(RIGHT(A46,3)),1)</f>
        <v>Eficiencia</v>
      </c>
      <c r="D48" s="559"/>
      <c r="E48" s="559"/>
      <c r="F48" s="559"/>
      <c r="G48" s="559"/>
      <c r="H48" s="559"/>
      <c r="I48" s="559"/>
      <c r="J48" s="559"/>
      <c r="K48" s="559"/>
      <c r="L48" s="560"/>
    </row>
    <row r="49" spans="1:12" ht="15.75" thickBot="1">
      <c r="A49" s="103"/>
      <c r="B49" s="73" t="s">
        <v>101</v>
      </c>
      <c r="C49" s="559" t="str">
        <f ca="1">OFFSET('Bateria indicadores proceso'!$J$3,(RIGHT(A46,3)),1)</f>
        <v>Acompañar a las dependencias del Ministerio del Interior en el proceso eficiente de la viabilización de proyectos de inversión y/o programas misionales de funcionamiento, buscando con ello el cumplimiento de los requisitos técnicos, financieros y normativos para su ejecución. El tipo de orientación de este indicador es mantener.</v>
      </c>
      <c r="D49" s="559"/>
      <c r="E49" s="559"/>
      <c r="F49" s="559"/>
      <c r="G49" s="559"/>
      <c r="H49" s="559"/>
      <c r="I49" s="559"/>
      <c r="J49" s="559"/>
      <c r="K49" s="559"/>
      <c r="L49" s="560"/>
    </row>
    <row r="50" spans="1:12" ht="16.5" thickBot="1">
      <c r="A50" s="103"/>
      <c r="B50" s="572" t="s">
        <v>102</v>
      </c>
      <c r="C50" s="573"/>
      <c r="D50" s="573"/>
      <c r="E50" s="573"/>
      <c r="F50" s="573"/>
      <c r="G50" s="573"/>
      <c r="H50" s="573"/>
      <c r="I50" s="573"/>
      <c r="J50" s="573"/>
      <c r="K50" s="573"/>
      <c r="L50" s="574"/>
    </row>
    <row r="51" spans="1:12">
      <c r="A51" s="101"/>
      <c r="B51" s="71" t="s">
        <v>103</v>
      </c>
      <c r="C51" s="559" t="str">
        <f ca="1">OFFSET('Bateria indicadores proceso'!$O$3,(RIGHT(A46,3)),1)</f>
        <v>Porcentaje</v>
      </c>
      <c r="D51" s="559"/>
      <c r="E51" s="559"/>
      <c r="F51" s="559"/>
      <c r="G51" s="559"/>
      <c r="H51" s="559"/>
      <c r="I51" s="559"/>
      <c r="J51" s="559"/>
      <c r="K51" s="559"/>
      <c r="L51" s="560"/>
    </row>
    <row r="52" spans="1:12" ht="24">
      <c r="A52" s="101"/>
      <c r="B52" s="72" t="s">
        <v>104</v>
      </c>
      <c r="C52" s="559"/>
      <c r="D52" s="559"/>
      <c r="E52" s="559"/>
      <c r="F52" s="559"/>
      <c r="G52" s="559"/>
      <c r="H52" s="559"/>
      <c r="I52" s="559"/>
      <c r="J52" s="559"/>
      <c r="K52" s="559"/>
      <c r="L52" s="560"/>
    </row>
    <row r="53" spans="1:12">
      <c r="A53" s="101"/>
      <c r="B53" s="72" t="s">
        <v>105</v>
      </c>
      <c r="C53" s="559" t="str">
        <f ca="1">OFFSET('Bateria indicadores proceso'!$L$3,(RIGHT(A46,3)),1)</f>
        <v xml:space="preserve">(Número  de viabilidades expedidas por OAP  / Numero de  viabilidades solicitadas a la OAP)*100%	</v>
      </c>
      <c r="D53" s="559"/>
      <c r="E53" s="559"/>
      <c r="F53" s="559"/>
      <c r="G53" s="559"/>
      <c r="H53" s="559"/>
      <c r="I53" s="559"/>
      <c r="J53" s="559"/>
      <c r="K53" s="559"/>
      <c r="L53" s="560"/>
    </row>
    <row r="54" spans="1:12">
      <c r="A54" s="101"/>
      <c r="B54" s="72" t="s">
        <v>106</v>
      </c>
      <c r="C54" s="559" t="str">
        <f ca="1">OFFSET('Bateria indicadores proceso'!$Z$3,(RIGHT(A46,3)),1)</f>
        <v>Mensual</v>
      </c>
      <c r="D54" s="559"/>
      <c r="E54" s="559"/>
      <c r="F54" s="559"/>
      <c r="G54" s="559"/>
      <c r="H54" s="559"/>
      <c r="I54" s="559"/>
      <c r="J54" s="559"/>
      <c r="K54" s="559"/>
      <c r="L54" s="560"/>
    </row>
    <row r="55" spans="1:12">
      <c r="A55" s="101"/>
      <c r="B55" s="72" t="s">
        <v>107</v>
      </c>
      <c r="C55" s="559" t="str">
        <f ca="1">OFFSET('Bateria indicadores proceso'!$X$3,(RIGHT(A46,3)),1)</f>
        <v>Solicitudes de viabilizacion de proyectos de inversión y/o programas misionales de funcionamiento  requeridas por las diferentes dependencias del Ministerio del Interior.</v>
      </c>
      <c r="D55" s="559"/>
      <c r="E55" s="559"/>
      <c r="F55" s="559"/>
      <c r="G55" s="559"/>
      <c r="H55" s="559"/>
      <c r="I55" s="559"/>
      <c r="J55" s="559"/>
      <c r="K55" s="559"/>
      <c r="L55" s="560"/>
    </row>
    <row r="56" spans="1:12">
      <c r="A56" s="101"/>
      <c r="B56" s="72" t="s">
        <v>108</v>
      </c>
      <c r="C56" s="561" t="str">
        <f ca="1">OFFSET('Bateria indicadores proceso'!$P$3,(RIGHT(A46,3)),1)</f>
        <v>No aplica</v>
      </c>
      <c r="D56" s="561"/>
      <c r="E56" s="561"/>
      <c r="F56" s="561"/>
      <c r="G56" s="561"/>
      <c r="H56" s="561"/>
      <c r="I56" s="561"/>
      <c r="J56" s="561"/>
      <c r="K56" s="561"/>
      <c r="L56" s="566"/>
    </row>
    <row r="57" spans="1:12">
      <c r="A57" s="101"/>
      <c r="B57" s="72" t="s">
        <v>109</v>
      </c>
      <c r="C57" s="561" t="str">
        <f ca="1">IF(C51="Número",TEXT(OFFSET('Bateria indicadores proceso'!$Q$3,(RIGHT(A46,3)),1),"######"),TEXT(OFFSET('Bateria indicadores proceso'!$Q$3,(RIGHT(A46,3)),1),"0.0%"))</f>
        <v>No aplica</v>
      </c>
      <c r="D57" s="561"/>
      <c r="E57" s="561"/>
      <c r="F57" s="561"/>
      <c r="G57" s="561"/>
      <c r="H57" s="561"/>
      <c r="I57" s="561"/>
      <c r="J57" s="561"/>
      <c r="K57" s="561"/>
      <c r="L57" s="566"/>
    </row>
    <row r="58" spans="1:12">
      <c r="A58" s="101"/>
      <c r="B58" s="72" t="s">
        <v>110</v>
      </c>
      <c r="C58" s="593" t="str">
        <f ca="1">+OFFSET('Bateria indicadores proceso'!$R$3,(RIGHT(A46,3)),1)</f>
        <v>No aplica</v>
      </c>
      <c r="D58" s="593"/>
      <c r="E58" s="593"/>
      <c r="F58" s="593"/>
      <c r="G58" s="593"/>
      <c r="H58" s="593"/>
      <c r="I58" s="593"/>
      <c r="J58" s="593"/>
      <c r="K58" s="593"/>
      <c r="L58" s="594"/>
    </row>
    <row r="59" spans="1:12">
      <c r="A59" s="101"/>
      <c r="B59" s="72" t="s">
        <v>111</v>
      </c>
      <c r="C59" s="561" t="str">
        <f ca="1">OFFSET('Bateria indicadores proceso'!$M$3,(RIGHT(A46,3)),1)</f>
        <v>Mantener</v>
      </c>
      <c r="D59" s="561"/>
      <c r="E59" s="561"/>
      <c r="F59" s="561"/>
      <c r="G59" s="561"/>
      <c r="H59" s="561"/>
      <c r="I59" s="561"/>
      <c r="J59" s="561"/>
      <c r="K59" s="561"/>
      <c r="L59" s="566"/>
    </row>
    <row r="60" spans="1:12">
      <c r="A60" s="101"/>
      <c r="B60" s="72" t="s">
        <v>112</v>
      </c>
      <c r="C60" s="561" t="str">
        <f ca="1">OFFSET('Bateria indicadores proceso'!$N$3,(RIGHT(A46,3)),1)</f>
        <v>Stock</v>
      </c>
      <c r="D60" s="561"/>
      <c r="E60" s="561"/>
      <c r="F60" s="561"/>
      <c r="G60" s="561"/>
      <c r="H60" s="561"/>
      <c r="I60" s="561"/>
      <c r="J60" s="561"/>
      <c r="K60" s="561"/>
      <c r="L60" s="566"/>
    </row>
    <row r="61" spans="1:12">
      <c r="A61" s="101"/>
      <c r="B61" s="72" t="s">
        <v>113</v>
      </c>
      <c r="C61" s="561" t="str">
        <f ca="1">IF(C51="Número",TEXT(OFFSET('Bateria indicadores proceso'!$W$3,(RIGHT(A46,3)),1),"######"),TEXT(OFFSET('Bateria indicadores proceso'!$W$3,(RIGHT(A46,3)),1),"0.0%"))</f>
        <v>100%</v>
      </c>
      <c r="D61" s="561"/>
      <c r="E61" s="561"/>
      <c r="F61" s="561"/>
      <c r="G61" s="561"/>
      <c r="H61" s="561"/>
      <c r="I61" s="561"/>
      <c r="J61" s="561"/>
      <c r="K61" s="561"/>
      <c r="L61" s="566"/>
    </row>
    <row r="62" spans="1:12">
      <c r="A62" s="101"/>
      <c r="B62" s="595" t="s">
        <v>114</v>
      </c>
      <c r="C62" s="70" t="s">
        <v>115</v>
      </c>
      <c r="D62" s="70" t="s">
        <v>116</v>
      </c>
      <c r="E62" s="70" t="s">
        <v>117</v>
      </c>
      <c r="F62" s="70" t="s">
        <v>118</v>
      </c>
      <c r="J62" s="75"/>
      <c r="K62" s="75"/>
      <c r="L62" s="76"/>
    </row>
    <row r="63" spans="1:12">
      <c r="A63" s="101"/>
      <c r="B63" s="595"/>
      <c r="C63" s="70" t="str">
        <f ca="1">IF(C51="Número",TEXT(OFFSET('Bateria indicadores proceso'!$S$3,(RIGHT(A46,3)),1),"######"),TEXT(OFFSET('Bateria indicadores proceso'!$S$3,(RIGHT(A46,3)),1),"0.0%"))</f>
        <v>100%</v>
      </c>
      <c r="D63" s="70" t="str">
        <f ca="1">IF(C51="Número",TEXT(OFFSET('Bateria indicadores proceso'!$T$3,(RIGHT(A46,3)),1),"######"),TEXT(OFFSET('Bateria indicadores proceso'!$T$3,(RIGHT(A46,3)),1),"0.0%"))</f>
        <v>100%</v>
      </c>
      <c r="E63" s="70" t="str">
        <f ca="1">IF(C51="Número",TEXT(OFFSET('Bateria indicadores proceso'!$U$3,(RIGHT(A46,3)),1),"######"),TEXT(OFFSET('Bateria indicadores proceso'!$U$3,(RIGHT(A46,3)),1),"0.0%"))</f>
        <v>100%</v>
      </c>
      <c r="F63" s="70" t="str">
        <f ca="1">IF(C51="Número",TEXT(OFFSET('Bateria indicadores proceso'!$V$3,(RIGHT(A46,3)),1),"######"),TEXT(OFFSET('Bateria indicadores proceso'!$V$3,(RIGHT(A46,3)),1),"0.0%"))</f>
        <v>100%</v>
      </c>
      <c r="J63" s="77"/>
      <c r="K63" s="77"/>
      <c r="L63" s="78"/>
    </row>
    <row r="64" spans="1:12">
      <c r="A64" s="101"/>
      <c r="B64" s="600" t="s">
        <v>119</v>
      </c>
      <c r="C64" s="567" t="s">
        <v>120</v>
      </c>
      <c r="D64" s="568"/>
      <c r="E64" s="567" t="s">
        <v>121</v>
      </c>
      <c r="F64" s="568"/>
      <c r="G64" s="567" t="s">
        <v>122</v>
      </c>
      <c r="H64" s="568"/>
      <c r="I64" s="567" t="s">
        <v>123</v>
      </c>
      <c r="J64" s="568"/>
      <c r="K64" s="567" t="s">
        <v>124</v>
      </c>
      <c r="L64" s="569"/>
    </row>
    <row r="65" spans="1:12">
      <c r="A65" s="101"/>
      <c r="B65" s="601"/>
      <c r="C65" s="570" t="s">
        <v>125</v>
      </c>
      <c r="D65" s="571"/>
      <c r="E65" s="577" t="s">
        <v>126</v>
      </c>
      <c r="F65" s="578"/>
      <c r="G65" s="579" t="s">
        <v>127</v>
      </c>
      <c r="H65" s="580"/>
      <c r="I65" s="581" t="s">
        <v>128</v>
      </c>
      <c r="J65" s="582"/>
      <c r="K65" s="583" t="s">
        <v>129</v>
      </c>
      <c r="L65" s="584"/>
    </row>
    <row r="66" spans="1:12">
      <c r="A66" s="101"/>
      <c r="B66" s="602"/>
      <c r="C66" s="567" t="s">
        <v>130</v>
      </c>
      <c r="D66" s="568"/>
      <c r="E66" s="567" t="s">
        <v>131</v>
      </c>
      <c r="F66" s="568"/>
      <c r="G66" s="585" t="s">
        <v>132</v>
      </c>
      <c r="H66" s="568"/>
      <c r="I66" s="567" t="s">
        <v>133</v>
      </c>
      <c r="J66" s="568"/>
      <c r="K66" s="567" t="s">
        <v>134</v>
      </c>
      <c r="L66" s="569"/>
    </row>
    <row r="67" spans="1:12">
      <c r="A67" s="101"/>
      <c r="B67" s="72" t="s">
        <v>135</v>
      </c>
      <c r="C67" s="559" t="str">
        <f ca="1">OFFSET('Bateria indicadores proceso'!$Y$3,(RIGHT(A46,3)),1)</f>
        <v xml:space="preserve">Copias de las viabilidades expedidas a las dependencias del Ministerio del Interior, viabilizando los proyectos de inversión y/o programas misionales de funcionamientro.									</v>
      </c>
      <c r="D67" s="559"/>
      <c r="E67" s="559"/>
      <c r="F67" s="559"/>
      <c r="G67" s="559"/>
      <c r="H67" s="559"/>
      <c r="I67" s="559"/>
      <c r="J67" s="559"/>
      <c r="K67" s="559"/>
      <c r="L67" s="560"/>
    </row>
    <row r="68" spans="1:12">
      <c r="A68" s="101"/>
      <c r="B68" s="591" t="s">
        <v>136</v>
      </c>
      <c r="C68" s="561" t="s">
        <v>137</v>
      </c>
      <c r="D68" s="561"/>
      <c r="E68" s="561"/>
      <c r="F68" s="562" t="str">
        <f ca="1">OFFSET('Bateria indicadores proceso'!$B$3,(RIGHT(A46,3)),1)</f>
        <v>PLANEACIÓN, DIRECCIONAMIENTO ESTRATÉGICO Y COMUNICACIONES</v>
      </c>
      <c r="G68" s="562"/>
      <c r="H68" s="562"/>
      <c r="I68" s="562"/>
      <c r="J68" s="562"/>
      <c r="K68" s="562"/>
      <c r="L68" s="563"/>
    </row>
    <row r="69" spans="1:12">
      <c r="A69" s="101"/>
      <c r="B69" s="592"/>
      <c r="C69" s="561" t="s">
        <v>138</v>
      </c>
      <c r="D69" s="561"/>
      <c r="E69" s="561"/>
      <c r="F69" s="564">
        <f ca="1">OFFSET('Bateria indicadores proceso'!$C$3,(RIGHT(A46,3)),1)</f>
        <v>0.6</v>
      </c>
      <c r="G69" s="564"/>
      <c r="H69" s="564"/>
      <c r="I69" s="564"/>
      <c r="J69" s="564"/>
      <c r="K69" s="564"/>
      <c r="L69" s="565"/>
    </row>
    <row r="70" spans="1:12" ht="15.75" thickBot="1">
      <c r="A70" s="101"/>
      <c r="B70" s="592"/>
      <c r="C70" s="561" t="s">
        <v>139</v>
      </c>
      <c r="D70" s="561"/>
      <c r="E70" s="561"/>
      <c r="F70" s="564">
        <f ca="1">OFFSET('Bateria indicadores proceso'!$E$3,(RIGHT(A46,3)),1)</f>
        <v>7.0000000000000007E-2</v>
      </c>
      <c r="G70" s="564"/>
      <c r="H70" s="564"/>
      <c r="I70" s="564"/>
      <c r="J70" s="564"/>
      <c r="K70" s="564"/>
      <c r="L70" s="565"/>
    </row>
    <row r="71" spans="1:12" ht="16.5" thickBot="1">
      <c r="A71" s="101"/>
      <c r="B71" s="572" t="s">
        <v>140</v>
      </c>
      <c r="C71" s="573"/>
      <c r="D71" s="573"/>
      <c r="E71" s="573"/>
      <c r="F71" s="573"/>
      <c r="G71" s="573"/>
      <c r="H71" s="573"/>
      <c r="I71" s="573"/>
      <c r="J71" s="573"/>
      <c r="K71" s="573"/>
      <c r="L71" s="574"/>
    </row>
    <row r="72" spans="1:12">
      <c r="A72" s="101"/>
      <c r="B72" s="72" t="s">
        <v>142</v>
      </c>
      <c r="C72" s="561" t="str">
        <f ca="1">OFFSET('Bateria indicadores proceso'!$G$3,(RIGHT(A46,3)),1)</f>
        <v xml:space="preserve">Jefe de Oficina </v>
      </c>
      <c r="D72" s="561"/>
      <c r="E72" s="561"/>
      <c r="F72" s="561"/>
      <c r="G72" s="561"/>
      <c r="H72" s="561"/>
      <c r="I72" s="561"/>
      <c r="J72" s="561"/>
      <c r="K72" s="561"/>
      <c r="L72" s="566"/>
    </row>
    <row r="73" spans="1:12">
      <c r="A73" s="101"/>
      <c r="B73" s="72" t="s">
        <v>143</v>
      </c>
      <c r="C73" s="561" t="str">
        <f ca="1">OFFSET('Bateria indicadores proceso'!$F$3,(RIGHT(A46,3)),1)</f>
        <v>Oficina Asesora de Planeación</v>
      </c>
      <c r="D73" s="561"/>
      <c r="E73" s="561"/>
      <c r="F73" s="561"/>
      <c r="G73" s="561"/>
      <c r="H73" s="561"/>
      <c r="I73" s="561"/>
      <c r="J73" s="561"/>
      <c r="K73" s="561"/>
      <c r="L73" s="566"/>
    </row>
    <row r="74" spans="1:12">
      <c r="A74" s="101"/>
      <c r="B74" s="72" t="s">
        <v>144</v>
      </c>
      <c r="C74" s="598" t="str">
        <f ca="1">OFFSET('Bateria indicadores proceso'!$H$3,(RIGHT(A10,3)),1)</f>
        <v>sergio.arciniegas@mininterior.gov.co</v>
      </c>
      <c r="D74" s="598"/>
      <c r="E74" s="598"/>
      <c r="F74" s="598"/>
      <c r="G74" s="598"/>
      <c r="H74" s="598"/>
      <c r="I74" s="598"/>
      <c r="J74" s="598"/>
      <c r="K74" s="598"/>
      <c r="L74" s="599"/>
    </row>
    <row r="75" spans="1:12" ht="15.75" thickBot="1">
      <c r="A75" s="104"/>
      <c r="B75" s="74" t="s">
        <v>145</v>
      </c>
      <c r="C75" s="596" t="s">
        <v>146</v>
      </c>
      <c r="D75" s="596"/>
      <c r="E75" s="596"/>
      <c r="F75" s="596"/>
      <c r="G75" s="596"/>
      <c r="H75" s="596"/>
      <c r="I75" s="596"/>
      <c r="J75" s="596"/>
      <c r="K75" s="596"/>
      <c r="L75" s="597"/>
    </row>
    <row r="76" spans="1:12" ht="15.75" thickBot="1"/>
    <row r="77" spans="1:12" ht="21.75" thickBot="1">
      <c r="A77" s="586" t="s">
        <v>89</v>
      </c>
      <c r="B77" s="587"/>
      <c r="C77" s="587"/>
      <c r="D77" s="587"/>
      <c r="E77" s="587"/>
      <c r="F77" s="587"/>
      <c r="G77" s="587"/>
      <c r="H77" s="587"/>
      <c r="I77" s="587"/>
      <c r="J77" s="587"/>
      <c r="K77" s="587"/>
      <c r="L77" s="588"/>
    </row>
    <row r="78" spans="1:12" ht="32.25" thickBot="1">
      <c r="A78" s="69" t="s">
        <v>90</v>
      </c>
      <c r="B78" s="589" t="s">
        <v>91</v>
      </c>
      <c r="C78" s="589"/>
      <c r="D78" s="589"/>
      <c r="E78" s="589"/>
      <c r="F78" s="589"/>
      <c r="G78" s="589"/>
      <c r="H78" s="589"/>
      <c r="I78" s="589"/>
      <c r="J78" s="589"/>
      <c r="K78" s="589"/>
      <c r="L78" s="589"/>
    </row>
    <row r="79" spans="1:12" ht="16.5" thickBot="1">
      <c r="A79" s="100"/>
      <c r="B79" s="71" t="s">
        <v>92</v>
      </c>
      <c r="C79" s="575" t="s">
        <v>93</v>
      </c>
      <c r="D79" s="575"/>
      <c r="E79" s="575"/>
      <c r="F79" s="575"/>
      <c r="G79" s="575"/>
      <c r="H79" s="575"/>
      <c r="I79" s="575"/>
      <c r="J79" s="575"/>
      <c r="K79" s="575"/>
      <c r="L79" s="576"/>
    </row>
    <row r="80" spans="1:12" ht="16.5" thickBot="1">
      <c r="A80" s="101"/>
      <c r="B80" s="589" t="s">
        <v>94</v>
      </c>
      <c r="C80" s="590"/>
      <c r="D80" s="590"/>
      <c r="E80" s="590"/>
      <c r="F80" s="590"/>
      <c r="G80" s="590"/>
      <c r="H80" s="590"/>
      <c r="I80" s="590"/>
      <c r="J80" s="590"/>
      <c r="K80" s="590"/>
      <c r="L80" s="590"/>
    </row>
    <row r="81" spans="1:12">
      <c r="A81" s="101"/>
      <c r="B81" s="71" t="s">
        <v>95</v>
      </c>
      <c r="C81" s="559" t="s">
        <v>96</v>
      </c>
      <c r="D81" s="559"/>
      <c r="E81" s="559"/>
      <c r="F81" s="559"/>
      <c r="G81" s="559"/>
      <c r="H81" s="559"/>
      <c r="I81" s="559"/>
      <c r="J81" s="559"/>
      <c r="K81" s="559"/>
      <c r="L81" s="560"/>
    </row>
    <row r="82" spans="1:12">
      <c r="A82" s="102" t="s">
        <v>148</v>
      </c>
      <c r="B82" s="72" t="s">
        <v>98</v>
      </c>
      <c r="C82" s="559" t="str">
        <f ca="1">OFFSET('Bateria indicadores proceso'!$F$3,(RIGHT(A82,3)),1)</f>
        <v>Oficina Asesora de Planeación</v>
      </c>
      <c r="D82" s="559"/>
      <c r="E82" s="559"/>
      <c r="F82" s="559"/>
      <c r="G82" s="559"/>
      <c r="H82" s="559"/>
      <c r="I82" s="559"/>
      <c r="J82" s="559"/>
      <c r="K82" s="559"/>
      <c r="L82" s="560"/>
    </row>
    <row r="83" spans="1:12">
      <c r="A83" s="101"/>
      <c r="B83" s="72" t="s">
        <v>99</v>
      </c>
      <c r="C83" s="559" t="str">
        <f ca="1">OFFSET('Bateria indicadores proceso'!$K$3,(RIGHT(A82,3)),1)</f>
        <v>Seguimiento a la gestión presupuestal del Ministerio del Interior.</v>
      </c>
      <c r="D83" s="559"/>
      <c r="E83" s="559"/>
      <c r="F83" s="559"/>
      <c r="G83" s="559"/>
      <c r="H83" s="559"/>
      <c r="I83" s="559"/>
      <c r="J83" s="559"/>
      <c r="K83" s="559"/>
      <c r="L83" s="560"/>
    </row>
    <row r="84" spans="1:12">
      <c r="A84" s="101"/>
      <c r="B84" s="72" t="s">
        <v>100</v>
      </c>
      <c r="C84" s="559" t="str">
        <f ca="1">OFFSET('Bateria indicadores proceso'!$I$3,(RIGHT(A82,3)),1)</f>
        <v>Eficiencia</v>
      </c>
      <c r="D84" s="559"/>
      <c r="E84" s="559"/>
      <c r="F84" s="559"/>
      <c r="G84" s="559"/>
      <c r="H84" s="559"/>
      <c r="I84" s="559"/>
      <c r="J84" s="559"/>
      <c r="K84" s="559"/>
      <c r="L84" s="560"/>
    </row>
    <row r="85" spans="1:12" ht="15.75" thickBot="1">
      <c r="A85" s="103"/>
      <c r="B85" s="73" t="s">
        <v>101</v>
      </c>
      <c r="C85" s="559" t="str">
        <f ca="1">OFFSET('Bateria indicadores proceso'!$J$3,(RIGHT(A82,3)),1)</f>
        <v>Memorandos elaborados y enviados mensualmente a las dependencias del Ministerio del Interior, informando sobre la ejecución presupuestal, lo que permite asegurar un seguimiento oportuno y sistemático del uso de los recursos públicos, facilita la toma de decisiones informadas, promueve la transparencia en la gestión institucional y contribuye al cumplimiento de metas financieras y programáticas del Ministerio. El tipo de orientación de este indicador es mantener.</v>
      </c>
      <c r="D85" s="559"/>
      <c r="E85" s="559"/>
      <c r="F85" s="559"/>
      <c r="G85" s="559"/>
      <c r="H85" s="559"/>
      <c r="I85" s="559"/>
      <c r="J85" s="559"/>
      <c r="K85" s="559"/>
      <c r="L85" s="560"/>
    </row>
    <row r="86" spans="1:12" ht="16.5" thickBot="1">
      <c r="A86" s="103"/>
      <c r="B86" s="572" t="s">
        <v>102</v>
      </c>
      <c r="C86" s="573"/>
      <c r="D86" s="573"/>
      <c r="E86" s="573"/>
      <c r="F86" s="573"/>
      <c r="G86" s="573"/>
      <c r="H86" s="573"/>
      <c r="I86" s="573"/>
      <c r="J86" s="573"/>
      <c r="K86" s="573"/>
      <c r="L86" s="574"/>
    </row>
    <row r="87" spans="1:12">
      <c r="A87" s="101"/>
      <c r="B87" s="71" t="s">
        <v>103</v>
      </c>
      <c r="C87" s="559" t="str">
        <f ca="1">OFFSET('Bateria indicadores proceso'!$O$3,(RIGHT(A82,3)),1)</f>
        <v>Número</v>
      </c>
      <c r="D87" s="559"/>
      <c r="E87" s="559"/>
      <c r="F87" s="559"/>
      <c r="G87" s="559"/>
      <c r="H87" s="559"/>
      <c r="I87" s="559"/>
      <c r="J87" s="559"/>
      <c r="K87" s="559"/>
      <c r="L87" s="560"/>
    </row>
    <row r="88" spans="1:12" ht="24">
      <c r="A88" s="101"/>
      <c r="B88" s="72" t="s">
        <v>104</v>
      </c>
      <c r="C88" s="559"/>
      <c r="D88" s="559"/>
      <c r="E88" s="559"/>
      <c r="F88" s="559"/>
      <c r="G88" s="559"/>
      <c r="H88" s="559"/>
      <c r="I88" s="559"/>
      <c r="J88" s="559"/>
      <c r="K88" s="559"/>
      <c r="L88" s="560"/>
    </row>
    <row r="89" spans="1:12">
      <c r="A89" s="101"/>
      <c r="B89" s="72" t="s">
        <v>105</v>
      </c>
      <c r="C89" s="559" t="str">
        <f ca="1">OFFSET('Bateria indicadores proceso'!$L$3,(RIGHT(A82,3)),1)</f>
        <v>Sumatoria de  memorando elaborados y enviados mensualmente a las dependencias del Ministerio del Interior, informando sobre el estado de la ejecución presupuestal.</v>
      </c>
      <c r="D89" s="559"/>
      <c r="E89" s="559"/>
      <c r="F89" s="559"/>
      <c r="G89" s="559"/>
      <c r="H89" s="559"/>
      <c r="I89" s="559"/>
      <c r="J89" s="559"/>
      <c r="K89" s="559"/>
      <c r="L89" s="560"/>
    </row>
    <row r="90" spans="1:12">
      <c r="A90" s="101"/>
      <c r="B90" s="72" t="s">
        <v>106</v>
      </c>
      <c r="C90" s="559" t="str">
        <f ca="1">OFFSET('Bateria indicadores proceso'!$Z$3,(RIGHT(A82,3)),1)</f>
        <v>Mensual</v>
      </c>
      <c r="D90" s="559"/>
      <c r="E90" s="559"/>
      <c r="F90" s="559"/>
      <c r="G90" s="559"/>
      <c r="H90" s="559"/>
      <c r="I90" s="559"/>
      <c r="J90" s="559"/>
      <c r="K90" s="559"/>
      <c r="L90" s="560"/>
    </row>
    <row r="91" spans="1:12">
      <c r="A91" s="101"/>
      <c r="B91" s="72" t="s">
        <v>107</v>
      </c>
      <c r="C91" s="559" t="str">
        <f ca="1">OFFSET('Bateria indicadores proceso'!$X$3,(RIGHT(A82,3)),1)</f>
        <v>Sistema Integrado de Información Finanaciera - SIIF</v>
      </c>
      <c r="D91" s="559"/>
      <c r="E91" s="559"/>
      <c r="F91" s="559"/>
      <c r="G91" s="559"/>
      <c r="H91" s="559"/>
      <c r="I91" s="559"/>
      <c r="J91" s="559"/>
      <c r="K91" s="559"/>
      <c r="L91" s="560"/>
    </row>
    <row r="92" spans="1:12">
      <c r="A92" s="101"/>
      <c r="B92" s="72" t="s">
        <v>108</v>
      </c>
      <c r="C92" s="561" t="str">
        <f ca="1">OFFSET('Bateria indicadores proceso'!$P$3,(RIGHT(A82,3)),1)</f>
        <v>No aplica</v>
      </c>
      <c r="D92" s="561"/>
      <c r="E92" s="561"/>
      <c r="F92" s="561"/>
      <c r="G92" s="561"/>
      <c r="H92" s="561"/>
      <c r="I92" s="561"/>
      <c r="J92" s="561"/>
      <c r="K92" s="561"/>
      <c r="L92" s="566"/>
    </row>
    <row r="93" spans="1:12">
      <c r="A93" s="101"/>
      <c r="B93" s="72" t="s">
        <v>109</v>
      </c>
      <c r="C93" s="561" t="str">
        <f ca="1">IF(C87="Número",TEXT(OFFSET('Bateria indicadores proceso'!$Q$3,(RIGHT(A82,3)),1),"######"),TEXT(OFFSET('Bateria indicadores proceso'!$Q$3,(RIGHT(A82,3)),1),"0.0%"))</f>
        <v>No aplica</v>
      </c>
      <c r="D93" s="561"/>
      <c r="E93" s="561"/>
      <c r="F93" s="561"/>
      <c r="G93" s="561"/>
      <c r="H93" s="561"/>
      <c r="I93" s="561"/>
      <c r="J93" s="561"/>
      <c r="K93" s="561"/>
      <c r="L93" s="566"/>
    </row>
    <row r="94" spans="1:12">
      <c r="A94" s="101"/>
      <c r="B94" s="72" t="s">
        <v>110</v>
      </c>
      <c r="C94" s="593" t="str">
        <f ca="1">+OFFSET('Bateria indicadores proceso'!$R$3,(RIGHT(A82,3)),1)</f>
        <v>No aplica</v>
      </c>
      <c r="D94" s="593"/>
      <c r="E94" s="593"/>
      <c r="F94" s="593"/>
      <c r="G94" s="593"/>
      <c r="H94" s="593"/>
      <c r="I94" s="593"/>
      <c r="J94" s="593"/>
      <c r="K94" s="593"/>
      <c r="L94" s="594"/>
    </row>
    <row r="95" spans="1:12">
      <c r="A95" s="101"/>
      <c r="B95" s="72" t="s">
        <v>111</v>
      </c>
      <c r="C95" s="561" t="str">
        <f ca="1">OFFSET('Bateria indicadores proceso'!$M$3,(RIGHT(A82,3)),1)</f>
        <v>Incrementar</v>
      </c>
      <c r="D95" s="561"/>
      <c r="E95" s="561"/>
      <c r="F95" s="561"/>
      <c r="G95" s="561"/>
      <c r="H95" s="561"/>
      <c r="I95" s="561"/>
      <c r="J95" s="561"/>
      <c r="K95" s="561"/>
      <c r="L95" s="566"/>
    </row>
    <row r="96" spans="1:12">
      <c r="A96" s="101"/>
      <c r="B96" s="72" t="s">
        <v>112</v>
      </c>
      <c r="C96" s="561" t="str">
        <f ca="1">OFFSET('Bateria indicadores proceso'!$N$3,(RIGHT(A82,3)),1)</f>
        <v>Acumulado</v>
      </c>
      <c r="D96" s="561"/>
      <c r="E96" s="561"/>
      <c r="F96" s="561"/>
      <c r="G96" s="561"/>
      <c r="H96" s="561"/>
      <c r="I96" s="561"/>
      <c r="J96" s="561"/>
      <c r="K96" s="561"/>
      <c r="L96" s="566"/>
    </row>
    <row r="97" spans="1:12">
      <c r="A97" s="101"/>
      <c r="B97" s="72" t="s">
        <v>113</v>
      </c>
      <c r="C97" s="561" t="str">
        <f ca="1">IF(C87="Número",TEXT(OFFSET('Bateria indicadores proceso'!$W$3,(RIGHT(A82,3)),1),"######"),TEXT(OFFSET('Bateria indicadores proceso'!$W$3,(RIGHT(A82,3)),1),"0.0%"))</f>
        <v>220</v>
      </c>
      <c r="D97" s="561"/>
      <c r="E97" s="561"/>
      <c r="F97" s="561"/>
      <c r="G97" s="561"/>
      <c r="H97" s="561"/>
      <c r="I97" s="561"/>
      <c r="J97" s="561"/>
      <c r="K97" s="561"/>
      <c r="L97" s="566"/>
    </row>
    <row r="98" spans="1:12">
      <c r="A98" s="101"/>
      <c r="B98" s="595" t="s">
        <v>114</v>
      </c>
      <c r="C98" s="70" t="s">
        <v>115</v>
      </c>
      <c r="D98" s="70" t="s">
        <v>116</v>
      </c>
      <c r="E98" s="70" t="s">
        <v>117</v>
      </c>
      <c r="F98" s="70" t="s">
        <v>118</v>
      </c>
      <c r="J98" s="75"/>
      <c r="K98" s="75"/>
      <c r="L98" s="76"/>
    </row>
    <row r="99" spans="1:12">
      <c r="A99" s="101"/>
      <c r="B99" s="595"/>
      <c r="C99" s="70" t="str">
        <f ca="1">IF(C87="Número",TEXT(OFFSET('Bateria indicadores proceso'!$S$3,(RIGHT(A82,3)),1),"######"),TEXT(OFFSET('Bateria indicadores proceso'!$S$3,(RIGHT(A82,3)),1),"0.0%"))</f>
        <v>40</v>
      </c>
      <c r="D99" s="70" t="str">
        <f ca="1">IF(C87="Número",TEXT(OFFSET('Bateria indicadores proceso'!$T$3,(RIGHT(A82,3)),1),"######"),TEXT(OFFSET('Bateria indicadores proceso'!$T$3,(RIGHT(A82,3)),1),"0.0%"))</f>
        <v>60</v>
      </c>
      <c r="E99" s="70" t="str">
        <f ca="1">IF(C87="Número",TEXT(OFFSET('Bateria indicadores proceso'!$U$3,(RIGHT(A82,3)),1),"######"),TEXT(OFFSET('Bateria indicadores proceso'!$U$3,(RIGHT(A82,3)),1),"0.0%"))</f>
        <v>60</v>
      </c>
      <c r="F99" s="70" t="str">
        <f ca="1">IF(C87="Número",TEXT(OFFSET('Bateria indicadores proceso'!$V$3,(RIGHT(A82,3)),1),"######"),TEXT(OFFSET('Bateria indicadores proceso'!$V$3,(RIGHT(A82,3)),1),"0.0%"))</f>
        <v>60</v>
      </c>
      <c r="J99" s="77"/>
      <c r="K99" s="77"/>
      <c r="L99" s="78"/>
    </row>
    <row r="100" spans="1:12">
      <c r="A100" s="101"/>
      <c r="B100" s="600" t="s">
        <v>119</v>
      </c>
      <c r="C100" s="567" t="s">
        <v>120</v>
      </c>
      <c r="D100" s="568"/>
      <c r="E100" s="567" t="s">
        <v>121</v>
      </c>
      <c r="F100" s="568"/>
      <c r="G100" s="567" t="s">
        <v>122</v>
      </c>
      <c r="H100" s="568"/>
      <c r="I100" s="567" t="s">
        <v>123</v>
      </c>
      <c r="J100" s="568"/>
      <c r="K100" s="567" t="s">
        <v>124</v>
      </c>
      <c r="L100" s="569"/>
    </row>
    <row r="101" spans="1:12">
      <c r="A101" s="101"/>
      <c r="B101" s="601"/>
      <c r="C101" s="570" t="s">
        <v>125</v>
      </c>
      <c r="D101" s="571"/>
      <c r="E101" s="577" t="s">
        <v>126</v>
      </c>
      <c r="F101" s="578"/>
      <c r="G101" s="579" t="s">
        <v>127</v>
      </c>
      <c r="H101" s="580"/>
      <c r="I101" s="581" t="s">
        <v>128</v>
      </c>
      <c r="J101" s="582"/>
      <c r="K101" s="583" t="s">
        <v>129</v>
      </c>
      <c r="L101" s="584"/>
    </row>
    <row r="102" spans="1:12">
      <c r="A102" s="101"/>
      <c r="B102" s="602"/>
      <c r="C102" s="567" t="s">
        <v>130</v>
      </c>
      <c r="D102" s="568"/>
      <c r="E102" s="567" t="s">
        <v>131</v>
      </c>
      <c r="F102" s="568"/>
      <c r="G102" s="585" t="s">
        <v>132</v>
      </c>
      <c r="H102" s="568"/>
      <c r="I102" s="567" t="s">
        <v>133</v>
      </c>
      <c r="J102" s="568"/>
      <c r="K102" s="567" t="s">
        <v>134</v>
      </c>
      <c r="L102" s="569"/>
    </row>
    <row r="103" spans="1:12">
      <c r="A103" s="101"/>
      <c r="B103" s="72" t="s">
        <v>135</v>
      </c>
      <c r="C103" s="559" t="str">
        <f ca="1">OFFSET('Bateria indicadores proceso'!$Y$3,(RIGHT(A82,3)),1)</f>
        <v xml:space="preserve"> Copia de los memorando elaborados y enviados mensualmente a las dependencias del Ministerio del Interior, informando sobre el estado de la ejecución presupuestal</v>
      </c>
      <c r="D103" s="559"/>
      <c r="E103" s="559"/>
      <c r="F103" s="559"/>
      <c r="G103" s="559"/>
      <c r="H103" s="559"/>
      <c r="I103" s="559"/>
      <c r="J103" s="559"/>
      <c r="K103" s="559"/>
      <c r="L103" s="560"/>
    </row>
    <row r="104" spans="1:12">
      <c r="A104" s="101"/>
      <c r="B104" s="591" t="s">
        <v>136</v>
      </c>
      <c r="C104" s="561" t="s">
        <v>137</v>
      </c>
      <c r="D104" s="561"/>
      <c r="E104" s="561"/>
      <c r="F104" s="562" t="str">
        <f ca="1">OFFSET('Bateria indicadores proceso'!$B$3,(RIGHT(A82,3)),1)</f>
        <v>PLANEACIÓN, DIRECCIONAMIENTO ESTRATÉGICO Y COMUNICACIONES</v>
      </c>
      <c r="G104" s="562"/>
      <c r="H104" s="562"/>
      <c r="I104" s="562"/>
      <c r="J104" s="562"/>
      <c r="K104" s="562"/>
      <c r="L104" s="563"/>
    </row>
    <row r="105" spans="1:12">
      <c r="A105" s="101"/>
      <c r="B105" s="592"/>
      <c r="C105" s="561" t="s">
        <v>138</v>
      </c>
      <c r="D105" s="561"/>
      <c r="E105" s="561"/>
      <c r="F105" s="564">
        <f ca="1">OFFSET('Bateria indicadores proceso'!$C$3,(RIGHT(A82,3)),1)</f>
        <v>0.6</v>
      </c>
      <c r="G105" s="564"/>
      <c r="H105" s="564"/>
      <c r="I105" s="564"/>
      <c r="J105" s="564"/>
      <c r="K105" s="564"/>
      <c r="L105" s="565"/>
    </row>
    <row r="106" spans="1:12" ht="15.75" thickBot="1">
      <c r="A106" s="101"/>
      <c r="B106" s="592"/>
      <c r="C106" s="561" t="s">
        <v>139</v>
      </c>
      <c r="D106" s="561"/>
      <c r="E106" s="561"/>
      <c r="F106" s="564">
        <f ca="1">OFFSET('Bateria indicadores proceso'!$E$3,(RIGHT(A82,3)),1)</f>
        <v>7.0000000000000007E-2</v>
      </c>
      <c r="G106" s="564"/>
      <c r="H106" s="564"/>
      <c r="I106" s="564"/>
      <c r="J106" s="564"/>
      <c r="K106" s="564"/>
      <c r="L106" s="565"/>
    </row>
    <row r="107" spans="1:12" ht="16.5" thickBot="1">
      <c r="A107" s="101"/>
      <c r="B107" s="572" t="s">
        <v>140</v>
      </c>
      <c r="C107" s="573"/>
      <c r="D107" s="573"/>
      <c r="E107" s="573"/>
      <c r="F107" s="573"/>
      <c r="G107" s="573"/>
      <c r="H107" s="573"/>
      <c r="I107" s="573"/>
      <c r="J107" s="573"/>
      <c r="K107" s="573"/>
      <c r="L107" s="574"/>
    </row>
    <row r="108" spans="1:12">
      <c r="A108" s="101"/>
      <c r="B108" s="72" t="s">
        <v>142</v>
      </c>
      <c r="C108" s="561" t="str">
        <f ca="1">OFFSET('Bateria indicadores proceso'!$G$3,(RIGHT(A82,3)),1)</f>
        <v xml:space="preserve">Jefe de Oficina </v>
      </c>
      <c r="D108" s="561"/>
      <c r="E108" s="561"/>
      <c r="F108" s="561"/>
      <c r="G108" s="561"/>
      <c r="H108" s="561"/>
      <c r="I108" s="561"/>
      <c r="J108" s="561"/>
      <c r="K108" s="561"/>
      <c r="L108" s="566"/>
    </row>
    <row r="109" spans="1:12">
      <c r="A109" s="101"/>
      <c r="B109" s="72" t="s">
        <v>143</v>
      </c>
      <c r="C109" s="561" t="str">
        <f ca="1">OFFSET('Bateria indicadores proceso'!$F$3,(RIGHT(A82,3)),1)</f>
        <v>Oficina Asesora de Planeación</v>
      </c>
      <c r="D109" s="561"/>
      <c r="E109" s="561"/>
      <c r="F109" s="561"/>
      <c r="G109" s="561"/>
      <c r="H109" s="561"/>
      <c r="I109" s="561"/>
      <c r="J109" s="561"/>
      <c r="K109" s="561"/>
      <c r="L109" s="566"/>
    </row>
    <row r="110" spans="1:12">
      <c r="A110" s="101"/>
      <c r="B110" s="72" t="s">
        <v>144</v>
      </c>
      <c r="C110" s="598" t="str">
        <f ca="1">OFFSET('Bateria indicadores proceso'!$H$3,(RIGHT(A82,3)),1)</f>
        <v>sergio.arciniegas@mininterior.gov.co</v>
      </c>
      <c r="D110" s="598"/>
      <c r="E110" s="598"/>
      <c r="F110" s="598"/>
      <c r="G110" s="598"/>
      <c r="H110" s="598"/>
      <c r="I110" s="598"/>
      <c r="J110" s="598"/>
      <c r="K110" s="598"/>
      <c r="L110" s="599"/>
    </row>
    <row r="111" spans="1:12" ht="15.75" thickBot="1">
      <c r="A111" s="104"/>
      <c r="B111" s="74" t="s">
        <v>145</v>
      </c>
      <c r="C111" s="596" t="s">
        <v>146</v>
      </c>
      <c r="D111" s="596"/>
      <c r="E111" s="596"/>
      <c r="F111" s="596"/>
      <c r="G111" s="596"/>
      <c r="H111" s="596"/>
      <c r="I111" s="596"/>
      <c r="J111" s="596"/>
      <c r="K111" s="596"/>
      <c r="L111" s="597"/>
    </row>
    <row r="112" spans="1:12" ht="15.75" thickBot="1"/>
    <row r="113" spans="1:12" ht="21.75" thickBot="1">
      <c r="A113" s="586" t="s">
        <v>89</v>
      </c>
      <c r="B113" s="587"/>
      <c r="C113" s="587"/>
      <c r="D113" s="587"/>
      <c r="E113" s="587"/>
      <c r="F113" s="587"/>
      <c r="G113" s="587"/>
      <c r="H113" s="587"/>
      <c r="I113" s="587"/>
      <c r="J113" s="587"/>
      <c r="K113" s="587"/>
      <c r="L113" s="588"/>
    </row>
    <row r="114" spans="1:12" ht="32.25" thickBot="1">
      <c r="A114" s="69" t="s">
        <v>90</v>
      </c>
      <c r="B114" s="589" t="s">
        <v>91</v>
      </c>
      <c r="C114" s="589"/>
      <c r="D114" s="589"/>
      <c r="E114" s="589"/>
      <c r="F114" s="589"/>
      <c r="G114" s="589"/>
      <c r="H114" s="589"/>
      <c r="I114" s="589"/>
      <c r="J114" s="589"/>
      <c r="K114" s="589"/>
      <c r="L114" s="589"/>
    </row>
    <row r="115" spans="1:12" ht="16.5" thickBot="1">
      <c r="A115" s="100"/>
      <c r="B115" s="71" t="s">
        <v>92</v>
      </c>
      <c r="C115" s="575" t="s">
        <v>93</v>
      </c>
      <c r="D115" s="575"/>
      <c r="E115" s="575"/>
      <c r="F115" s="575"/>
      <c r="G115" s="575"/>
      <c r="H115" s="575"/>
      <c r="I115" s="575"/>
      <c r="J115" s="575"/>
      <c r="K115" s="575"/>
      <c r="L115" s="576"/>
    </row>
    <row r="116" spans="1:12" ht="16.5" thickBot="1">
      <c r="A116" s="101"/>
      <c r="B116" s="589" t="s">
        <v>94</v>
      </c>
      <c r="C116" s="590"/>
      <c r="D116" s="590"/>
      <c r="E116" s="590"/>
      <c r="F116" s="590"/>
      <c r="G116" s="590"/>
      <c r="H116" s="590"/>
      <c r="I116" s="590"/>
      <c r="J116" s="590"/>
      <c r="K116" s="590"/>
      <c r="L116" s="590"/>
    </row>
    <row r="117" spans="1:12">
      <c r="A117" s="101"/>
      <c r="B117" s="71" t="s">
        <v>95</v>
      </c>
      <c r="C117" s="559" t="s">
        <v>96</v>
      </c>
      <c r="D117" s="559"/>
      <c r="E117" s="559"/>
      <c r="F117" s="559"/>
      <c r="G117" s="559"/>
      <c r="H117" s="559"/>
      <c r="I117" s="559"/>
      <c r="J117" s="559"/>
      <c r="K117" s="559"/>
      <c r="L117" s="560"/>
    </row>
    <row r="118" spans="1:12">
      <c r="A118" s="102" t="s">
        <v>149</v>
      </c>
      <c r="B118" s="72" t="s">
        <v>98</v>
      </c>
      <c r="C118" s="559" t="str">
        <f ca="1">OFFSET('Bateria indicadores proceso'!$F$3,(RIGHT(A118,3)),1)</f>
        <v>Oficina Asesora de Planeación</v>
      </c>
      <c r="D118" s="559"/>
      <c r="E118" s="559"/>
      <c r="F118" s="559"/>
      <c r="G118" s="559"/>
      <c r="H118" s="559"/>
      <c r="I118" s="559"/>
      <c r="J118" s="559"/>
      <c r="K118" s="559"/>
      <c r="L118" s="560"/>
    </row>
    <row r="119" spans="1:12">
      <c r="A119" s="101"/>
      <c r="B119" s="72" t="s">
        <v>99</v>
      </c>
      <c r="C119" s="559" t="str">
        <f ca="1">OFFSET('Bateria indicadores proceso'!$K$3,(RIGHT(A118,3)),1)</f>
        <v xml:space="preserve">Trámites presupuestales gestionados </v>
      </c>
      <c r="D119" s="559"/>
      <c r="E119" s="559"/>
      <c r="F119" s="559"/>
      <c r="G119" s="559"/>
      <c r="H119" s="559"/>
      <c r="I119" s="559"/>
      <c r="J119" s="559"/>
      <c r="K119" s="559"/>
      <c r="L119" s="560"/>
    </row>
    <row r="120" spans="1:12">
      <c r="A120" s="101"/>
      <c r="B120" s="72" t="s">
        <v>100</v>
      </c>
      <c r="C120" s="559" t="str">
        <f ca="1">OFFSET('Bateria indicadores proceso'!$I$3,(RIGHT(A118,3)),1)</f>
        <v>Eficacia</v>
      </c>
      <c r="D120" s="559"/>
      <c r="E120" s="559"/>
      <c r="F120" s="559"/>
      <c r="G120" s="559"/>
      <c r="H120" s="559"/>
      <c r="I120" s="559"/>
      <c r="J120" s="559"/>
      <c r="K120" s="559"/>
      <c r="L120" s="560"/>
    </row>
    <row r="121" spans="1:12" ht="15.75" thickBot="1">
      <c r="A121" s="103"/>
      <c r="B121" s="73" t="s">
        <v>101</v>
      </c>
      <c r="C121" s="559" t="str">
        <f ca="1">OFFSET('Bateria indicadores proceso'!$J$3,(RIGHT(A118,3)),1)</f>
        <v>Acompañar a las dependencias del Ministerio del Interior en el proceso eficiente de las solicitudes de los  trámites presupuestales, este indicador es importante porque permite asegurar que los procesos presupuestales se realicen de manera oportuna, coherente y ajustada a la normatividad vigente. El tipo de orientación de este indicador es mantener.</v>
      </c>
      <c r="D121" s="559"/>
      <c r="E121" s="559"/>
      <c r="F121" s="559"/>
      <c r="G121" s="559"/>
      <c r="H121" s="559"/>
      <c r="I121" s="559"/>
      <c r="J121" s="559"/>
      <c r="K121" s="559"/>
      <c r="L121" s="560"/>
    </row>
    <row r="122" spans="1:12" ht="16.5" thickBot="1">
      <c r="A122" s="103"/>
      <c r="B122" s="572" t="s">
        <v>102</v>
      </c>
      <c r="C122" s="573"/>
      <c r="D122" s="573"/>
      <c r="E122" s="573"/>
      <c r="F122" s="573"/>
      <c r="G122" s="573"/>
      <c r="H122" s="573"/>
      <c r="I122" s="573"/>
      <c r="J122" s="573"/>
      <c r="K122" s="573"/>
      <c r="L122" s="574"/>
    </row>
    <row r="123" spans="1:12">
      <c r="A123" s="101"/>
      <c r="B123" s="71" t="s">
        <v>103</v>
      </c>
      <c r="C123" s="559" t="str">
        <f ca="1">OFFSET('Bateria indicadores proceso'!$O$3,(RIGHT(A118,3)),1)</f>
        <v>Porcentaje</v>
      </c>
      <c r="D123" s="559"/>
      <c r="E123" s="559"/>
      <c r="F123" s="559"/>
      <c r="G123" s="559"/>
      <c r="H123" s="559"/>
      <c r="I123" s="559"/>
      <c r="J123" s="559"/>
      <c r="K123" s="559"/>
      <c r="L123" s="560"/>
    </row>
    <row r="124" spans="1:12" ht="24">
      <c r="A124" s="101"/>
      <c r="B124" s="72" t="s">
        <v>104</v>
      </c>
      <c r="C124" s="559"/>
      <c r="D124" s="559"/>
      <c r="E124" s="559"/>
      <c r="F124" s="559"/>
      <c r="G124" s="559"/>
      <c r="H124" s="559"/>
      <c r="I124" s="559"/>
      <c r="J124" s="559"/>
      <c r="K124" s="559"/>
      <c r="L124" s="560"/>
    </row>
    <row r="125" spans="1:12">
      <c r="A125" s="101"/>
      <c r="B125" s="72" t="s">
        <v>105</v>
      </c>
      <c r="C125" s="559" t="str">
        <f ca="1">OFFSET('Bateria indicadores proceso'!$L$3,(RIGHT(A118,3)),1)</f>
        <v>(Trámites presupuestales gestionados / trámites presupuestales solicitados)*100%</v>
      </c>
      <c r="D125" s="559"/>
      <c r="E125" s="559"/>
      <c r="F125" s="559"/>
      <c r="G125" s="559"/>
      <c r="H125" s="559"/>
      <c r="I125" s="559"/>
      <c r="J125" s="559"/>
      <c r="K125" s="559"/>
      <c r="L125" s="560"/>
    </row>
    <row r="126" spans="1:12">
      <c r="A126" s="101"/>
      <c r="B126" s="72" t="s">
        <v>106</v>
      </c>
      <c r="C126" s="559" t="str">
        <f ca="1">OFFSET('Bateria indicadores proceso'!$Z$3,(RIGHT(A118,3)),1)</f>
        <v>Trimestral</v>
      </c>
      <c r="D126" s="559"/>
      <c r="E126" s="559"/>
      <c r="F126" s="559"/>
      <c r="G126" s="559"/>
      <c r="H126" s="559"/>
      <c r="I126" s="559"/>
      <c r="J126" s="559"/>
      <c r="K126" s="559"/>
      <c r="L126" s="560"/>
    </row>
    <row r="127" spans="1:12">
      <c r="A127" s="101"/>
      <c r="B127" s="72" t="s">
        <v>107</v>
      </c>
      <c r="C127" s="559" t="str">
        <f ca="1">OFFSET('Bateria indicadores proceso'!$X$3,(RIGHT(A118,3)),1)</f>
        <v>Trámites presupuestales solicitados</v>
      </c>
      <c r="D127" s="559"/>
      <c r="E127" s="559"/>
      <c r="F127" s="559"/>
      <c r="G127" s="559"/>
      <c r="H127" s="559"/>
      <c r="I127" s="559"/>
      <c r="J127" s="559"/>
      <c r="K127" s="559"/>
      <c r="L127" s="560"/>
    </row>
    <row r="128" spans="1:12">
      <c r="A128" s="101"/>
      <c r="B128" s="72" t="s">
        <v>108</v>
      </c>
      <c r="C128" s="561" t="str">
        <f ca="1">OFFSET('Bateria indicadores proceso'!$P$3,(RIGHT(A118,3)),1)</f>
        <v>No aplica</v>
      </c>
      <c r="D128" s="561"/>
      <c r="E128" s="561"/>
      <c r="F128" s="561"/>
      <c r="G128" s="561"/>
      <c r="H128" s="561"/>
      <c r="I128" s="561"/>
      <c r="J128" s="561"/>
      <c r="K128" s="561"/>
      <c r="L128" s="566"/>
    </row>
    <row r="129" spans="1:12">
      <c r="A129" s="101"/>
      <c r="B129" s="72" t="s">
        <v>109</v>
      </c>
      <c r="C129" s="561" t="str">
        <f ca="1">IF(C123="Número",TEXT(OFFSET('Bateria indicadores proceso'!$Q$3,(RIGHT(A118,3)),1),"######"),TEXT(OFFSET('Bateria indicadores proceso'!$Q$3,(RIGHT(A118,3)),1),"0.0%"))</f>
        <v>No aplica</v>
      </c>
      <c r="D129" s="561"/>
      <c r="E129" s="561"/>
      <c r="F129" s="561"/>
      <c r="G129" s="561"/>
      <c r="H129" s="561"/>
      <c r="I129" s="561"/>
      <c r="J129" s="561"/>
      <c r="K129" s="561"/>
      <c r="L129" s="566"/>
    </row>
    <row r="130" spans="1:12">
      <c r="A130" s="101"/>
      <c r="B130" s="72" t="s">
        <v>110</v>
      </c>
      <c r="C130" s="593" t="str">
        <f ca="1">+OFFSET('Bateria indicadores proceso'!$R$3,(RIGHT(A118,3)),1)</f>
        <v>No aplica</v>
      </c>
      <c r="D130" s="593"/>
      <c r="E130" s="593"/>
      <c r="F130" s="593"/>
      <c r="G130" s="593"/>
      <c r="H130" s="593"/>
      <c r="I130" s="593"/>
      <c r="J130" s="593"/>
      <c r="K130" s="593"/>
      <c r="L130" s="594"/>
    </row>
    <row r="131" spans="1:12">
      <c r="A131" s="101"/>
      <c r="B131" s="72" t="s">
        <v>111</v>
      </c>
      <c r="C131" s="561" t="str">
        <f ca="1">OFFSET('Bateria indicadores proceso'!$M$3,(RIGHT(A118,3)),1)</f>
        <v>Mantener</v>
      </c>
      <c r="D131" s="561"/>
      <c r="E131" s="561"/>
      <c r="F131" s="561"/>
      <c r="G131" s="561"/>
      <c r="H131" s="561"/>
      <c r="I131" s="561"/>
      <c r="J131" s="561"/>
      <c r="K131" s="561"/>
      <c r="L131" s="566"/>
    </row>
    <row r="132" spans="1:12">
      <c r="A132" s="101"/>
      <c r="B132" s="72" t="s">
        <v>112</v>
      </c>
      <c r="C132" s="561" t="str">
        <f ca="1">OFFSET('Bateria indicadores proceso'!$N$3,(RIGHT(A118,3)),1)</f>
        <v>Stock</v>
      </c>
      <c r="D132" s="561"/>
      <c r="E132" s="561"/>
      <c r="F132" s="561"/>
      <c r="G132" s="561"/>
      <c r="H132" s="561"/>
      <c r="I132" s="561"/>
      <c r="J132" s="561"/>
      <c r="K132" s="561"/>
      <c r="L132" s="566"/>
    </row>
    <row r="133" spans="1:12">
      <c r="A133" s="101"/>
      <c r="B133" s="72" t="s">
        <v>113</v>
      </c>
      <c r="C133" s="561" t="str">
        <f ca="1">IF(C123="Número",TEXT(OFFSET('Bateria indicadores proceso'!$W$3,(RIGHT(A118,3)),1),"######"),TEXT(OFFSET('Bateria indicadores proceso'!$W$3,(RIGHT(A118,3)),1),"0.0%"))</f>
        <v>100%</v>
      </c>
      <c r="D133" s="561"/>
      <c r="E133" s="561"/>
      <c r="F133" s="561"/>
      <c r="G133" s="561"/>
      <c r="H133" s="561"/>
      <c r="I133" s="561"/>
      <c r="J133" s="561"/>
      <c r="K133" s="561"/>
      <c r="L133" s="566"/>
    </row>
    <row r="134" spans="1:12">
      <c r="A134" s="101"/>
      <c r="B134" s="595" t="s">
        <v>114</v>
      </c>
      <c r="C134" s="70" t="s">
        <v>115</v>
      </c>
      <c r="D134" s="70" t="s">
        <v>116</v>
      </c>
      <c r="E134" s="70" t="s">
        <v>117</v>
      </c>
      <c r="F134" s="70" t="s">
        <v>118</v>
      </c>
      <c r="J134" s="75"/>
      <c r="K134" s="75"/>
      <c r="L134" s="76"/>
    </row>
    <row r="135" spans="1:12">
      <c r="A135" s="101"/>
      <c r="B135" s="595"/>
      <c r="C135" s="70" t="str">
        <f ca="1">IF(C123="Número",TEXT(OFFSET('Bateria indicadores proceso'!$S$3,(RIGHT(A118,3)),1),"######"),TEXT(OFFSET('Bateria indicadores proceso'!$S$3,(RIGHT(A118,3)),1),"0.0%"))</f>
        <v>100%</v>
      </c>
      <c r="D135" s="70" t="str">
        <f ca="1">IF(C123="Número",TEXT(OFFSET('Bateria indicadores proceso'!$T$3,(RIGHT(A118,3)),1),"######"),TEXT(OFFSET('Bateria indicadores proceso'!$T$3,(RIGHT(A118,3)),1),"0.0%"))</f>
        <v>100%</v>
      </c>
      <c r="E135" s="70" t="str">
        <f ca="1">IF(C123="Número",TEXT(OFFSET('Bateria indicadores proceso'!$U$3,(RIGHT(A118,3)),1),"######"),TEXT(OFFSET('Bateria indicadores proceso'!$U$3,(RIGHT(A118,3)),1),"0.0%"))</f>
        <v>100%</v>
      </c>
      <c r="F135" s="70" t="str">
        <f ca="1">IF(C123="Número",TEXT(OFFSET('Bateria indicadores proceso'!$V$3,(RIGHT(A118,3)),1),"######"),TEXT(OFFSET('Bateria indicadores proceso'!$V$3,(RIGHT(A118,3)),1),"0.0%"))</f>
        <v>100%</v>
      </c>
      <c r="J135" s="77"/>
      <c r="K135" s="77"/>
      <c r="L135" s="78"/>
    </row>
    <row r="136" spans="1:12">
      <c r="A136" s="101"/>
      <c r="B136" s="600" t="s">
        <v>119</v>
      </c>
      <c r="C136" s="567" t="s">
        <v>120</v>
      </c>
      <c r="D136" s="568"/>
      <c r="E136" s="567" t="s">
        <v>121</v>
      </c>
      <c r="F136" s="568"/>
      <c r="G136" s="567" t="s">
        <v>122</v>
      </c>
      <c r="H136" s="568"/>
      <c r="I136" s="567" t="s">
        <v>123</v>
      </c>
      <c r="J136" s="568"/>
      <c r="K136" s="567" t="s">
        <v>124</v>
      </c>
      <c r="L136" s="569"/>
    </row>
    <row r="137" spans="1:12">
      <c r="A137" s="101"/>
      <c r="B137" s="601"/>
      <c r="C137" s="570" t="s">
        <v>125</v>
      </c>
      <c r="D137" s="571"/>
      <c r="E137" s="577" t="s">
        <v>126</v>
      </c>
      <c r="F137" s="578"/>
      <c r="G137" s="579" t="s">
        <v>127</v>
      </c>
      <c r="H137" s="580"/>
      <c r="I137" s="581" t="s">
        <v>128</v>
      </c>
      <c r="J137" s="582"/>
      <c r="K137" s="583" t="s">
        <v>129</v>
      </c>
      <c r="L137" s="584"/>
    </row>
    <row r="138" spans="1:12">
      <c r="A138" s="101"/>
      <c r="B138" s="602"/>
      <c r="C138" s="567" t="s">
        <v>130</v>
      </c>
      <c r="D138" s="568"/>
      <c r="E138" s="567" t="s">
        <v>131</v>
      </c>
      <c r="F138" s="568"/>
      <c r="G138" s="585" t="s">
        <v>132</v>
      </c>
      <c r="H138" s="568"/>
      <c r="I138" s="567" t="s">
        <v>133</v>
      </c>
      <c r="J138" s="568"/>
      <c r="K138" s="567" t="s">
        <v>134</v>
      </c>
      <c r="L138" s="569"/>
    </row>
    <row r="139" spans="1:12">
      <c r="A139" s="101"/>
      <c r="B139" s="72" t="s">
        <v>135</v>
      </c>
      <c r="C139" s="559" t="str">
        <f ca="1">OFFSET('Bateria indicadores proceso'!$Y$3,(RIGHT(A118,3)),1)</f>
        <v>Documentos: "Radicados en el aplicativo SITPRES del Ministerio de Hacienda y Crédito Público; y/o resoluciones</v>
      </c>
      <c r="D139" s="559"/>
      <c r="E139" s="559"/>
      <c r="F139" s="559"/>
      <c r="G139" s="559"/>
      <c r="H139" s="559"/>
      <c r="I139" s="559"/>
      <c r="J139" s="559"/>
      <c r="K139" s="559"/>
      <c r="L139" s="560"/>
    </row>
    <row r="140" spans="1:12">
      <c r="A140" s="101"/>
      <c r="B140" s="591" t="s">
        <v>136</v>
      </c>
      <c r="C140" s="561" t="s">
        <v>137</v>
      </c>
      <c r="D140" s="561"/>
      <c r="E140" s="561"/>
      <c r="F140" s="562" t="str">
        <f ca="1">OFFSET('Bateria indicadores proceso'!$B$3,(RIGHT(A118,3)),1)</f>
        <v>PLANEACIÓN, DIRECCIONAMIENTO ESTRATÉGICO Y COMUNICACIONES</v>
      </c>
      <c r="G140" s="562"/>
      <c r="H140" s="562"/>
      <c r="I140" s="562"/>
      <c r="J140" s="562"/>
      <c r="K140" s="562"/>
      <c r="L140" s="563"/>
    </row>
    <row r="141" spans="1:12">
      <c r="A141" s="101"/>
      <c r="B141" s="592"/>
      <c r="C141" s="561" t="s">
        <v>138</v>
      </c>
      <c r="D141" s="561"/>
      <c r="E141" s="561"/>
      <c r="F141" s="564">
        <f ca="1">OFFSET('Bateria indicadores proceso'!$C$3,(RIGHT(A118,3)),1)</f>
        <v>0.6</v>
      </c>
      <c r="G141" s="564"/>
      <c r="H141" s="564"/>
      <c r="I141" s="564"/>
      <c r="J141" s="564"/>
      <c r="K141" s="564"/>
      <c r="L141" s="565"/>
    </row>
    <row r="142" spans="1:12" ht="15.75" thickBot="1">
      <c r="A142" s="101"/>
      <c r="B142" s="592"/>
      <c r="C142" s="561" t="s">
        <v>139</v>
      </c>
      <c r="D142" s="561"/>
      <c r="E142" s="561"/>
      <c r="F142" s="564">
        <f ca="1">OFFSET('Bateria indicadores proceso'!$E$3,(RIGHT(A118,3)),1)</f>
        <v>0.06</v>
      </c>
      <c r="G142" s="564"/>
      <c r="H142" s="564"/>
      <c r="I142" s="564"/>
      <c r="J142" s="564"/>
      <c r="K142" s="564"/>
      <c r="L142" s="565"/>
    </row>
    <row r="143" spans="1:12" ht="16.5" thickBot="1">
      <c r="A143" s="101"/>
      <c r="B143" s="572" t="s">
        <v>140</v>
      </c>
      <c r="C143" s="573"/>
      <c r="D143" s="573"/>
      <c r="E143" s="573"/>
      <c r="F143" s="573"/>
      <c r="G143" s="573"/>
      <c r="H143" s="573"/>
      <c r="I143" s="573"/>
      <c r="J143" s="573"/>
      <c r="K143" s="573"/>
      <c r="L143" s="574"/>
    </row>
    <row r="144" spans="1:12">
      <c r="A144" s="101"/>
      <c r="B144" s="72" t="s">
        <v>142</v>
      </c>
      <c r="C144" s="561" t="str">
        <f ca="1">OFFSET('Bateria indicadores proceso'!$G$3,(RIGHT(A118,3)),1)</f>
        <v xml:space="preserve">Jefe de Oficina </v>
      </c>
      <c r="D144" s="561"/>
      <c r="E144" s="561"/>
      <c r="F144" s="561"/>
      <c r="G144" s="561"/>
      <c r="H144" s="561"/>
      <c r="I144" s="561"/>
      <c r="J144" s="561"/>
      <c r="K144" s="561"/>
      <c r="L144" s="566"/>
    </row>
    <row r="145" spans="1:12">
      <c r="A145" s="101"/>
      <c r="B145" s="72" t="s">
        <v>143</v>
      </c>
      <c r="C145" s="561" t="str">
        <f ca="1">OFFSET('Bateria indicadores proceso'!$F$3,(RIGHT(A118,3)),1)</f>
        <v>Oficina Asesora de Planeación</v>
      </c>
      <c r="D145" s="561"/>
      <c r="E145" s="561"/>
      <c r="F145" s="561"/>
      <c r="G145" s="561"/>
      <c r="H145" s="561"/>
      <c r="I145" s="561"/>
      <c r="J145" s="561"/>
      <c r="K145" s="561"/>
      <c r="L145" s="566"/>
    </row>
    <row r="146" spans="1:12">
      <c r="A146" s="101"/>
      <c r="B146" s="72" t="s">
        <v>144</v>
      </c>
      <c r="C146" s="598" t="str">
        <f ca="1">OFFSET('Bateria indicadores proceso'!$H$3,(RIGHT(A82,3)),1)</f>
        <v>sergio.arciniegas@mininterior.gov.co</v>
      </c>
      <c r="D146" s="598"/>
      <c r="E146" s="598"/>
      <c r="F146" s="598"/>
      <c r="G146" s="598"/>
      <c r="H146" s="598"/>
      <c r="I146" s="598"/>
      <c r="J146" s="598"/>
      <c r="K146" s="598"/>
      <c r="L146" s="599"/>
    </row>
    <row r="147" spans="1:12" ht="15.75" thickBot="1">
      <c r="A147" s="104"/>
      <c r="B147" s="74" t="s">
        <v>145</v>
      </c>
      <c r="C147" s="596" t="s">
        <v>146</v>
      </c>
      <c r="D147" s="596"/>
      <c r="E147" s="596"/>
      <c r="F147" s="596"/>
      <c r="G147" s="596"/>
      <c r="H147" s="596"/>
      <c r="I147" s="596"/>
      <c r="J147" s="596"/>
      <c r="K147" s="596"/>
      <c r="L147" s="597"/>
    </row>
    <row r="148" spans="1:12" ht="15.75" thickBot="1"/>
    <row r="149" spans="1:12" ht="21.75" thickBot="1">
      <c r="A149" s="586" t="s">
        <v>89</v>
      </c>
      <c r="B149" s="587"/>
      <c r="C149" s="587"/>
      <c r="D149" s="587"/>
      <c r="E149" s="587"/>
      <c r="F149" s="587"/>
      <c r="G149" s="587"/>
      <c r="H149" s="587"/>
      <c r="I149" s="587"/>
      <c r="J149" s="587"/>
      <c r="K149" s="587"/>
      <c r="L149" s="588"/>
    </row>
    <row r="150" spans="1:12" ht="32.25" thickBot="1">
      <c r="A150" s="69" t="s">
        <v>90</v>
      </c>
      <c r="B150" s="589" t="s">
        <v>91</v>
      </c>
      <c r="C150" s="589"/>
      <c r="D150" s="589"/>
      <c r="E150" s="589"/>
      <c r="F150" s="589"/>
      <c r="G150" s="589"/>
      <c r="H150" s="589"/>
      <c r="I150" s="589"/>
      <c r="J150" s="589"/>
      <c r="K150" s="589"/>
      <c r="L150" s="589"/>
    </row>
    <row r="151" spans="1:12" ht="16.5" thickBot="1">
      <c r="A151" s="100"/>
      <c r="B151" s="71" t="s">
        <v>92</v>
      </c>
      <c r="C151" s="575" t="s">
        <v>93</v>
      </c>
      <c r="D151" s="575"/>
      <c r="E151" s="575"/>
      <c r="F151" s="575"/>
      <c r="G151" s="575"/>
      <c r="H151" s="575"/>
      <c r="I151" s="575"/>
      <c r="J151" s="575"/>
      <c r="K151" s="575"/>
      <c r="L151" s="576"/>
    </row>
    <row r="152" spans="1:12" ht="16.5" thickBot="1">
      <c r="A152" s="101"/>
      <c r="B152" s="589" t="s">
        <v>94</v>
      </c>
      <c r="C152" s="590"/>
      <c r="D152" s="590"/>
      <c r="E152" s="590"/>
      <c r="F152" s="590"/>
      <c r="G152" s="590"/>
      <c r="H152" s="590"/>
      <c r="I152" s="590"/>
      <c r="J152" s="590"/>
      <c r="K152" s="590"/>
      <c r="L152" s="590"/>
    </row>
    <row r="153" spans="1:12">
      <c r="A153" s="101"/>
      <c r="B153" s="71" t="s">
        <v>95</v>
      </c>
      <c r="C153" s="559" t="s">
        <v>96</v>
      </c>
      <c r="D153" s="559"/>
      <c r="E153" s="559"/>
      <c r="F153" s="559"/>
      <c r="G153" s="559"/>
      <c r="H153" s="559"/>
      <c r="I153" s="559"/>
      <c r="J153" s="559"/>
      <c r="K153" s="559"/>
      <c r="L153" s="560"/>
    </row>
    <row r="154" spans="1:12">
      <c r="A154" s="102" t="s">
        <v>150</v>
      </c>
      <c r="B154" s="72" t="s">
        <v>98</v>
      </c>
      <c r="C154" s="559" t="str">
        <f ca="1">OFFSET('Bateria indicadores proceso'!$F$3,(RIGHT(A154,3)),1)</f>
        <v>Oficina Asesora de Planeación</v>
      </c>
      <c r="D154" s="559"/>
      <c r="E154" s="559"/>
      <c r="F154" s="559"/>
      <c r="G154" s="559"/>
      <c r="H154" s="559"/>
      <c r="I154" s="559"/>
      <c r="J154" s="559"/>
      <c r="K154" s="559"/>
      <c r="L154" s="560"/>
    </row>
    <row r="155" spans="1:12">
      <c r="A155" s="101"/>
      <c r="B155" s="72" t="s">
        <v>99</v>
      </c>
      <c r="C155" s="559" t="str">
        <f ca="1">OFFSET('Bateria indicadores proceso'!$K$3,(RIGHT(A154,3)),1)</f>
        <v>Sistema de Gestión Actualizado</v>
      </c>
      <c r="D155" s="559"/>
      <c r="E155" s="559"/>
      <c r="F155" s="559"/>
      <c r="G155" s="559"/>
      <c r="H155" s="559"/>
      <c r="I155" s="559"/>
      <c r="J155" s="559"/>
      <c r="K155" s="559"/>
      <c r="L155" s="560"/>
    </row>
    <row r="156" spans="1:12">
      <c r="A156" s="101"/>
      <c r="B156" s="72" t="s">
        <v>100</v>
      </c>
      <c r="C156" s="559" t="str">
        <f ca="1">OFFSET('Bateria indicadores proceso'!$I$3,(RIGHT(A154,3)),1)</f>
        <v>Eficacia</v>
      </c>
      <c r="D156" s="559"/>
      <c r="E156" s="559"/>
      <c r="F156" s="559"/>
      <c r="G156" s="559"/>
      <c r="H156" s="559"/>
      <c r="I156" s="559"/>
      <c r="J156" s="559"/>
      <c r="K156" s="559"/>
      <c r="L156" s="560"/>
    </row>
    <row r="157" spans="1:12" ht="15.75" thickBot="1">
      <c r="A157" s="103"/>
      <c r="B157" s="73" t="s">
        <v>101</v>
      </c>
      <c r="C157" s="559" t="str">
        <f ca="1">OFFSET('Bateria indicadores proceso'!$J$3,(RIGHT(A154,3)),1)</f>
        <v>Este indicador mide la actualización de los documentos que se encuentran en el Sistema Integral de Gestión Institucional,  mediante una relación entre los documentos actualizados y documentos solcitados, cuyo resultado se expresa en porcentaje, con el fin de evaluar el nivel de cumplimiento de la actividad e identificar los puntos criticos para el analisis de la toma de decisiones; su orientación es mantener</v>
      </c>
      <c r="D157" s="559"/>
      <c r="E157" s="559"/>
      <c r="F157" s="559"/>
      <c r="G157" s="559"/>
      <c r="H157" s="559"/>
      <c r="I157" s="559"/>
      <c r="J157" s="559"/>
      <c r="K157" s="559"/>
      <c r="L157" s="560"/>
    </row>
    <row r="158" spans="1:12" ht="16.5" thickBot="1">
      <c r="A158" s="103"/>
      <c r="B158" s="572" t="s">
        <v>102</v>
      </c>
      <c r="C158" s="573"/>
      <c r="D158" s="573"/>
      <c r="E158" s="573"/>
      <c r="F158" s="573"/>
      <c r="G158" s="573"/>
      <c r="H158" s="573"/>
      <c r="I158" s="573"/>
      <c r="J158" s="573"/>
      <c r="K158" s="573"/>
      <c r="L158" s="574"/>
    </row>
    <row r="159" spans="1:12">
      <c r="A159" s="101"/>
      <c r="B159" s="71" t="s">
        <v>103</v>
      </c>
      <c r="C159" s="559" t="str">
        <f ca="1">OFFSET('Bateria indicadores proceso'!$O$3,(RIGHT(A154,3)),1)</f>
        <v>Porcentaje</v>
      </c>
      <c r="D159" s="559"/>
      <c r="E159" s="559"/>
      <c r="F159" s="559"/>
      <c r="G159" s="559"/>
      <c r="H159" s="559"/>
      <c r="I159" s="559"/>
      <c r="J159" s="559"/>
      <c r="K159" s="559"/>
      <c r="L159" s="560"/>
    </row>
    <row r="160" spans="1:12" ht="24">
      <c r="A160" s="101"/>
      <c r="B160" s="72" t="s">
        <v>104</v>
      </c>
      <c r="C160" s="559"/>
      <c r="D160" s="559"/>
      <c r="E160" s="559"/>
      <c r="F160" s="559"/>
      <c r="G160" s="559"/>
      <c r="H160" s="559"/>
      <c r="I160" s="559"/>
      <c r="J160" s="559"/>
      <c r="K160" s="559"/>
      <c r="L160" s="560"/>
    </row>
    <row r="161" spans="1:12">
      <c r="A161" s="101"/>
      <c r="B161" s="72" t="s">
        <v>105</v>
      </c>
      <c r="C161" s="559" t="str">
        <f ca="1">OFFSET('Bateria indicadores proceso'!$L$3,(RIGHT(A154,3)),1)</f>
        <v>(Número de documentos por proceso actualizados/Número de documentos por proceso solicitados para actualización)*100</v>
      </c>
      <c r="D161" s="559"/>
      <c r="E161" s="559"/>
      <c r="F161" s="559"/>
      <c r="G161" s="559"/>
      <c r="H161" s="559"/>
      <c r="I161" s="559"/>
      <c r="J161" s="559"/>
      <c r="K161" s="559"/>
      <c r="L161" s="560"/>
    </row>
    <row r="162" spans="1:12">
      <c r="A162" s="101"/>
      <c r="B162" s="72" t="s">
        <v>106</v>
      </c>
      <c r="C162" s="559" t="str">
        <f ca="1">OFFSET('Bateria indicadores proceso'!$Z$3,(RIGHT(A154,3)),1)</f>
        <v>Trimestral</v>
      </c>
      <c r="D162" s="559"/>
      <c r="E162" s="559"/>
      <c r="F162" s="559"/>
      <c r="G162" s="559"/>
      <c r="H162" s="559"/>
      <c r="I162" s="559"/>
      <c r="J162" s="559"/>
      <c r="K162" s="559"/>
      <c r="L162" s="560"/>
    </row>
    <row r="163" spans="1:12">
      <c r="A163" s="101"/>
      <c r="B163" s="72" t="s">
        <v>107</v>
      </c>
      <c r="C163" s="559" t="str">
        <f ca="1">OFFSET('Bateria indicadores proceso'!$X$3,(RIGHT(A154,3)),1)</f>
        <v xml:space="preserve">Sistema Integrado de Gestión Institucional </v>
      </c>
      <c r="D163" s="559"/>
      <c r="E163" s="559"/>
      <c r="F163" s="559"/>
      <c r="G163" s="559"/>
      <c r="H163" s="559"/>
      <c r="I163" s="559"/>
      <c r="J163" s="559"/>
      <c r="K163" s="559"/>
      <c r="L163" s="560"/>
    </row>
    <row r="164" spans="1:12">
      <c r="A164" s="101"/>
      <c r="B164" s="72" t="s">
        <v>108</v>
      </c>
      <c r="C164" s="561">
        <f ca="1">OFFSET('Bateria indicadores proceso'!$P$3,(RIGHT(A154,3)),1)</f>
        <v>2023</v>
      </c>
      <c r="D164" s="561"/>
      <c r="E164" s="561"/>
      <c r="F164" s="561"/>
      <c r="G164" s="561"/>
      <c r="H164" s="561"/>
      <c r="I164" s="561"/>
      <c r="J164" s="561"/>
      <c r="K164" s="561"/>
      <c r="L164" s="566"/>
    </row>
    <row r="165" spans="1:12">
      <c r="A165" s="101"/>
      <c r="B165" s="72" t="s">
        <v>109</v>
      </c>
      <c r="C165" s="561" t="str">
        <f ca="1">IF(C159="Número",TEXT(OFFSET('Bateria indicadores proceso'!$Q$3,(RIGHT(A154,3)),1),"######"),TEXT(OFFSET('Bateria indicadores proceso'!$Q$3,(RIGHT(A154,3)),1),"0.0%"))</f>
        <v>100%</v>
      </c>
      <c r="D165" s="561"/>
      <c r="E165" s="561"/>
      <c r="F165" s="561"/>
      <c r="G165" s="561"/>
      <c r="H165" s="561"/>
      <c r="I165" s="561"/>
      <c r="J165" s="561"/>
      <c r="K165" s="561"/>
      <c r="L165" s="566"/>
    </row>
    <row r="166" spans="1:12">
      <c r="A166" s="101"/>
      <c r="B166" s="72" t="s">
        <v>110</v>
      </c>
      <c r="C166" s="593">
        <f ca="1">+OFFSET('Bateria indicadores proceso'!$R$3,(RIGHT(A154,3)),1)</f>
        <v>46022</v>
      </c>
      <c r="D166" s="593"/>
      <c r="E166" s="593"/>
      <c r="F166" s="593"/>
      <c r="G166" s="593"/>
      <c r="H166" s="593"/>
      <c r="I166" s="593"/>
      <c r="J166" s="593"/>
      <c r="K166" s="593"/>
      <c r="L166" s="594"/>
    </row>
    <row r="167" spans="1:12">
      <c r="A167" s="101"/>
      <c r="B167" s="72" t="s">
        <v>111</v>
      </c>
      <c r="C167" s="561" t="str">
        <f ca="1">OFFSET('Bateria indicadores proceso'!$M$3,(RIGHT(A154,3)),1)</f>
        <v>Mantener</v>
      </c>
      <c r="D167" s="561"/>
      <c r="E167" s="561"/>
      <c r="F167" s="561"/>
      <c r="G167" s="561"/>
      <c r="H167" s="561"/>
      <c r="I167" s="561"/>
      <c r="J167" s="561"/>
      <c r="K167" s="561"/>
      <c r="L167" s="566"/>
    </row>
    <row r="168" spans="1:12">
      <c r="A168" s="101"/>
      <c r="B168" s="72" t="s">
        <v>112</v>
      </c>
      <c r="C168" s="561" t="str">
        <f ca="1">OFFSET('Bateria indicadores proceso'!$N$3,(RIGHT(A154,3)),1)</f>
        <v>Stock</v>
      </c>
      <c r="D168" s="561"/>
      <c r="E168" s="561"/>
      <c r="F168" s="561"/>
      <c r="G168" s="561"/>
      <c r="H168" s="561"/>
      <c r="I168" s="561"/>
      <c r="J168" s="561"/>
      <c r="K168" s="561"/>
      <c r="L168" s="566"/>
    </row>
    <row r="169" spans="1:12">
      <c r="A169" s="101"/>
      <c r="B169" s="72" t="s">
        <v>113</v>
      </c>
      <c r="C169" s="561" t="str">
        <f ca="1">IF(C159="Número",TEXT(OFFSET('Bateria indicadores proceso'!$W$3,(RIGHT(A154,3)),1),"######"),TEXT(OFFSET('Bateria indicadores proceso'!$W$3,(RIGHT(A154,3)),1),"0.0%"))</f>
        <v>100%</v>
      </c>
      <c r="D169" s="561"/>
      <c r="E169" s="561"/>
      <c r="F169" s="561"/>
      <c r="G169" s="561"/>
      <c r="H169" s="561"/>
      <c r="I169" s="561"/>
      <c r="J169" s="561"/>
      <c r="K169" s="561"/>
      <c r="L169" s="566"/>
    </row>
    <row r="170" spans="1:12">
      <c r="A170" s="101"/>
      <c r="B170" s="595" t="s">
        <v>114</v>
      </c>
      <c r="C170" s="70" t="s">
        <v>115</v>
      </c>
      <c r="D170" s="70" t="s">
        <v>116</v>
      </c>
      <c r="E170" s="70" t="s">
        <v>117</v>
      </c>
      <c r="F170" s="70" t="s">
        <v>118</v>
      </c>
      <c r="J170" s="75"/>
      <c r="K170" s="75"/>
      <c r="L170" s="76"/>
    </row>
    <row r="171" spans="1:12">
      <c r="A171" s="101"/>
      <c r="B171" s="595"/>
      <c r="C171" s="70" t="str">
        <f ca="1">IF(C159="Número",TEXT(OFFSET('Bateria indicadores proceso'!$S$3,(RIGHT(A154,3)),1),"######"),TEXT(OFFSET('Bateria indicadores proceso'!$S$3,(RIGHT(A154,3)),1),"0.0%"))</f>
        <v>100%</v>
      </c>
      <c r="D171" s="70" t="str">
        <f ca="1">IF(C159="Número",TEXT(OFFSET('Bateria indicadores proceso'!$T$3,(RIGHT(A154,3)),1),"######"),TEXT(OFFSET('Bateria indicadores proceso'!$T$3,(RIGHT(A154,3)),1),"0.0%"))</f>
        <v>100%</v>
      </c>
      <c r="E171" s="70" t="str">
        <f ca="1">IF(C159="Número",TEXT(OFFSET('Bateria indicadores proceso'!$U$3,(RIGHT(A154,3)),1),"######"),TEXT(OFFSET('Bateria indicadores proceso'!$U$3,(RIGHT(A154,3)),1),"0.0%"))</f>
        <v>100%</v>
      </c>
      <c r="F171" s="70" t="str">
        <f ca="1">IF(C159="Número",TEXT(OFFSET('Bateria indicadores proceso'!$V$3,(RIGHT(A154,3)),1),"######"),TEXT(OFFSET('Bateria indicadores proceso'!$V$3,(RIGHT(A154,3)),1),"0.0%"))</f>
        <v>100%</v>
      </c>
      <c r="J171" s="77"/>
      <c r="K171" s="77"/>
      <c r="L171" s="78"/>
    </row>
    <row r="172" spans="1:12">
      <c r="A172" s="101"/>
      <c r="B172" s="600" t="s">
        <v>119</v>
      </c>
      <c r="C172" s="567" t="s">
        <v>120</v>
      </c>
      <c r="D172" s="568"/>
      <c r="E172" s="567" t="s">
        <v>121</v>
      </c>
      <c r="F172" s="568"/>
      <c r="G172" s="567" t="s">
        <v>122</v>
      </c>
      <c r="H172" s="568"/>
      <c r="I172" s="567" t="s">
        <v>123</v>
      </c>
      <c r="J172" s="568"/>
      <c r="K172" s="567" t="s">
        <v>124</v>
      </c>
      <c r="L172" s="569"/>
    </row>
    <row r="173" spans="1:12">
      <c r="A173" s="101"/>
      <c r="B173" s="601"/>
      <c r="C173" s="570" t="s">
        <v>125</v>
      </c>
      <c r="D173" s="571"/>
      <c r="E173" s="577" t="s">
        <v>126</v>
      </c>
      <c r="F173" s="578"/>
      <c r="G173" s="579" t="s">
        <v>127</v>
      </c>
      <c r="H173" s="580"/>
      <c r="I173" s="581" t="s">
        <v>128</v>
      </c>
      <c r="J173" s="582"/>
      <c r="K173" s="583" t="s">
        <v>129</v>
      </c>
      <c r="L173" s="584"/>
    </row>
    <row r="174" spans="1:12">
      <c r="A174" s="101"/>
      <c r="B174" s="602"/>
      <c r="C174" s="567" t="s">
        <v>130</v>
      </c>
      <c r="D174" s="568"/>
      <c r="E174" s="567" t="s">
        <v>131</v>
      </c>
      <c r="F174" s="568"/>
      <c r="G174" s="585" t="s">
        <v>132</v>
      </c>
      <c r="H174" s="568"/>
      <c r="I174" s="567" t="s">
        <v>133</v>
      </c>
      <c r="J174" s="568"/>
      <c r="K174" s="567" t="s">
        <v>134</v>
      </c>
      <c r="L174" s="569"/>
    </row>
    <row r="175" spans="1:12">
      <c r="A175" s="101"/>
      <c r="B175" s="72" t="s">
        <v>135</v>
      </c>
      <c r="C175" s="559" t="str">
        <f ca="1">OFFSET('Bateria indicadores proceso'!$Y$3,(RIGHT(A154,3)),1)</f>
        <v>Listado de Documentos Actualizados en la vigencia</v>
      </c>
      <c r="D175" s="559"/>
      <c r="E175" s="559"/>
      <c r="F175" s="559"/>
      <c r="G175" s="559"/>
      <c r="H175" s="559"/>
      <c r="I175" s="559"/>
      <c r="J175" s="559"/>
      <c r="K175" s="559"/>
      <c r="L175" s="560"/>
    </row>
    <row r="176" spans="1:12">
      <c r="A176" s="101"/>
      <c r="B176" s="591" t="s">
        <v>136</v>
      </c>
      <c r="C176" s="561" t="s">
        <v>137</v>
      </c>
      <c r="D176" s="561"/>
      <c r="E176" s="561"/>
      <c r="F176" s="562" t="str">
        <f ca="1">OFFSET('Bateria indicadores proceso'!$B$3,(RIGHT(A154,3)),1)</f>
        <v>PLANEACIÓN, DIRECCIONAMIENTO ESTRATÉGICO Y COMUNICACIONES</v>
      </c>
      <c r="G176" s="562"/>
      <c r="H176" s="562"/>
      <c r="I176" s="562"/>
      <c r="J176" s="562"/>
      <c r="K176" s="562"/>
      <c r="L176" s="563"/>
    </row>
    <row r="177" spans="1:12">
      <c r="A177" s="101"/>
      <c r="B177" s="592"/>
      <c r="C177" s="561" t="s">
        <v>138</v>
      </c>
      <c r="D177" s="561"/>
      <c r="E177" s="561"/>
      <c r="F177" s="564">
        <f ca="1">OFFSET('Bateria indicadores proceso'!$C$3,(RIGHT(A154,3)),1)</f>
        <v>0.6</v>
      </c>
      <c r="G177" s="564"/>
      <c r="H177" s="564"/>
      <c r="I177" s="564"/>
      <c r="J177" s="564"/>
      <c r="K177" s="564"/>
      <c r="L177" s="565"/>
    </row>
    <row r="178" spans="1:12" ht="15.75" thickBot="1">
      <c r="A178" s="101"/>
      <c r="B178" s="592"/>
      <c r="C178" s="561" t="s">
        <v>139</v>
      </c>
      <c r="D178" s="561"/>
      <c r="E178" s="561"/>
      <c r="F178" s="564">
        <f ca="1">OFFSET('Bateria indicadores proceso'!$E$3,(RIGHT(A154,3)),1)</f>
        <v>0.1</v>
      </c>
      <c r="G178" s="564"/>
      <c r="H178" s="564"/>
      <c r="I178" s="564"/>
      <c r="J178" s="564"/>
      <c r="K178" s="564"/>
      <c r="L178" s="565"/>
    </row>
    <row r="179" spans="1:12" ht="16.5" thickBot="1">
      <c r="A179" s="101"/>
      <c r="B179" s="572" t="s">
        <v>140</v>
      </c>
      <c r="C179" s="573"/>
      <c r="D179" s="573"/>
      <c r="E179" s="573"/>
      <c r="F179" s="573"/>
      <c r="G179" s="573"/>
      <c r="H179" s="573"/>
      <c r="I179" s="573"/>
      <c r="J179" s="573"/>
      <c r="K179" s="573"/>
      <c r="L179" s="574"/>
    </row>
    <row r="180" spans="1:12">
      <c r="A180" s="101"/>
      <c r="B180" s="72" t="s">
        <v>142</v>
      </c>
      <c r="C180" s="561" t="str">
        <f ca="1">OFFSET('Bateria indicadores proceso'!$G$3,(RIGHT(A154,3)),1)</f>
        <v xml:space="preserve">Jefe de Oficina </v>
      </c>
      <c r="D180" s="561"/>
      <c r="E180" s="561"/>
      <c r="F180" s="561"/>
      <c r="G180" s="561"/>
      <c r="H180" s="561"/>
      <c r="I180" s="561"/>
      <c r="J180" s="561"/>
      <c r="K180" s="561"/>
      <c r="L180" s="566"/>
    </row>
    <row r="181" spans="1:12">
      <c r="A181" s="101"/>
      <c r="B181" s="72" t="s">
        <v>143</v>
      </c>
      <c r="C181" s="561" t="str">
        <f ca="1">OFFSET('Bateria indicadores proceso'!$F$3,(RIGHT(A154,3)),1)</f>
        <v>Oficina Asesora de Planeación</v>
      </c>
      <c r="D181" s="561"/>
      <c r="E181" s="561"/>
      <c r="F181" s="561"/>
      <c r="G181" s="561"/>
      <c r="H181" s="561"/>
      <c r="I181" s="561"/>
      <c r="J181" s="561"/>
      <c r="K181" s="561"/>
      <c r="L181" s="566"/>
    </row>
    <row r="182" spans="1:12">
      <c r="A182" s="101"/>
      <c r="B182" s="72" t="s">
        <v>144</v>
      </c>
      <c r="C182" s="598" t="str">
        <f ca="1">OFFSET('Bateria indicadores proceso'!$H$3,(RIGHT(A154,3)),1)</f>
        <v>sergio.arciniegas@mininterior.gov.co</v>
      </c>
      <c r="D182" s="598"/>
      <c r="E182" s="598"/>
      <c r="F182" s="598"/>
      <c r="G182" s="598"/>
      <c r="H182" s="598"/>
      <c r="I182" s="598"/>
      <c r="J182" s="598"/>
      <c r="K182" s="598"/>
      <c r="L182" s="599"/>
    </row>
    <row r="183" spans="1:12" ht="15.75" thickBot="1">
      <c r="A183" s="104"/>
      <c r="B183" s="74" t="s">
        <v>145</v>
      </c>
      <c r="C183" s="596" t="s">
        <v>146</v>
      </c>
      <c r="D183" s="596"/>
      <c r="E183" s="596"/>
      <c r="F183" s="596"/>
      <c r="G183" s="596"/>
      <c r="H183" s="596"/>
      <c r="I183" s="596"/>
      <c r="J183" s="596"/>
      <c r="K183" s="596"/>
      <c r="L183" s="597"/>
    </row>
    <row r="184" spans="1:12" ht="15.75" thickBot="1"/>
    <row r="185" spans="1:12" ht="21.75" thickBot="1">
      <c r="A185" s="586" t="s">
        <v>89</v>
      </c>
      <c r="B185" s="587"/>
      <c r="C185" s="587"/>
      <c r="D185" s="587"/>
      <c r="E185" s="587"/>
      <c r="F185" s="587"/>
      <c r="G185" s="587"/>
      <c r="H185" s="587"/>
      <c r="I185" s="587"/>
      <c r="J185" s="587"/>
      <c r="K185" s="587"/>
      <c r="L185" s="588"/>
    </row>
    <row r="186" spans="1:12" ht="32.25" thickBot="1">
      <c r="A186" s="69" t="s">
        <v>90</v>
      </c>
      <c r="B186" s="589" t="s">
        <v>91</v>
      </c>
      <c r="C186" s="589"/>
      <c r="D186" s="589"/>
      <c r="E186" s="589"/>
      <c r="F186" s="589"/>
      <c r="G186" s="589"/>
      <c r="H186" s="589"/>
      <c r="I186" s="589"/>
      <c r="J186" s="589"/>
      <c r="K186" s="589"/>
      <c r="L186" s="589"/>
    </row>
    <row r="187" spans="1:12" ht="16.5" thickBot="1">
      <c r="A187" s="100"/>
      <c r="B187" s="71" t="s">
        <v>92</v>
      </c>
      <c r="C187" s="575" t="s">
        <v>93</v>
      </c>
      <c r="D187" s="575"/>
      <c r="E187" s="575"/>
      <c r="F187" s="575"/>
      <c r="G187" s="575"/>
      <c r="H187" s="575"/>
      <c r="I187" s="575"/>
      <c r="J187" s="575"/>
      <c r="K187" s="575"/>
      <c r="L187" s="576"/>
    </row>
    <row r="188" spans="1:12" ht="16.5" thickBot="1">
      <c r="A188" s="101"/>
      <c r="B188" s="589" t="s">
        <v>94</v>
      </c>
      <c r="C188" s="590"/>
      <c r="D188" s="590"/>
      <c r="E188" s="590"/>
      <c r="F188" s="590"/>
      <c r="G188" s="590"/>
      <c r="H188" s="590"/>
      <c r="I188" s="590"/>
      <c r="J188" s="590"/>
      <c r="K188" s="590"/>
      <c r="L188" s="590"/>
    </row>
    <row r="189" spans="1:12">
      <c r="A189" s="101"/>
      <c r="B189" s="71" t="s">
        <v>95</v>
      </c>
      <c r="C189" s="559" t="s">
        <v>96</v>
      </c>
      <c r="D189" s="559"/>
      <c r="E189" s="559"/>
      <c r="F189" s="559"/>
      <c r="G189" s="559"/>
      <c r="H189" s="559"/>
      <c r="I189" s="559"/>
      <c r="J189" s="559"/>
      <c r="K189" s="559"/>
      <c r="L189" s="560"/>
    </row>
    <row r="190" spans="1:12">
      <c r="A190" s="102" t="s">
        <v>151</v>
      </c>
      <c r="B190" s="72" t="s">
        <v>98</v>
      </c>
      <c r="C190" s="559" t="str">
        <f ca="1">OFFSET('Bateria indicadores proceso'!$F$3,(RIGHT(A190,3)),1)</f>
        <v>Oficina Asesora de Planeación</v>
      </c>
      <c r="D190" s="559"/>
      <c r="E190" s="559"/>
      <c r="F190" s="559"/>
      <c r="G190" s="559"/>
      <c r="H190" s="559"/>
      <c r="I190" s="559"/>
      <c r="J190" s="559"/>
      <c r="K190" s="559"/>
      <c r="L190" s="560"/>
    </row>
    <row r="191" spans="1:12">
      <c r="A191" s="101"/>
      <c r="B191" s="72" t="s">
        <v>99</v>
      </c>
      <c r="C191" s="559" t="str">
        <f ca="1">OFFSET('Bateria indicadores proceso'!$K$3,(RIGHT(A190,3)),1)</f>
        <v>Nivel de Cumplimiento de Indicadores de Proceso Trimestralmente</v>
      </c>
      <c r="D191" s="559"/>
      <c r="E191" s="559"/>
      <c r="F191" s="559"/>
      <c r="G191" s="559"/>
      <c r="H191" s="559"/>
      <c r="I191" s="559"/>
      <c r="J191" s="559"/>
      <c r="K191" s="559"/>
      <c r="L191" s="560"/>
    </row>
    <row r="192" spans="1:12">
      <c r="A192" s="101"/>
      <c r="B192" s="72" t="s">
        <v>100</v>
      </c>
      <c r="C192" s="559" t="str">
        <f ca="1">OFFSET('Bateria indicadores proceso'!$I$3,(RIGHT(A190,3)),1)</f>
        <v>Eficacia</v>
      </c>
      <c r="D192" s="559"/>
      <c r="E192" s="559"/>
      <c r="F192" s="559"/>
      <c r="G192" s="559"/>
      <c r="H192" s="559"/>
      <c r="I192" s="559"/>
      <c r="J192" s="559"/>
      <c r="K192" s="559"/>
      <c r="L192" s="560"/>
    </row>
    <row r="193" spans="1:12" ht="15.75" thickBot="1">
      <c r="A193" s="103"/>
      <c r="B193" s="73" t="s">
        <v>101</v>
      </c>
      <c r="C193" s="559" t="str">
        <f ca="1">OFFSET('Bateria indicadores proceso'!$J$3,(RIGHT(A190,3)),1)</f>
        <v>Este indicador mide el nivel de cumplimiento de las metas definidas de los Indicadores de la Red de Proceso durante cada trimestre, mediante la relación entre los indicadores que cumplieron la meta establecida para dicho periodo y la totalidad de los indicadores vigente en el Ministerio del Interior, cuyo resultado  evalua el desempeño y el avance de la Red de Proceso de la entidad. con el fin de identificar los puntos criticos y la buena toma de decisiones.</v>
      </c>
      <c r="D193" s="559"/>
      <c r="E193" s="559"/>
      <c r="F193" s="559"/>
      <c r="G193" s="559"/>
      <c r="H193" s="559"/>
      <c r="I193" s="559"/>
      <c r="J193" s="559"/>
      <c r="K193" s="559"/>
      <c r="L193" s="560"/>
    </row>
    <row r="194" spans="1:12" ht="16.5" thickBot="1">
      <c r="A194" s="103"/>
      <c r="B194" s="572" t="s">
        <v>102</v>
      </c>
      <c r="C194" s="573"/>
      <c r="D194" s="573"/>
      <c r="E194" s="573"/>
      <c r="F194" s="573"/>
      <c r="G194" s="573"/>
      <c r="H194" s="573"/>
      <c r="I194" s="573"/>
      <c r="J194" s="573"/>
      <c r="K194" s="573"/>
      <c r="L194" s="574"/>
    </row>
    <row r="195" spans="1:12">
      <c r="A195" s="101"/>
      <c r="B195" s="71" t="s">
        <v>103</v>
      </c>
      <c r="C195" s="559" t="str">
        <f ca="1">OFFSET('Bateria indicadores proceso'!$O$3,(RIGHT(A190,3)),1)</f>
        <v>Porcentaje</v>
      </c>
      <c r="D195" s="559"/>
      <c r="E195" s="559"/>
      <c r="F195" s="559"/>
      <c r="G195" s="559"/>
      <c r="H195" s="559"/>
      <c r="I195" s="559"/>
      <c r="J195" s="559"/>
      <c r="K195" s="559"/>
      <c r="L195" s="560"/>
    </row>
    <row r="196" spans="1:12" ht="24">
      <c r="A196" s="101"/>
      <c r="B196" s="72" t="s">
        <v>104</v>
      </c>
      <c r="C196" s="559"/>
      <c r="D196" s="559"/>
      <c r="E196" s="559"/>
      <c r="F196" s="559"/>
      <c r="G196" s="559"/>
      <c r="H196" s="559"/>
      <c r="I196" s="559"/>
      <c r="J196" s="559"/>
      <c r="K196" s="559"/>
      <c r="L196" s="560"/>
    </row>
    <row r="197" spans="1:12">
      <c r="A197" s="101"/>
      <c r="B197" s="72" t="s">
        <v>105</v>
      </c>
      <c r="C197" s="559" t="str">
        <f ca="1">OFFSET('Bateria indicadores proceso'!$L$3,(RIGHT(A190,3)),1)</f>
        <v>(Total indicadores de proceso que cumplen con la meta por trimestre/ Total de indicadores de proceso por trimestre) * 100</v>
      </c>
      <c r="D197" s="559"/>
      <c r="E197" s="559"/>
      <c r="F197" s="559"/>
      <c r="G197" s="559"/>
      <c r="H197" s="559"/>
      <c r="I197" s="559"/>
      <c r="J197" s="559"/>
      <c r="K197" s="559"/>
      <c r="L197" s="560"/>
    </row>
    <row r="198" spans="1:12">
      <c r="A198" s="101"/>
      <c r="B198" s="72" t="s">
        <v>106</v>
      </c>
      <c r="C198" s="559" t="str">
        <f ca="1">OFFSET('Bateria indicadores proceso'!$Z$3,(RIGHT(A190,3)),1)</f>
        <v>Trimestral</v>
      </c>
      <c r="D198" s="559"/>
      <c r="E198" s="559"/>
      <c r="F198" s="559"/>
      <c r="G198" s="559"/>
      <c r="H198" s="559"/>
      <c r="I198" s="559"/>
      <c r="J198" s="559"/>
      <c r="K198" s="559"/>
      <c r="L198" s="560"/>
    </row>
    <row r="199" spans="1:12">
      <c r="A199" s="101"/>
      <c r="B199" s="72" t="s">
        <v>107</v>
      </c>
      <c r="C199" s="559" t="str">
        <f ca="1">OFFSET('Bateria indicadores proceso'!$X$3,(RIGHT(A190,3)),1)</f>
        <v>Seguimiento a los Indicadores de la Red de Procesos</v>
      </c>
      <c r="D199" s="559"/>
      <c r="E199" s="559"/>
      <c r="F199" s="559"/>
      <c r="G199" s="559"/>
      <c r="H199" s="559"/>
      <c r="I199" s="559"/>
      <c r="J199" s="559"/>
      <c r="K199" s="559"/>
      <c r="L199" s="560"/>
    </row>
    <row r="200" spans="1:12">
      <c r="A200" s="101"/>
      <c r="B200" s="72" t="s">
        <v>108</v>
      </c>
      <c r="C200" s="561">
        <f ca="1">OFFSET('Bateria indicadores proceso'!$P$3,(RIGHT(A190,3)),1)</f>
        <v>2025</v>
      </c>
      <c r="D200" s="561"/>
      <c r="E200" s="561"/>
      <c r="F200" s="561"/>
      <c r="G200" s="561"/>
      <c r="H200" s="561"/>
      <c r="I200" s="561"/>
      <c r="J200" s="561"/>
      <c r="K200" s="561"/>
      <c r="L200" s="566"/>
    </row>
    <row r="201" spans="1:12">
      <c r="A201" s="101"/>
      <c r="B201" s="72" t="s">
        <v>109</v>
      </c>
      <c r="C201" s="561" t="str">
        <f ca="1">IF(C195="Número",TEXT(OFFSET('Bateria indicadores proceso'!$Q$3,(RIGHT(A190,3)),1),"######"),TEXT(OFFSET('Bateria indicadores proceso'!$Q$3,(RIGHT(A190,3)),1),"0.0%"))</f>
        <v>80%</v>
      </c>
      <c r="D201" s="561"/>
      <c r="E201" s="561"/>
      <c r="F201" s="561"/>
      <c r="G201" s="561"/>
      <c r="H201" s="561"/>
      <c r="I201" s="561"/>
      <c r="J201" s="561"/>
      <c r="K201" s="561"/>
      <c r="L201" s="566"/>
    </row>
    <row r="202" spans="1:12">
      <c r="A202" s="101"/>
      <c r="B202" s="72" t="s">
        <v>110</v>
      </c>
      <c r="C202" s="593">
        <f ca="1">+OFFSET('Bateria indicadores proceso'!$R$3,(RIGHT(A190,3)),1)</f>
        <v>46022</v>
      </c>
      <c r="D202" s="593"/>
      <c r="E202" s="593"/>
      <c r="F202" s="593"/>
      <c r="G202" s="593"/>
      <c r="H202" s="593"/>
      <c r="I202" s="593"/>
      <c r="J202" s="593"/>
      <c r="K202" s="593"/>
      <c r="L202" s="594"/>
    </row>
    <row r="203" spans="1:12">
      <c r="A203" s="101"/>
      <c r="B203" s="72" t="s">
        <v>111</v>
      </c>
      <c r="C203" s="561" t="str">
        <f ca="1">OFFSET('Bateria indicadores proceso'!$M$3,(RIGHT(A190,3)),1)</f>
        <v>Incrementar</v>
      </c>
      <c r="D203" s="561"/>
      <c r="E203" s="561"/>
      <c r="F203" s="561"/>
      <c r="G203" s="561"/>
      <c r="H203" s="561"/>
      <c r="I203" s="561"/>
      <c r="J203" s="561"/>
      <c r="K203" s="561"/>
      <c r="L203" s="566"/>
    </row>
    <row r="204" spans="1:12">
      <c r="A204" s="101"/>
      <c r="B204" s="72" t="s">
        <v>112</v>
      </c>
      <c r="C204" s="561" t="str">
        <f ca="1">OFFSET('Bateria indicadores proceso'!$N$3,(RIGHT(A190,3)),1)</f>
        <v>Flujo</v>
      </c>
      <c r="D204" s="561"/>
      <c r="E204" s="561"/>
      <c r="F204" s="561"/>
      <c r="G204" s="561"/>
      <c r="H204" s="561"/>
      <c r="I204" s="561"/>
      <c r="J204" s="561"/>
      <c r="K204" s="561"/>
      <c r="L204" s="566"/>
    </row>
    <row r="205" spans="1:12">
      <c r="A205" s="101"/>
      <c r="B205" s="72" t="s">
        <v>113</v>
      </c>
      <c r="C205" s="561" t="str">
        <f ca="1">IF(C195="Número",TEXT(OFFSET('Bateria indicadores proceso'!$W$3,(RIGHT(A190,3)),1),"######"),TEXT(OFFSET('Bateria indicadores proceso'!$W$3,(RIGHT(A190,3)),1),"0.0%"))</f>
        <v>80%</v>
      </c>
      <c r="D205" s="561"/>
      <c r="E205" s="561"/>
      <c r="F205" s="561"/>
      <c r="G205" s="561"/>
      <c r="H205" s="561"/>
      <c r="I205" s="561"/>
      <c r="J205" s="561"/>
      <c r="K205" s="561"/>
      <c r="L205" s="566"/>
    </row>
    <row r="206" spans="1:12">
      <c r="A206" s="101"/>
      <c r="B206" s="595" t="s">
        <v>114</v>
      </c>
      <c r="C206" s="70" t="s">
        <v>115</v>
      </c>
      <c r="D206" s="70" t="s">
        <v>116</v>
      </c>
      <c r="E206" s="70" t="s">
        <v>117</v>
      </c>
      <c r="F206" s="70" t="s">
        <v>118</v>
      </c>
      <c r="J206" s="75"/>
      <c r="K206" s="75"/>
      <c r="L206" s="76"/>
    </row>
    <row r="207" spans="1:12">
      <c r="A207" s="101"/>
      <c r="B207" s="595"/>
      <c r="C207" s="70" t="str">
        <f ca="1">IF(C195="Número",TEXT(OFFSET('Bateria indicadores proceso'!$S$3,(RIGHT(A190,3)),1),"######"),TEXT(OFFSET('Bateria indicadores proceso'!$S$3,(RIGHT(A190,3)),1),"0.0%"))</f>
        <v>80%</v>
      </c>
      <c r="D207" s="70" t="str">
        <f ca="1">IF(C195="Número",TEXT(OFFSET('Bateria indicadores proceso'!$T$3,(RIGHT(A190,3)),1),"######"),TEXT(OFFSET('Bateria indicadores proceso'!$T$3,(RIGHT(A190,3)),1),"0.0%"))</f>
        <v>80%</v>
      </c>
      <c r="E207" s="70" t="str">
        <f ca="1">IF(C195="Número",TEXT(OFFSET('Bateria indicadores proceso'!$U$3,(RIGHT(A190,3)),1),"######"),TEXT(OFFSET('Bateria indicadores proceso'!$U$3,(RIGHT(A190,3)),1),"0.0%"))</f>
        <v>80%</v>
      </c>
      <c r="F207" s="70" t="str">
        <f ca="1">IF(C195="Número",TEXT(OFFSET('Bateria indicadores proceso'!$V$3,(RIGHT(A190,3)),1),"######"),TEXT(OFFSET('Bateria indicadores proceso'!$V$3,(RIGHT(A190,3)),1),"0.0%"))</f>
        <v>80%</v>
      </c>
      <c r="J207" s="77"/>
      <c r="K207" s="77"/>
      <c r="L207" s="78"/>
    </row>
    <row r="208" spans="1:12">
      <c r="A208" s="101"/>
      <c r="B208" s="600" t="s">
        <v>119</v>
      </c>
      <c r="C208" s="567" t="s">
        <v>120</v>
      </c>
      <c r="D208" s="568"/>
      <c r="E208" s="567" t="s">
        <v>121</v>
      </c>
      <c r="F208" s="568"/>
      <c r="G208" s="567" t="s">
        <v>122</v>
      </c>
      <c r="H208" s="568"/>
      <c r="I208" s="567" t="s">
        <v>123</v>
      </c>
      <c r="J208" s="568"/>
      <c r="K208" s="567" t="s">
        <v>124</v>
      </c>
      <c r="L208" s="569"/>
    </row>
    <row r="209" spans="1:12">
      <c r="A209" s="101"/>
      <c r="B209" s="601"/>
      <c r="C209" s="570" t="s">
        <v>125</v>
      </c>
      <c r="D209" s="571"/>
      <c r="E209" s="577" t="s">
        <v>126</v>
      </c>
      <c r="F209" s="578"/>
      <c r="G209" s="579" t="s">
        <v>127</v>
      </c>
      <c r="H209" s="580"/>
      <c r="I209" s="581" t="s">
        <v>128</v>
      </c>
      <c r="J209" s="582"/>
      <c r="K209" s="583" t="s">
        <v>129</v>
      </c>
      <c r="L209" s="584"/>
    </row>
    <row r="210" spans="1:12">
      <c r="A210" s="101"/>
      <c r="B210" s="602"/>
      <c r="C210" s="567" t="s">
        <v>130</v>
      </c>
      <c r="D210" s="568"/>
      <c r="E210" s="567" t="s">
        <v>131</v>
      </c>
      <c r="F210" s="568"/>
      <c r="G210" s="585" t="s">
        <v>132</v>
      </c>
      <c r="H210" s="568"/>
      <c r="I210" s="567" t="s">
        <v>133</v>
      </c>
      <c r="J210" s="568"/>
      <c r="K210" s="567" t="s">
        <v>134</v>
      </c>
      <c r="L210" s="569"/>
    </row>
    <row r="211" spans="1:12">
      <c r="A211" s="101"/>
      <c r="B211" s="72" t="s">
        <v>135</v>
      </c>
      <c r="C211" s="559" t="str">
        <f ca="1">OFFSET('Bateria indicadores proceso'!$Y$3,(RIGHT(A190,3)),1)</f>
        <v>FICHAS TÉCNICAS, AVANCE Y TABLERO DE CONTROL DE INDICADORES DE PROCESO</v>
      </c>
      <c r="D211" s="559"/>
      <c r="E211" s="559"/>
      <c r="F211" s="559"/>
      <c r="G211" s="559"/>
      <c r="H211" s="559"/>
      <c r="I211" s="559"/>
      <c r="J211" s="559"/>
      <c r="K211" s="559"/>
      <c r="L211" s="560"/>
    </row>
    <row r="212" spans="1:12">
      <c r="A212" s="101"/>
      <c r="B212" s="591" t="s">
        <v>136</v>
      </c>
      <c r="C212" s="561" t="s">
        <v>137</v>
      </c>
      <c r="D212" s="561"/>
      <c r="E212" s="561"/>
      <c r="F212" s="562" t="str">
        <f ca="1">OFFSET('Bateria indicadores proceso'!$B$3,(RIGHT(A190,3)),1)</f>
        <v>PLANEACIÓN, DIRECCIONAMIENTO ESTRATÉGICO Y COMUNICACIONES</v>
      </c>
      <c r="G212" s="562"/>
      <c r="H212" s="562"/>
      <c r="I212" s="562"/>
      <c r="J212" s="562"/>
      <c r="K212" s="562"/>
      <c r="L212" s="563"/>
    </row>
    <row r="213" spans="1:12">
      <c r="A213" s="101"/>
      <c r="B213" s="592"/>
      <c r="C213" s="561" t="s">
        <v>138</v>
      </c>
      <c r="D213" s="561"/>
      <c r="E213" s="561"/>
      <c r="F213" s="564">
        <f ca="1">OFFSET('Bateria indicadores proceso'!$C$3,(RIGHT(A190,3)),1)</f>
        <v>0.6</v>
      </c>
      <c r="G213" s="564"/>
      <c r="H213" s="564"/>
      <c r="I213" s="564"/>
      <c r="J213" s="564"/>
      <c r="K213" s="564"/>
      <c r="L213" s="565"/>
    </row>
    <row r="214" spans="1:12" ht="15.75" thickBot="1">
      <c r="A214" s="101"/>
      <c r="B214" s="592"/>
      <c r="C214" s="561" t="s">
        <v>139</v>
      </c>
      <c r="D214" s="561"/>
      <c r="E214" s="561"/>
      <c r="F214" s="564">
        <f ca="1">OFFSET('Bateria indicadores proceso'!$E$3,(RIGHT(A190,3)),1)</f>
        <v>0.1</v>
      </c>
      <c r="G214" s="564"/>
      <c r="H214" s="564"/>
      <c r="I214" s="564"/>
      <c r="J214" s="564"/>
      <c r="K214" s="564"/>
      <c r="L214" s="565"/>
    </row>
    <row r="215" spans="1:12" ht="16.5" thickBot="1">
      <c r="A215" s="101"/>
      <c r="B215" s="572" t="s">
        <v>140</v>
      </c>
      <c r="C215" s="573"/>
      <c r="D215" s="573"/>
      <c r="E215" s="573"/>
      <c r="F215" s="573"/>
      <c r="G215" s="573"/>
      <c r="H215" s="573"/>
      <c r="I215" s="573"/>
      <c r="J215" s="573"/>
      <c r="K215" s="573"/>
      <c r="L215" s="574"/>
    </row>
    <row r="216" spans="1:12">
      <c r="A216" s="101"/>
      <c r="B216" s="72" t="s">
        <v>142</v>
      </c>
      <c r="C216" s="561" t="str">
        <f ca="1">OFFSET('Bateria indicadores proceso'!$G$3,(RIGHT(A190,3)),1)</f>
        <v xml:space="preserve">Jefe de Oficina </v>
      </c>
      <c r="D216" s="561"/>
      <c r="E216" s="561"/>
      <c r="F216" s="561"/>
      <c r="G216" s="561"/>
      <c r="H216" s="561"/>
      <c r="I216" s="561"/>
      <c r="J216" s="561"/>
      <c r="K216" s="561"/>
      <c r="L216" s="566"/>
    </row>
    <row r="217" spans="1:12">
      <c r="A217" s="101"/>
      <c r="B217" s="72" t="s">
        <v>143</v>
      </c>
      <c r="C217" s="561" t="str">
        <f ca="1">OFFSET('Bateria indicadores proceso'!$F$3,(RIGHT(A190,3)),1)</f>
        <v>Oficina Asesora de Planeación</v>
      </c>
      <c r="D217" s="561"/>
      <c r="E217" s="561"/>
      <c r="F217" s="561"/>
      <c r="G217" s="561"/>
      <c r="H217" s="561"/>
      <c r="I217" s="561"/>
      <c r="J217" s="561"/>
      <c r="K217" s="561"/>
      <c r="L217" s="566"/>
    </row>
    <row r="218" spans="1:12">
      <c r="A218" s="101"/>
      <c r="B218" s="72" t="s">
        <v>144</v>
      </c>
      <c r="C218" s="598" t="str">
        <f ca="1">OFFSET('Bateria indicadores proceso'!$H$3,(RIGHT(A154,3)),1)</f>
        <v>sergio.arciniegas@mininterior.gov.co</v>
      </c>
      <c r="D218" s="598"/>
      <c r="E218" s="598"/>
      <c r="F218" s="598"/>
      <c r="G218" s="598"/>
      <c r="H218" s="598"/>
      <c r="I218" s="598"/>
      <c r="J218" s="598"/>
      <c r="K218" s="598"/>
      <c r="L218" s="599"/>
    </row>
    <row r="219" spans="1:12" ht="15.75" thickBot="1">
      <c r="A219" s="104"/>
      <c r="B219" s="74" t="s">
        <v>145</v>
      </c>
      <c r="C219" s="596" t="s">
        <v>146</v>
      </c>
      <c r="D219" s="596"/>
      <c r="E219" s="596"/>
      <c r="F219" s="596"/>
      <c r="G219" s="596"/>
      <c r="H219" s="596"/>
      <c r="I219" s="596"/>
      <c r="J219" s="596"/>
      <c r="K219" s="596"/>
      <c r="L219" s="597"/>
    </row>
    <row r="220" spans="1:12" ht="15.75" thickBot="1"/>
    <row r="221" spans="1:12" ht="21.75" thickBot="1">
      <c r="A221" s="586" t="s">
        <v>89</v>
      </c>
      <c r="B221" s="587"/>
      <c r="C221" s="587"/>
      <c r="D221" s="587"/>
      <c r="E221" s="587"/>
      <c r="F221" s="587"/>
      <c r="G221" s="587"/>
      <c r="H221" s="587"/>
      <c r="I221" s="587"/>
      <c r="J221" s="587"/>
      <c r="K221" s="587"/>
      <c r="L221" s="588"/>
    </row>
    <row r="222" spans="1:12" ht="32.25" thickBot="1">
      <c r="A222" s="69" t="s">
        <v>90</v>
      </c>
      <c r="B222" s="589" t="s">
        <v>91</v>
      </c>
      <c r="C222" s="589"/>
      <c r="D222" s="589"/>
      <c r="E222" s="589"/>
      <c r="F222" s="589"/>
      <c r="G222" s="589"/>
      <c r="H222" s="589"/>
      <c r="I222" s="589"/>
      <c r="J222" s="589"/>
      <c r="K222" s="589"/>
      <c r="L222" s="589"/>
    </row>
    <row r="223" spans="1:12" ht="16.5" thickBot="1">
      <c r="A223" s="100"/>
      <c r="B223" s="71" t="s">
        <v>92</v>
      </c>
      <c r="C223" s="575" t="s">
        <v>93</v>
      </c>
      <c r="D223" s="575"/>
      <c r="E223" s="575"/>
      <c r="F223" s="575"/>
      <c r="G223" s="575"/>
      <c r="H223" s="575"/>
      <c r="I223" s="575"/>
      <c r="J223" s="575"/>
      <c r="K223" s="575"/>
      <c r="L223" s="576"/>
    </row>
    <row r="224" spans="1:12" ht="16.5" thickBot="1">
      <c r="A224" s="101"/>
      <c r="B224" s="589" t="s">
        <v>94</v>
      </c>
      <c r="C224" s="590"/>
      <c r="D224" s="590"/>
      <c r="E224" s="590"/>
      <c r="F224" s="590"/>
      <c r="G224" s="590"/>
      <c r="H224" s="590"/>
      <c r="I224" s="590"/>
      <c r="J224" s="590"/>
      <c r="K224" s="590"/>
      <c r="L224" s="590"/>
    </row>
    <row r="225" spans="1:12">
      <c r="A225" s="101"/>
      <c r="B225" s="71" t="s">
        <v>95</v>
      </c>
      <c r="C225" s="559" t="s">
        <v>96</v>
      </c>
      <c r="D225" s="559"/>
      <c r="E225" s="559"/>
      <c r="F225" s="559"/>
      <c r="G225" s="559"/>
      <c r="H225" s="559"/>
      <c r="I225" s="559"/>
      <c r="J225" s="559"/>
      <c r="K225" s="559"/>
      <c r="L225" s="560"/>
    </row>
    <row r="226" spans="1:12">
      <c r="A226" s="102" t="s">
        <v>152</v>
      </c>
      <c r="B226" s="72" t="s">
        <v>98</v>
      </c>
      <c r="C226" s="559" t="str">
        <f ca="1">OFFSET('Bateria indicadores proceso'!$F$3,(RIGHT(A226,3)),1)</f>
        <v>Grupo de Coordinación del Gabinete del Ministerio del Interior</v>
      </c>
      <c r="D226" s="559"/>
      <c r="E226" s="559"/>
      <c r="F226" s="559"/>
      <c r="G226" s="559"/>
      <c r="H226" s="559"/>
      <c r="I226" s="559"/>
      <c r="J226" s="559"/>
      <c r="K226" s="559"/>
      <c r="L226" s="560"/>
    </row>
    <row r="227" spans="1:12">
      <c r="A227" s="101"/>
      <c r="B227" s="72" t="s">
        <v>99</v>
      </c>
      <c r="C227" s="559" t="str">
        <f ca="1">OFFSET('Bateria indicadores proceso'!$K$3,(RIGHT(A226,3)),1)</f>
        <v xml:space="preserve">Actividades de cooperación internacional ejecutadas conforme al cronograma programado							</v>
      </c>
      <c r="D227" s="559"/>
      <c r="E227" s="559"/>
      <c r="F227" s="559"/>
      <c r="G227" s="559"/>
      <c r="H227" s="559"/>
      <c r="I227" s="559"/>
      <c r="J227" s="559"/>
      <c r="K227" s="559"/>
      <c r="L227" s="560"/>
    </row>
    <row r="228" spans="1:12">
      <c r="A228" s="101"/>
      <c r="B228" s="72" t="s">
        <v>100</v>
      </c>
      <c r="C228" s="559" t="str">
        <f ca="1">OFFSET('Bateria indicadores proceso'!$I$3,(RIGHT(A226,3)),1)</f>
        <v>Eficacia</v>
      </c>
      <c r="D228" s="559"/>
      <c r="E228" s="559"/>
      <c r="F228" s="559"/>
      <c r="G228" s="559"/>
      <c r="H228" s="559"/>
      <c r="I228" s="559"/>
      <c r="J228" s="559"/>
      <c r="K228" s="559"/>
      <c r="L228" s="560"/>
    </row>
    <row r="229" spans="1:12" ht="15.75" thickBot="1">
      <c r="A229" s="103"/>
      <c r="B229" s="73" t="s">
        <v>101</v>
      </c>
      <c r="C229" s="559" t="str">
        <f ca="1">OFFSET('Bateria indicadores proceso'!$J$3,(RIGHT(A226,3)),1)</f>
        <v xml:space="preserve">Mide el cumplimiento del cronograma de actividades de cooperación internacional lideradas por el Grupo Coordinador de Gabinete, con el propósito de verificar la ejecución oportuna de las acciones programadas. El indicador busca mantener un adecuado nivel de cumplimiento.								</v>
      </c>
      <c r="D229" s="559"/>
      <c r="E229" s="559"/>
      <c r="F229" s="559"/>
      <c r="G229" s="559"/>
      <c r="H229" s="559"/>
      <c r="I229" s="559"/>
      <c r="J229" s="559"/>
      <c r="K229" s="559"/>
      <c r="L229" s="560"/>
    </row>
    <row r="230" spans="1:12" ht="16.5" thickBot="1">
      <c r="A230" s="103"/>
      <c r="B230" s="572" t="s">
        <v>102</v>
      </c>
      <c r="C230" s="573"/>
      <c r="D230" s="573"/>
      <c r="E230" s="573"/>
      <c r="F230" s="573"/>
      <c r="G230" s="573"/>
      <c r="H230" s="573"/>
      <c r="I230" s="573"/>
      <c r="J230" s="573"/>
      <c r="K230" s="573"/>
      <c r="L230" s="574"/>
    </row>
    <row r="231" spans="1:12">
      <c r="A231" s="101"/>
      <c r="B231" s="71" t="s">
        <v>103</v>
      </c>
      <c r="C231" s="559" t="str">
        <f ca="1">OFFSET('Bateria indicadores proceso'!$O$3,(RIGHT(A226,3)),1)</f>
        <v>Porcentaje</v>
      </c>
      <c r="D231" s="559"/>
      <c r="E231" s="559"/>
      <c r="F231" s="559"/>
      <c r="G231" s="559"/>
      <c r="H231" s="559"/>
      <c r="I231" s="559"/>
      <c r="J231" s="559"/>
      <c r="K231" s="559"/>
      <c r="L231" s="560"/>
    </row>
    <row r="232" spans="1:12" ht="24">
      <c r="A232" s="101"/>
      <c r="B232" s="72" t="s">
        <v>104</v>
      </c>
      <c r="C232" s="559"/>
      <c r="D232" s="559"/>
      <c r="E232" s="559"/>
      <c r="F232" s="559"/>
      <c r="G232" s="559"/>
      <c r="H232" s="559"/>
      <c r="I232" s="559"/>
      <c r="J232" s="559"/>
      <c r="K232" s="559"/>
      <c r="L232" s="560"/>
    </row>
    <row r="233" spans="1:12">
      <c r="A233" s="101"/>
      <c r="B233" s="72" t="s">
        <v>105</v>
      </c>
      <c r="C233" s="559" t="str">
        <f ca="1">OFFSET('Bateria indicadores proceso'!$L$3,(RIGHT(A226,3)),1)</f>
        <v xml:space="preserve">No. De actividades de cooperación realizadas / No.  De actividades de cooperación programadas * 100									</v>
      </c>
      <c r="D233" s="559"/>
      <c r="E233" s="559"/>
      <c r="F233" s="559"/>
      <c r="G233" s="559"/>
      <c r="H233" s="559"/>
      <c r="I233" s="559"/>
      <c r="J233" s="559"/>
      <c r="K233" s="559"/>
      <c r="L233" s="560"/>
    </row>
    <row r="234" spans="1:12">
      <c r="A234" s="101"/>
      <c r="B234" s="72" t="s">
        <v>106</v>
      </c>
      <c r="C234" s="559" t="str">
        <f ca="1">OFFSET('Bateria indicadores proceso'!$Z$3,(RIGHT(A226,3)),1)</f>
        <v>Trimestral</v>
      </c>
      <c r="D234" s="559"/>
      <c r="E234" s="559"/>
      <c r="F234" s="559"/>
      <c r="G234" s="559"/>
      <c r="H234" s="559"/>
      <c r="I234" s="559"/>
      <c r="J234" s="559"/>
      <c r="K234" s="559"/>
      <c r="L234" s="560"/>
    </row>
    <row r="235" spans="1:12">
      <c r="A235" s="101"/>
      <c r="B235" s="72" t="s">
        <v>107</v>
      </c>
      <c r="C235" s="559" t="str">
        <f ca="1">OFFSET('Bateria indicadores proceso'!$X$3,(RIGHT(A226,3)),1)</f>
        <v>Cronograma de cooperación internacional y matriz interna de seguimiento a ejecución de actividades</v>
      </c>
      <c r="D235" s="559"/>
      <c r="E235" s="559"/>
      <c r="F235" s="559"/>
      <c r="G235" s="559"/>
      <c r="H235" s="559"/>
      <c r="I235" s="559"/>
      <c r="J235" s="559"/>
      <c r="K235" s="559"/>
      <c r="L235" s="560"/>
    </row>
    <row r="236" spans="1:12">
      <c r="A236" s="101"/>
      <c r="B236" s="72" t="s">
        <v>108</v>
      </c>
      <c r="C236" s="561">
        <f ca="1">OFFSET('Bateria indicadores proceso'!$P$3,(RIGHT(A226,3)),1)</f>
        <v>2026</v>
      </c>
      <c r="D236" s="561"/>
      <c r="E236" s="561"/>
      <c r="F236" s="561"/>
      <c r="G236" s="561"/>
      <c r="H236" s="561"/>
      <c r="I236" s="561"/>
      <c r="J236" s="561"/>
      <c r="K236" s="561"/>
      <c r="L236" s="566"/>
    </row>
    <row r="237" spans="1:12">
      <c r="A237" s="101"/>
      <c r="B237" s="72" t="s">
        <v>109</v>
      </c>
      <c r="C237" s="561" t="str">
        <f ca="1">IF(C231="Número",TEXT(OFFSET('Bateria indicadores proceso'!$Q$3,(RIGHT(A226,3)),1),"######"),TEXT(OFFSET('Bateria indicadores proceso'!$Q$3,(RIGHT(A226,3)),1),"0.0%"))</f>
        <v>No aplica</v>
      </c>
      <c r="D237" s="561"/>
      <c r="E237" s="561"/>
      <c r="F237" s="561"/>
      <c r="G237" s="561"/>
      <c r="H237" s="561"/>
      <c r="I237" s="561"/>
      <c r="J237" s="561"/>
      <c r="K237" s="561"/>
      <c r="L237" s="566"/>
    </row>
    <row r="238" spans="1:12">
      <c r="A238" s="101"/>
      <c r="B238" s="72" t="s">
        <v>110</v>
      </c>
      <c r="C238" s="593" t="str">
        <f ca="1">+OFFSET('Bateria indicadores proceso'!$R$3,(RIGHT(A226,3)),1)</f>
        <v>No aplica</v>
      </c>
      <c r="D238" s="593"/>
      <c r="E238" s="593"/>
      <c r="F238" s="593"/>
      <c r="G238" s="593"/>
      <c r="H238" s="593"/>
      <c r="I238" s="593"/>
      <c r="J238" s="593"/>
      <c r="K238" s="593"/>
      <c r="L238" s="594"/>
    </row>
    <row r="239" spans="1:12">
      <c r="A239" s="101"/>
      <c r="B239" s="72" t="s">
        <v>111</v>
      </c>
      <c r="C239" s="561" t="str">
        <f ca="1">OFFSET('Bateria indicadores proceso'!$M$3,(RIGHT(A226,3)),1)</f>
        <v>Mantener</v>
      </c>
      <c r="D239" s="561"/>
      <c r="E239" s="561"/>
      <c r="F239" s="561"/>
      <c r="G239" s="561"/>
      <c r="H239" s="561"/>
      <c r="I239" s="561"/>
      <c r="J239" s="561"/>
      <c r="K239" s="561"/>
      <c r="L239" s="566"/>
    </row>
    <row r="240" spans="1:12">
      <c r="A240" s="101"/>
      <c r="B240" s="72" t="s">
        <v>112</v>
      </c>
      <c r="C240" s="561" t="str">
        <f ca="1">OFFSET('Bateria indicadores proceso'!$N$3,(RIGHT(A226,3)),1)</f>
        <v>Stock</v>
      </c>
      <c r="D240" s="561"/>
      <c r="E240" s="561"/>
      <c r="F240" s="561"/>
      <c r="G240" s="561"/>
      <c r="H240" s="561"/>
      <c r="I240" s="561"/>
      <c r="J240" s="561"/>
      <c r="K240" s="561"/>
      <c r="L240" s="566"/>
    </row>
    <row r="241" spans="1:12">
      <c r="A241" s="101"/>
      <c r="B241" s="72" t="s">
        <v>113</v>
      </c>
      <c r="C241" s="561" t="str">
        <f ca="1">IF(C231="Número",TEXT(OFFSET('Bateria indicadores proceso'!$W$3,(RIGHT(A226,3)),1),"######"),TEXT(OFFSET('Bateria indicadores proceso'!$W$3,(RIGHT(A226,3)),1),"0.0%"))</f>
        <v>100%</v>
      </c>
      <c r="D241" s="561"/>
      <c r="E241" s="561"/>
      <c r="F241" s="561"/>
      <c r="G241" s="561"/>
      <c r="H241" s="561"/>
      <c r="I241" s="561"/>
      <c r="J241" s="561"/>
      <c r="K241" s="561"/>
      <c r="L241" s="566"/>
    </row>
    <row r="242" spans="1:12">
      <c r="A242" s="101"/>
      <c r="B242" s="595" t="s">
        <v>114</v>
      </c>
      <c r="C242" s="70" t="s">
        <v>115</v>
      </c>
      <c r="D242" s="70" t="s">
        <v>116</v>
      </c>
      <c r="E242" s="70" t="s">
        <v>117</v>
      </c>
      <c r="F242" s="70" t="s">
        <v>118</v>
      </c>
      <c r="J242" s="75"/>
      <c r="K242" s="75"/>
      <c r="L242" s="76"/>
    </row>
    <row r="243" spans="1:12">
      <c r="A243" s="101"/>
      <c r="B243" s="595"/>
      <c r="C243" s="70" t="str">
        <f ca="1">IF(C231="Número",TEXT(OFFSET('Bateria indicadores proceso'!$S$3,(RIGHT(A226,3)),1),"######"),TEXT(OFFSET('Bateria indicadores proceso'!$S$3,(RIGHT(A226,3)),1),"0.0%"))</f>
        <v>100%</v>
      </c>
      <c r="D243" s="70" t="str">
        <f ca="1">IF(C231="Número",TEXT(OFFSET('Bateria indicadores proceso'!$T$3,(RIGHT(A226,3)),1),"######"),TEXT(OFFSET('Bateria indicadores proceso'!$T$3,(RIGHT(A226,3)),1),"0.0%"))</f>
        <v>100%</v>
      </c>
      <c r="E243" s="70" t="str">
        <f ca="1">IF(C231="Número",TEXT(OFFSET('Bateria indicadores proceso'!$U$3,(RIGHT(A226,3)),1),"######"),TEXT(OFFSET('Bateria indicadores proceso'!$U$3,(RIGHT(A226,3)),1),"0.0%"))</f>
        <v>100%</v>
      </c>
      <c r="F243" s="70" t="str">
        <f ca="1">IF(C231="Número",TEXT(OFFSET('Bateria indicadores proceso'!$V$3,(RIGHT(A226,3)),1),"######"),TEXT(OFFSET('Bateria indicadores proceso'!$V$3,(RIGHT(A226,3)),1),"0.0%"))</f>
        <v>100%</v>
      </c>
      <c r="J243" s="77"/>
      <c r="K243" s="77"/>
      <c r="L243" s="78"/>
    </row>
    <row r="244" spans="1:12">
      <c r="A244" s="101"/>
      <c r="B244" s="600" t="s">
        <v>119</v>
      </c>
      <c r="C244" s="567" t="s">
        <v>120</v>
      </c>
      <c r="D244" s="568"/>
      <c r="E244" s="567" t="s">
        <v>121</v>
      </c>
      <c r="F244" s="568"/>
      <c r="G244" s="567" t="s">
        <v>122</v>
      </c>
      <c r="H244" s="568"/>
      <c r="I244" s="567" t="s">
        <v>123</v>
      </c>
      <c r="J244" s="568"/>
      <c r="K244" s="567" t="s">
        <v>124</v>
      </c>
      <c r="L244" s="569"/>
    </row>
    <row r="245" spans="1:12">
      <c r="A245" s="101"/>
      <c r="B245" s="601"/>
      <c r="C245" s="570" t="s">
        <v>125</v>
      </c>
      <c r="D245" s="571"/>
      <c r="E245" s="577" t="s">
        <v>126</v>
      </c>
      <c r="F245" s="578"/>
      <c r="G245" s="579" t="s">
        <v>127</v>
      </c>
      <c r="H245" s="580"/>
      <c r="I245" s="581" t="s">
        <v>128</v>
      </c>
      <c r="J245" s="582"/>
      <c r="K245" s="583" t="s">
        <v>129</v>
      </c>
      <c r="L245" s="584"/>
    </row>
    <row r="246" spans="1:12">
      <c r="A246" s="101"/>
      <c r="B246" s="602"/>
      <c r="C246" s="567" t="s">
        <v>130</v>
      </c>
      <c r="D246" s="568"/>
      <c r="E246" s="567" t="s">
        <v>131</v>
      </c>
      <c r="F246" s="568"/>
      <c r="G246" s="585" t="s">
        <v>132</v>
      </c>
      <c r="H246" s="568"/>
      <c r="I246" s="567" t="s">
        <v>133</v>
      </c>
      <c r="J246" s="568"/>
      <c r="K246" s="567" t="s">
        <v>134</v>
      </c>
      <c r="L246" s="569"/>
    </row>
    <row r="247" spans="1:12">
      <c r="A247" s="101"/>
      <c r="B247" s="72" t="s">
        <v>135</v>
      </c>
      <c r="C247" s="559" t="str">
        <f ca="1">OFFSET('Bateria indicadores proceso'!$Y$3,(RIGHT(A226,3)),1)</f>
        <v>Cronograma de cooperación internacional, matriz interna de seguimiento a ejecución de actividades</v>
      </c>
      <c r="D247" s="559"/>
      <c r="E247" s="559"/>
      <c r="F247" s="559"/>
      <c r="G247" s="559"/>
      <c r="H247" s="559"/>
      <c r="I247" s="559"/>
      <c r="J247" s="559"/>
      <c r="K247" s="559"/>
      <c r="L247" s="560"/>
    </row>
    <row r="248" spans="1:12">
      <c r="A248" s="101"/>
      <c r="B248" s="591" t="s">
        <v>136</v>
      </c>
      <c r="C248" s="561" t="s">
        <v>137</v>
      </c>
      <c r="D248" s="561"/>
      <c r="E248" s="561"/>
      <c r="F248" s="562" t="str">
        <f ca="1">OFFSET('Bateria indicadores proceso'!$B$3,(RIGHT(A226,3)),1)</f>
        <v>PLANEACIÓN, DIRECCIONAMIENTO ESTRATÉGICO Y COMUNICACIONES</v>
      </c>
      <c r="G248" s="562"/>
      <c r="H248" s="562"/>
      <c r="I248" s="562"/>
      <c r="J248" s="562"/>
      <c r="K248" s="562"/>
      <c r="L248" s="563"/>
    </row>
    <row r="249" spans="1:12">
      <c r="A249" s="101"/>
      <c r="B249" s="592"/>
      <c r="C249" s="561" t="s">
        <v>138</v>
      </c>
      <c r="D249" s="561"/>
      <c r="E249" s="561"/>
      <c r="F249" s="564">
        <f ca="1">OFFSET('Bateria indicadores proceso'!$C$3,(RIGHT(A226,3)),1)</f>
        <v>0.2</v>
      </c>
      <c r="G249" s="564"/>
      <c r="H249" s="564"/>
      <c r="I249" s="564"/>
      <c r="J249" s="564"/>
      <c r="K249" s="564"/>
      <c r="L249" s="565"/>
    </row>
    <row r="250" spans="1:12" ht="15.75" thickBot="1">
      <c r="A250" s="101"/>
      <c r="B250" s="592"/>
      <c r="C250" s="561" t="s">
        <v>139</v>
      </c>
      <c r="D250" s="561"/>
      <c r="E250" s="561"/>
      <c r="F250" s="564">
        <f ca="1">OFFSET('Bateria indicadores proceso'!$E$3,(RIGHT(A226,3)),1)</f>
        <v>0.2</v>
      </c>
      <c r="G250" s="564"/>
      <c r="H250" s="564"/>
      <c r="I250" s="564"/>
      <c r="J250" s="564"/>
      <c r="K250" s="564"/>
      <c r="L250" s="565"/>
    </row>
    <row r="251" spans="1:12" ht="16.5" thickBot="1">
      <c r="A251" s="101"/>
      <c r="B251" s="572" t="s">
        <v>140</v>
      </c>
      <c r="C251" s="573"/>
      <c r="D251" s="573"/>
      <c r="E251" s="573"/>
      <c r="F251" s="573"/>
      <c r="G251" s="573"/>
      <c r="H251" s="573"/>
      <c r="I251" s="573"/>
      <c r="J251" s="573"/>
      <c r="K251" s="573"/>
      <c r="L251" s="574"/>
    </row>
    <row r="252" spans="1:12">
      <c r="A252" s="101"/>
      <c r="B252" s="72" t="s">
        <v>142</v>
      </c>
      <c r="C252" s="561" t="str">
        <f ca="1">OFFSET('Bateria indicadores proceso'!$G$3,(RIGHT(A226,3)),1)</f>
        <v>Coordinador</v>
      </c>
      <c r="D252" s="561"/>
      <c r="E252" s="561"/>
      <c r="F252" s="561"/>
      <c r="G252" s="561"/>
      <c r="H252" s="561"/>
      <c r="I252" s="561"/>
      <c r="J252" s="561"/>
      <c r="K252" s="561"/>
      <c r="L252" s="566"/>
    </row>
    <row r="253" spans="1:12">
      <c r="A253" s="101"/>
      <c r="B253" s="72" t="s">
        <v>143</v>
      </c>
      <c r="C253" s="561" t="str">
        <f ca="1">OFFSET('Bateria indicadores proceso'!$F$3,(RIGHT(A226,3)),1)</f>
        <v>Grupo de Coordinación del Gabinete del Ministerio del Interior</v>
      </c>
      <c r="D253" s="561"/>
      <c r="E253" s="561"/>
      <c r="F253" s="561"/>
      <c r="G253" s="561"/>
      <c r="H253" s="561"/>
      <c r="I253" s="561"/>
      <c r="J253" s="561"/>
      <c r="K253" s="561"/>
      <c r="L253" s="566"/>
    </row>
    <row r="254" spans="1:12">
      <c r="A254" s="101"/>
      <c r="B254" s="72" t="s">
        <v>144</v>
      </c>
      <c r="C254" s="598" t="str">
        <f ca="1">OFFSET('Bateria indicadores proceso'!$H$3,(RIGHT(A226,3)),1)</f>
        <v xml:space="preserve">mariana.gomez@mininterior.gov.co									</v>
      </c>
      <c r="D254" s="598"/>
      <c r="E254" s="598"/>
      <c r="F254" s="598"/>
      <c r="G254" s="598"/>
      <c r="H254" s="598"/>
      <c r="I254" s="598"/>
      <c r="J254" s="598"/>
      <c r="K254" s="598"/>
      <c r="L254" s="599"/>
    </row>
    <row r="255" spans="1:12" ht="15.75" thickBot="1">
      <c r="A255" s="104"/>
      <c r="B255" s="74" t="s">
        <v>145</v>
      </c>
      <c r="C255" s="596" t="s">
        <v>146</v>
      </c>
      <c r="D255" s="596"/>
      <c r="E255" s="596"/>
      <c r="F255" s="596"/>
      <c r="G255" s="596"/>
      <c r="H255" s="596"/>
      <c r="I255" s="596"/>
      <c r="J255" s="596"/>
      <c r="K255" s="596"/>
      <c r="L255" s="597"/>
    </row>
    <row r="256" spans="1:12" ht="15.75" thickBot="1"/>
    <row r="257" spans="1:12" ht="21.75" thickBot="1">
      <c r="A257" s="586" t="s">
        <v>89</v>
      </c>
      <c r="B257" s="587"/>
      <c r="C257" s="587"/>
      <c r="D257" s="587"/>
      <c r="E257" s="587"/>
      <c r="F257" s="587"/>
      <c r="G257" s="587"/>
      <c r="H257" s="587"/>
      <c r="I257" s="587"/>
      <c r="J257" s="587"/>
      <c r="K257" s="587"/>
      <c r="L257" s="588"/>
    </row>
    <row r="258" spans="1:12" ht="32.25" thickBot="1">
      <c r="A258" s="69" t="s">
        <v>90</v>
      </c>
      <c r="B258" s="589" t="s">
        <v>91</v>
      </c>
      <c r="C258" s="589"/>
      <c r="D258" s="589"/>
      <c r="E258" s="589"/>
      <c r="F258" s="589"/>
      <c r="G258" s="589"/>
      <c r="H258" s="589"/>
      <c r="I258" s="589"/>
      <c r="J258" s="589"/>
      <c r="K258" s="589"/>
      <c r="L258" s="589"/>
    </row>
    <row r="259" spans="1:12" ht="16.5" thickBot="1">
      <c r="A259" s="100"/>
      <c r="B259" s="71" t="s">
        <v>92</v>
      </c>
      <c r="C259" s="575" t="s">
        <v>93</v>
      </c>
      <c r="D259" s="575"/>
      <c r="E259" s="575"/>
      <c r="F259" s="575"/>
      <c r="G259" s="575"/>
      <c r="H259" s="575"/>
      <c r="I259" s="575"/>
      <c r="J259" s="575"/>
      <c r="K259" s="575"/>
      <c r="L259" s="576"/>
    </row>
    <row r="260" spans="1:12" ht="16.5" thickBot="1">
      <c r="A260" s="101"/>
      <c r="B260" s="589" t="s">
        <v>94</v>
      </c>
      <c r="C260" s="590"/>
      <c r="D260" s="590"/>
      <c r="E260" s="590"/>
      <c r="F260" s="590"/>
      <c r="G260" s="590"/>
      <c r="H260" s="590"/>
      <c r="I260" s="590"/>
      <c r="J260" s="590"/>
      <c r="K260" s="590"/>
      <c r="L260" s="590"/>
    </row>
    <row r="261" spans="1:12">
      <c r="A261" s="101"/>
      <c r="B261" s="71" t="s">
        <v>95</v>
      </c>
      <c r="C261" s="559" t="s">
        <v>96</v>
      </c>
      <c r="D261" s="559"/>
      <c r="E261" s="559"/>
      <c r="F261" s="559"/>
      <c r="G261" s="559"/>
      <c r="H261" s="559"/>
      <c r="I261" s="559"/>
      <c r="J261" s="559"/>
      <c r="K261" s="559"/>
      <c r="L261" s="560"/>
    </row>
    <row r="262" spans="1:12">
      <c r="A262" s="102" t="s">
        <v>153</v>
      </c>
      <c r="B262" s="72" t="s">
        <v>98</v>
      </c>
      <c r="C262" s="559" t="str">
        <f ca="1">OFFSET('Bateria indicadores proceso'!$F$3,(RIGHT(A262,3)),1)</f>
        <v>Oficina de Información Pública del Interior</v>
      </c>
      <c r="D262" s="559"/>
      <c r="E262" s="559"/>
      <c r="F262" s="559"/>
      <c r="G262" s="559"/>
      <c r="H262" s="559"/>
      <c r="I262" s="559"/>
      <c r="J262" s="559"/>
      <c r="K262" s="559"/>
      <c r="L262" s="560"/>
    </row>
    <row r="263" spans="1:12" ht="39.75" customHeight="1">
      <c r="A263" s="101"/>
      <c r="B263" s="72" t="s">
        <v>99</v>
      </c>
      <c r="C263" s="559" t="str">
        <f ca="1">OFFSET('Bateria indicadores proceso'!$K$3,(RIGHT(A262,3)),1)</f>
        <v xml:space="preserve">	Comunicados de prensa, entrevistas y ruedas de prensa gestionados de acuerdo con las necesidades de comunicación interna y externa de la entidad. 							</v>
      </c>
      <c r="D263" s="559"/>
      <c r="E263" s="559"/>
      <c r="F263" s="559"/>
      <c r="G263" s="559"/>
      <c r="H263" s="559"/>
      <c r="I263" s="559"/>
      <c r="J263" s="559"/>
      <c r="K263" s="559"/>
      <c r="L263" s="560"/>
    </row>
    <row r="264" spans="1:12">
      <c r="A264" s="101"/>
      <c r="B264" s="72" t="s">
        <v>100</v>
      </c>
      <c r="C264" s="559" t="str">
        <f ca="1">OFFSET('Bateria indicadores proceso'!$I$3,(RIGHT(A262,3)),1)</f>
        <v>Eficacia</v>
      </c>
      <c r="D264" s="559"/>
      <c r="E264" s="559"/>
      <c r="F264" s="559"/>
      <c r="G264" s="559"/>
      <c r="H264" s="559"/>
      <c r="I264" s="559"/>
      <c r="J264" s="559"/>
      <c r="K264" s="559"/>
      <c r="L264" s="560"/>
    </row>
    <row r="265" spans="1:12" ht="57" customHeight="1" thickBot="1">
      <c r="A265" s="103"/>
      <c r="B265" s="73" t="s">
        <v>101</v>
      </c>
      <c r="C265" s="559" t="str">
        <f ca="1">OFFSET('Bateria indicadores proceso'!$J$3,(RIGHT(A262,3)),1)</f>
        <v xml:space="preserve">La gestión, producción y divulgación de información en texto, audio, video o imagen, junto con las respectivas piezas gráficas paras las comunicaciones internas y externas de la entidad son fundamentales para mantener informado tanto al público interno como externo de la ejecución del Ministerio del Interior. onar, producir y divulgar información en texto, audio, video o imagen, y piezas gráficas para las comunicaciones internas y externas de la entidad. Su orientación es mantener.  									</v>
      </c>
      <c r="D265" s="559"/>
      <c r="E265" s="559"/>
      <c r="F265" s="559"/>
      <c r="G265" s="559"/>
      <c r="H265" s="559"/>
      <c r="I265" s="559"/>
      <c r="J265" s="559"/>
      <c r="K265" s="559"/>
      <c r="L265" s="560"/>
    </row>
    <row r="266" spans="1:12" ht="16.5" thickBot="1">
      <c r="A266" s="103"/>
      <c r="B266" s="572" t="s">
        <v>102</v>
      </c>
      <c r="C266" s="573"/>
      <c r="D266" s="573"/>
      <c r="E266" s="573"/>
      <c r="F266" s="573"/>
      <c r="G266" s="573"/>
      <c r="H266" s="573"/>
      <c r="I266" s="573"/>
      <c r="J266" s="573"/>
      <c r="K266" s="573"/>
      <c r="L266" s="574"/>
    </row>
    <row r="267" spans="1:12">
      <c r="A267" s="101"/>
      <c r="B267" s="71" t="s">
        <v>103</v>
      </c>
      <c r="C267" s="559" t="str">
        <f ca="1">OFFSET('Bateria indicadores proceso'!$O$3,(RIGHT(A262,3)),1)</f>
        <v>Porcentaje</v>
      </c>
      <c r="D267" s="559"/>
      <c r="E267" s="559"/>
      <c r="F267" s="559"/>
      <c r="G267" s="559"/>
      <c r="H267" s="559"/>
      <c r="I267" s="559"/>
      <c r="J267" s="559"/>
      <c r="K267" s="559"/>
      <c r="L267" s="560"/>
    </row>
    <row r="268" spans="1:12" ht="24">
      <c r="A268" s="101"/>
      <c r="B268" s="72" t="s">
        <v>104</v>
      </c>
      <c r="C268" s="559"/>
      <c r="D268" s="559"/>
      <c r="E268" s="559"/>
      <c r="F268" s="559"/>
      <c r="G268" s="559"/>
      <c r="H268" s="559"/>
      <c r="I268" s="559"/>
      <c r="J268" s="559"/>
      <c r="K268" s="559"/>
      <c r="L268" s="560"/>
    </row>
    <row r="269" spans="1:12">
      <c r="A269" s="101"/>
      <c r="B269" s="72" t="s">
        <v>105</v>
      </c>
      <c r="C269" s="559" t="str">
        <f ca="1">OFFSET('Bateria indicadores proceso'!$L$3,(RIGHT(A262,3)),1)</f>
        <v xml:space="preserve">(Número de comunicados de prensa, entrevistas y rueda de prensa gestionados / Número de comunicados, entrevistas y ruedas de prensa solicitadas)*100 </v>
      </c>
      <c r="D269" s="559"/>
      <c r="E269" s="559"/>
      <c r="F269" s="559"/>
      <c r="G269" s="559"/>
      <c r="H269" s="559"/>
      <c r="I269" s="559"/>
      <c r="J269" s="559"/>
      <c r="K269" s="559"/>
      <c r="L269" s="560"/>
    </row>
    <row r="270" spans="1:12">
      <c r="A270" s="101"/>
      <c r="B270" s="72" t="s">
        <v>106</v>
      </c>
      <c r="C270" s="559" t="str">
        <f ca="1">OFFSET('Bateria indicadores proceso'!$Z$3,(RIGHT(A262,3)),1)</f>
        <v>Trimestral</v>
      </c>
      <c r="D270" s="559"/>
      <c r="E270" s="559"/>
      <c r="F270" s="559"/>
      <c r="G270" s="559"/>
      <c r="H270" s="559"/>
      <c r="I270" s="559"/>
      <c r="J270" s="559"/>
      <c r="K270" s="559"/>
      <c r="L270" s="560"/>
    </row>
    <row r="271" spans="1:12">
      <c r="A271" s="101"/>
      <c r="B271" s="72" t="s">
        <v>107</v>
      </c>
      <c r="C271" s="559" t="str">
        <f ca="1">OFFSET('Bateria indicadores proceso'!$X$3,(RIGHT(A262,3)),1)</f>
        <v xml:space="preserve">Documento Tráfico de Comunicaciones mensual, 2026. 									</v>
      </c>
      <c r="D271" s="559"/>
      <c r="E271" s="559"/>
      <c r="F271" s="559"/>
      <c r="G271" s="559"/>
      <c r="H271" s="559"/>
      <c r="I271" s="559"/>
      <c r="J271" s="559"/>
      <c r="K271" s="559"/>
      <c r="L271" s="560"/>
    </row>
    <row r="272" spans="1:12">
      <c r="A272" s="101"/>
      <c r="B272" s="72" t="s">
        <v>108</v>
      </c>
      <c r="C272" s="561">
        <f ca="1">OFFSET('Bateria indicadores proceso'!$P$3,(RIGHT(A262,3)),1)</f>
        <v>2024</v>
      </c>
      <c r="D272" s="561"/>
      <c r="E272" s="561"/>
      <c r="F272" s="561"/>
      <c r="G272" s="561"/>
      <c r="H272" s="561"/>
      <c r="I272" s="561"/>
      <c r="J272" s="561"/>
      <c r="K272" s="561"/>
      <c r="L272" s="566"/>
    </row>
    <row r="273" spans="1:12">
      <c r="A273" s="101"/>
      <c r="B273" s="72" t="s">
        <v>109</v>
      </c>
      <c r="C273" s="561" t="str">
        <f ca="1">IF(C267="Número",TEXT(OFFSET('Bateria indicadores proceso'!$Q$3,(RIGHT(A262,3)),1),"######"),TEXT(OFFSET('Bateria indicadores proceso'!$Q$3,(RIGHT(A262,3)),1),"0.0%"))</f>
        <v>100%</v>
      </c>
      <c r="D273" s="561"/>
      <c r="E273" s="561"/>
      <c r="F273" s="561"/>
      <c r="G273" s="561"/>
      <c r="H273" s="561"/>
      <c r="I273" s="561"/>
      <c r="J273" s="561"/>
      <c r="K273" s="561"/>
      <c r="L273" s="566"/>
    </row>
    <row r="274" spans="1:12">
      <c r="A274" s="101"/>
      <c r="B274" s="72" t="s">
        <v>110</v>
      </c>
      <c r="C274" s="593">
        <f ca="1">+OFFSET('Bateria indicadores proceso'!$R$3,(RIGHT(A262,3)),1)</f>
        <v>46022</v>
      </c>
      <c r="D274" s="593"/>
      <c r="E274" s="593"/>
      <c r="F274" s="593"/>
      <c r="G274" s="593"/>
      <c r="H274" s="593"/>
      <c r="I274" s="593"/>
      <c r="J274" s="593"/>
      <c r="K274" s="593"/>
      <c r="L274" s="594"/>
    </row>
    <row r="275" spans="1:12">
      <c r="A275" s="101"/>
      <c r="B275" s="72" t="s">
        <v>111</v>
      </c>
      <c r="C275" s="561" t="str">
        <f ca="1">OFFSET('Bateria indicadores proceso'!$M$3,(RIGHT(A262,3)),1)</f>
        <v>Mantener</v>
      </c>
      <c r="D275" s="561"/>
      <c r="E275" s="561"/>
      <c r="F275" s="561"/>
      <c r="G275" s="561"/>
      <c r="H275" s="561"/>
      <c r="I275" s="561"/>
      <c r="J275" s="561"/>
      <c r="K275" s="561"/>
      <c r="L275" s="566"/>
    </row>
    <row r="276" spans="1:12">
      <c r="A276" s="101"/>
      <c r="B276" s="72" t="s">
        <v>112</v>
      </c>
      <c r="C276" s="561" t="str">
        <f ca="1">OFFSET('Bateria indicadores proceso'!$N$3,(RIGHT(A262,3)),1)</f>
        <v>Stock</v>
      </c>
      <c r="D276" s="561"/>
      <c r="E276" s="561"/>
      <c r="F276" s="561"/>
      <c r="G276" s="561"/>
      <c r="H276" s="561"/>
      <c r="I276" s="561"/>
      <c r="J276" s="561"/>
      <c r="K276" s="561"/>
      <c r="L276" s="566"/>
    </row>
    <row r="277" spans="1:12">
      <c r="A277" s="101"/>
      <c r="B277" s="72" t="s">
        <v>113</v>
      </c>
      <c r="C277" s="561" t="str">
        <f ca="1">IF(C267="Número",TEXT(OFFSET('Bateria indicadores proceso'!$W$3,(RIGHT(A262,3)),1),"######"),TEXT(OFFSET('Bateria indicadores proceso'!$W$3,(RIGHT(A262,3)),1),"0.0%"))</f>
        <v>100%</v>
      </c>
      <c r="D277" s="561"/>
      <c r="E277" s="561"/>
      <c r="F277" s="561"/>
      <c r="G277" s="561"/>
      <c r="H277" s="561"/>
      <c r="I277" s="561"/>
      <c r="J277" s="561"/>
      <c r="K277" s="561"/>
      <c r="L277" s="566"/>
    </row>
    <row r="278" spans="1:12">
      <c r="A278" s="101"/>
      <c r="B278" s="595" t="s">
        <v>114</v>
      </c>
      <c r="C278" s="70" t="s">
        <v>115</v>
      </c>
      <c r="D278" s="70" t="s">
        <v>116</v>
      </c>
      <c r="E278" s="70" t="s">
        <v>117</v>
      </c>
      <c r="F278" s="70" t="s">
        <v>118</v>
      </c>
      <c r="J278" s="75"/>
      <c r="K278" s="75"/>
      <c r="L278" s="76"/>
    </row>
    <row r="279" spans="1:12">
      <c r="A279" s="101"/>
      <c r="B279" s="595"/>
      <c r="C279" s="70" t="str">
        <f ca="1">IF(C267="Número",TEXT(OFFSET('Bateria indicadores proceso'!$S$3,(RIGHT(A262,3)),1),"######"),TEXT(OFFSET('Bateria indicadores proceso'!$S$3,(RIGHT(A262,3)),1),"0.0%"))</f>
        <v>100%</v>
      </c>
      <c r="D279" s="70" t="str">
        <f ca="1">IF(C267="Número",TEXT(OFFSET('Bateria indicadores proceso'!$T$3,(RIGHT(A262,3)),1),"######"),TEXT(OFFSET('Bateria indicadores proceso'!$T$3,(RIGHT(A262,3)),1),"0.0%"))</f>
        <v>100%</v>
      </c>
      <c r="E279" s="70" t="str">
        <f ca="1">IF(C267="Número",TEXT(OFFSET('Bateria indicadores proceso'!$U$3,(RIGHT(A262,3)),1),"######"),TEXT(OFFSET('Bateria indicadores proceso'!$U$3,(RIGHT(A262,3)),1),"0.0%"))</f>
        <v>100%</v>
      </c>
      <c r="F279" s="70" t="str">
        <f ca="1">IF(C267="Número",TEXT(OFFSET('Bateria indicadores proceso'!$V$3,(RIGHT(A262,3)),1),"######"),TEXT(OFFSET('Bateria indicadores proceso'!$V$3,(RIGHT(A262,3)),1),"0.0%"))</f>
        <v>100%</v>
      </c>
      <c r="J279" s="77"/>
      <c r="K279" s="77"/>
      <c r="L279" s="78"/>
    </row>
    <row r="280" spans="1:12">
      <c r="A280" s="101"/>
      <c r="B280" s="600" t="s">
        <v>119</v>
      </c>
      <c r="C280" s="567" t="s">
        <v>120</v>
      </c>
      <c r="D280" s="568"/>
      <c r="E280" s="567" t="s">
        <v>121</v>
      </c>
      <c r="F280" s="568"/>
      <c r="G280" s="567" t="s">
        <v>122</v>
      </c>
      <c r="H280" s="568"/>
      <c r="I280" s="567" t="s">
        <v>123</v>
      </c>
      <c r="J280" s="568"/>
      <c r="K280" s="567" t="s">
        <v>124</v>
      </c>
      <c r="L280" s="569"/>
    </row>
    <row r="281" spans="1:12">
      <c r="A281" s="101"/>
      <c r="B281" s="601"/>
      <c r="C281" s="570" t="s">
        <v>125</v>
      </c>
      <c r="D281" s="571"/>
      <c r="E281" s="577" t="s">
        <v>126</v>
      </c>
      <c r="F281" s="578"/>
      <c r="G281" s="579" t="s">
        <v>127</v>
      </c>
      <c r="H281" s="580"/>
      <c r="I281" s="581" t="s">
        <v>128</v>
      </c>
      <c r="J281" s="582"/>
      <c r="K281" s="583" t="s">
        <v>129</v>
      </c>
      <c r="L281" s="584"/>
    </row>
    <row r="282" spans="1:12">
      <c r="A282" s="101"/>
      <c r="B282" s="602"/>
      <c r="C282" s="567" t="s">
        <v>130</v>
      </c>
      <c r="D282" s="568"/>
      <c r="E282" s="567" t="s">
        <v>131</v>
      </c>
      <c r="F282" s="568"/>
      <c r="G282" s="585" t="s">
        <v>132</v>
      </c>
      <c r="H282" s="568"/>
      <c r="I282" s="567" t="s">
        <v>133</v>
      </c>
      <c r="J282" s="568"/>
      <c r="K282" s="567" t="s">
        <v>134</v>
      </c>
      <c r="L282" s="569"/>
    </row>
    <row r="283" spans="1:12">
      <c r="A283" s="101"/>
      <c r="B283" s="72" t="s">
        <v>135</v>
      </c>
      <c r="C283" s="559" t="str">
        <f ca="1">OFFSET('Bateria indicadores proceso'!$Y$3,(RIGHT(A262,3)),1)</f>
        <v xml:space="preserve">Documento, screenshoot o audios que den cuenta de los comunicados de prensa, entrevistas y ruedas de prensa. </v>
      </c>
      <c r="D283" s="559"/>
      <c r="E283" s="559"/>
      <c r="F283" s="559"/>
      <c r="G283" s="559"/>
      <c r="H283" s="559"/>
      <c r="I283" s="559"/>
      <c r="J283" s="559"/>
      <c r="K283" s="559"/>
      <c r="L283" s="560"/>
    </row>
    <row r="284" spans="1:12">
      <c r="A284" s="101"/>
      <c r="B284" s="591" t="s">
        <v>136</v>
      </c>
      <c r="C284" s="561" t="s">
        <v>137</v>
      </c>
      <c r="D284" s="561"/>
      <c r="E284" s="561"/>
      <c r="F284" s="562" t="str">
        <f ca="1">OFFSET('Bateria indicadores proceso'!$B$3,(RIGHT(A262,3)),1)</f>
        <v>PLANEACIÓN, DIRECCIONAMIENTO ESTRATÉGICO Y COMUNICACIONES</v>
      </c>
      <c r="G284" s="562"/>
      <c r="H284" s="562"/>
      <c r="I284" s="562"/>
      <c r="J284" s="562"/>
      <c r="K284" s="562"/>
      <c r="L284" s="563"/>
    </row>
    <row r="285" spans="1:12">
      <c r="A285" s="101"/>
      <c r="B285" s="592"/>
      <c r="C285" s="561" t="s">
        <v>138</v>
      </c>
      <c r="D285" s="561"/>
      <c r="E285" s="561"/>
      <c r="F285" s="564">
        <f ca="1">OFFSET('Bateria indicadores proceso'!$C$3,(RIGHT(A262,3)),1)</f>
        <v>0.2</v>
      </c>
      <c r="G285" s="564"/>
      <c r="H285" s="564"/>
      <c r="I285" s="564"/>
      <c r="J285" s="564"/>
      <c r="K285" s="564"/>
      <c r="L285" s="565"/>
    </row>
    <row r="286" spans="1:12" ht="15.75" thickBot="1">
      <c r="A286" s="101"/>
      <c r="B286" s="592"/>
      <c r="C286" s="561" t="s">
        <v>139</v>
      </c>
      <c r="D286" s="561"/>
      <c r="E286" s="561"/>
      <c r="F286" s="564">
        <f ca="1">OFFSET('Bateria indicadores proceso'!$E$3,(RIGHT(A262,3)),1)</f>
        <v>0.1</v>
      </c>
      <c r="G286" s="564"/>
      <c r="H286" s="564"/>
      <c r="I286" s="564"/>
      <c r="J286" s="564"/>
      <c r="K286" s="564"/>
      <c r="L286" s="565"/>
    </row>
    <row r="287" spans="1:12" ht="16.5" thickBot="1">
      <c r="A287" s="101"/>
      <c r="B287" s="572" t="s">
        <v>140</v>
      </c>
      <c r="C287" s="573"/>
      <c r="D287" s="573"/>
      <c r="E287" s="573"/>
      <c r="F287" s="573"/>
      <c r="G287" s="573"/>
      <c r="H287" s="573"/>
      <c r="I287" s="573"/>
      <c r="J287" s="573"/>
      <c r="K287" s="573"/>
      <c r="L287" s="574"/>
    </row>
    <row r="288" spans="1:12">
      <c r="A288" s="101"/>
      <c r="B288" s="72" t="s">
        <v>142</v>
      </c>
      <c r="C288" s="561" t="str">
        <f ca="1">OFFSET('Bateria indicadores proceso'!$G$3,(RIGHT(A262,3)),1)</f>
        <v xml:space="preserve">Jefe de Oficina </v>
      </c>
      <c r="D288" s="561"/>
      <c r="E288" s="561"/>
      <c r="F288" s="561"/>
      <c r="G288" s="561"/>
      <c r="H288" s="561"/>
      <c r="I288" s="561"/>
      <c r="J288" s="561"/>
      <c r="K288" s="561"/>
      <c r="L288" s="566"/>
    </row>
    <row r="289" spans="1:12">
      <c r="A289" s="101"/>
      <c r="B289" s="72" t="s">
        <v>143</v>
      </c>
      <c r="C289" s="561" t="str">
        <f ca="1">OFFSET('Bateria indicadores proceso'!$F$3,(RIGHT(A262,3)),1)</f>
        <v>Oficina de Información Pública del Interior</v>
      </c>
      <c r="D289" s="561"/>
      <c r="E289" s="561"/>
      <c r="F289" s="561"/>
      <c r="G289" s="561"/>
      <c r="H289" s="561"/>
      <c r="I289" s="561"/>
      <c r="J289" s="561"/>
      <c r="K289" s="561"/>
      <c r="L289" s="566"/>
    </row>
    <row r="290" spans="1:12">
      <c r="A290" s="101"/>
      <c r="B290" s="72" t="s">
        <v>144</v>
      </c>
      <c r="C290" s="598" t="str">
        <f ca="1">OFFSET('Bateria indicadores proceso'!$H$3,(RIGHT(A226,3)),1)</f>
        <v xml:space="preserve">mariana.gomez@mininterior.gov.co									</v>
      </c>
      <c r="D290" s="598"/>
      <c r="E290" s="598"/>
      <c r="F290" s="598"/>
      <c r="G290" s="598"/>
      <c r="H290" s="598"/>
      <c r="I290" s="598"/>
      <c r="J290" s="598"/>
      <c r="K290" s="598"/>
      <c r="L290" s="599"/>
    </row>
    <row r="291" spans="1:12" ht="15.75" thickBot="1">
      <c r="A291" s="104"/>
      <c r="B291" s="74" t="s">
        <v>145</v>
      </c>
      <c r="C291" s="596" t="s">
        <v>146</v>
      </c>
      <c r="D291" s="596"/>
      <c r="E291" s="596"/>
      <c r="F291" s="596"/>
      <c r="G291" s="596"/>
      <c r="H291" s="596"/>
      <c r="I291" s="596"/>
      <c r="J291" s="596"/>
      <c r="K291" s="596"/>
      <c r="L291" s="597"/>
    </row>
    <row r="292" spans="1:12" ht="15.75" thickBot="1"/>
    <row r="293" spans="1:12" ht="21.75" thickBot="1">
      <c r="A293" s="586" t="s">
        <v>89</v>
      </c>
      <c r="B293" s="587"/>
      <c r="C293" s="587"/>
      <c r="D293" s="587"/>
      <c r="E293" s="587"/>
      <c r="F293" s="587"/>
      <c r="G293" s="587"/>
      <c r="H293" s="587"/>
      <c r="I293" s="587"/>
      <c r="J293" s="587"/>
      <c r="K293" s="587"/>
      <c r="L293" s="588"/>
    </row>
    <row r="294" spans="1:12" ht="32.25" thickBot="1">
      <c r="A294" s="69" t="s">
        <v>90</v>
      </c>
      <c r="B294" s="589" t="s">
        <v>91</v>
      </c>
      <c r="C294" s="589"/>
      <c r="D294" s="589"/>
      <c r="E294" s="589"/>
      <c r="F294" s="589"/>
      <c r="G294" s="589"/>
      <c r="H294" s="589"/>
      <c r="I294" s="589"/>
      <c r="J294" s="589"/>
      <c r="K294" s="589"/>
      <c r="L294" s="589"/>
    </row>
    <row r="295" spans="1:12" ht="16.5" thickBot="1">
      <c r="A295" s="100"/>
      <c r="B295" s="71" t="s">
        <v>92</v>
      </c>
      <c r="C295" s="575" t="s">
        <v>93</v>
      </c>
      <c r="D295" s="575"/>
      <c r="E295" s="575"/>
      <c r="F295" s="575"/>
      <c r="G295" s="575"/>
      <c r="H295" s="575"/>
      <c r="I295" s="575"/>
      <c r="J295" s="575"/>
      <c r="K295" s="575"/>
      <c r="L295" s="576"/>
    </row>
    <row r="296" spans="1:12" ht="16.5" thickBot="1">
      <c r="A296" s="101"/>
      <c r="B296" s="589" t="s">
        <v>94</v>
      </c>
      <c r="C296" s="590"/>
      <c r="D296" s="590"/>
      <c r="E296" s="590"/>
      <c r="F296" s="590"/>
      <c r="G296" s="590"/>
      <c r="H296" s="590"/>
      <c r="I296" s="590"/>
      <c r="J296" s="590"/>
      <c r="K296" s="590"/>
      <c r="L296" s="590"/>
    </row>
    <row r="297" spans="1:12">
      <c r="A297" s="101"/>
      <c r="B297" s="71" t="s">
        <v>95</v>
      </c>
      <c r="C297" s="559" t="s">
        <v>96</v>
      </c>
      <c r="D297" s="559"/>
      <c r="E297" s="559"/>
      <c r="F297" s="559"/>
      <c r="G297" s="559"/>
      <c r="H297" s="559"/>
      <c r="I297" s="559"/>
      <c r="J297" s="559"/>
      <c r="K297" s="559"/>
      <c r="L297" s="560"/>
    </row>
    <row r="298" spans="1:12">
      <c r="A298" s="102" t="s">
        <v>154</v>
      </c>
      <c r="B298" s="72" t="s">
        <v>98</v>
      </c>
      <c r="C298" s="559" t="str">
        <f ca="1">OFFSET('Bateria indicadores proceso'!$F$3,(RIGHT(A298,3)),1)</f>
        <v>Oficina de Información Pública del Interior</v>
      </c>
      <c r="D298" s="559"/>
      <c r="E298" s="559"/>
      <c r="F298" s="559"/>
      <c r="G298" s="559"/>
      <c r="H298" s="559"/>
      <c r="I298" s="559"/>
      <c r="J298" s="559"/>
      <c r="K298" s="559"/>
      <c r="L298" s="560"/>
    </row>
    <row r="299" spans="1:12">
      <c r="A299" s="101"/>
      <c r="B299" s="72" t="s">
        <v>99</v>
      </c>
      <c r="C299" s="559" t="str">
        <f ca="1">OFFSET('Bateria indicadores proceso'!$K$3,(RIGHT(A298,3)),1)</f>
        <v xml:space="preserve"> 		Piezas Gráficas, animaciones y publicaciones en redes sociales elaboradas y publicadas en los medios pertinentes. 							</v>
      </c>
      <c r="D299" s="559"/>
      <c r="E299" s="559"/>
      <c r="F299" s="559"/>
      <c r="G299" s="559"/>
      <c r="H299" s="559"/>
      <c r="I299" s="559"/>
      <c r="J299" s="559"/>
      <c r="K299" s="559"/>
      <c r="L299" s="560"/>
    </row>
    <row r="300" spans="1:12">
      <c r="A300" s="101"/>
      <c r="B300" s="72" t="s">
        <v>100</v>
      </c>
      <c r="C300" s="559" t="str">
        <f ca="1">OFFSET('Bateria indicadores proceso'!$I$3,(RIGHT(A298,3)),1)</f>
        <v>Eficacia</v>
      </c>
      <c r="D300" s="559"/>
      <c r="E300" s="559"/>
      <c r="F300" s="559"/>
      <c r="G300" s="559"/>
      <c r="H300" s="559"/>
      <c r="I300" s="559"/>
      <c r="J300" s="559"/>
      <c r="K300" s="559"/>
      <c r="L300" s="560"/>
    </row>
    <row r="301" spans="1:12" ht="15.75" thickBot="1">
      <c r="A301" s="103"/>
      <c r="B301" s="73" t="s">
        <v>101</v>
      </c>
      <c r="C301" s="559" t="str">
        <f ca="1">OFFSET('Bateria indicadores proceso'!$J$3,(RIGHT(A298,3)),1)</f>
        <v xml:space="preserve">	La gestión, producción y divulgación de información en texto, audio, video o imagen, junto con las respectivas piezas gráficas paras las comunicaciones internas y externas de la entidad son fundamentales para mantener informado tanto al público interno como externo de la ejecución del Ministerio del Interior. onar, producir y divulgar información en texto, audio, video o imagen, y piezas gráficas para las comunicaciones internas y externas de la entidad. Su orientación es mantener.  							</v>
      </c>
      <c r="D301" s="559"/>
      <c r="E301" s="559"/>
      <c r="F301" s="559"/>
      <c r="G301" s="559"/>
      <c r="H301" s="559"/>
      <c r="I301" s="559"/>
      <c r="J301" s="559"/>
      <c r="K301" s="559"/>
      <c r="L301" s="560"/>
    </row>
    <row r="302" spans="1:12" ht="16.5" thickBot="1">
      <c r="A302" s="103"/>
      <c r="B302" s="572" t="s">
        <v>102</v>
      </c>
      <c r="C302" s="573"/>
      <c r="D302" s="573"/>
      <c r="E302" s="573"/>
      <c r="F302" s="573"/>
      <c r="G302" s="573"/>
      <c r="H302" s="573"/>
      <c r="I302" s="573"/>
      <c r="J302" s="573"/>
      <c r="K302" s="573"/>
      <c r="L302" s="574"/>
    </row>
    <row r="303" spans="1:12">
      <c r="A303" s="101"/>
      <c r="B303" s="71" t="s">
        <v>103</v>
      </c>
      <c r="C303" s="559" t="str">
        <f ca="1">OFFSET('Bateria indicadores proceso'!$O$3,(RIGHT(A298,3)),1)</f>
        <v>Porcentaje</v>
      </c>
      <c r="D303" s="559"/>
      <c r="E303" s="559"/>
      <c r="F303" s="559"/>
      <c r="G303" s="559"/>
      <c r="H303" s="559"/>
      <c r="I303" s="559"/>
      <c r="J303" s="559"/>
      <c r="K303" s="559"/>
      <c r="L303" s="560"/>
    </row>
    <row r="304" spans="1:12" ht="24">
      <c r="A304" s="101"/>
      <c r="B304" s="72" t="s">
        <v>104</v>
      </c>
      <c r="C304" s="559"/>
      <c r="D304" s="559"/>
      <c r="E304" s="559"/>
      <c r="F304" s="559"/>
      <c r="G304" s="559"/>
      <c r="H304" s="559"/>
      <c r="I304" s="559"/>
      <c r="J304" s="559"/>
      <c r="K304" s="559"/>
      <c r="L304" s="560"/>
    </row>
    <row r="305" spans="1:12">
      <c r="A305" s="101"/>
      <c r="B305" s="72" t="s">
        <v>105</v>
      </c>
      <c r="C305" s="559" t="str">
        <f ca="1">OFFSET('Bateria indicadores proceso'!$L$3,(RIGHT(A298,3)),1)</f>
        <v xml:space="preserve">(Número de piezas gráficas, animaciones y publicaciones en redes sociales gestionados / Número de piezas gráficas, animaciones y publicaciones en redes sociales solicitados)									</v>
      </c>
      <c r="D305" s="559"/>
      <c r="E305" s="559"/>
      <c r="F305" s="559"/>
      <c r="G305" s="559"/>
      <c r="H305" s="559"/>
      <c r="I305" s="559"/>
      <c r="J305" s="559"/>
      <c r="K305" s="559"/>
      <c r="L305" s="560"/>
    </row>
    <row r="306" spans="1:12">
      <c r="A306" s="101"/>
      <c r="B306" s="72" t="s">
        <v>106</v>
      </c>
      <c r="C306" s="559" t="str">
        <f ca="1">OFFSET('Bateria indicadores proceso'!$Z$3,(RIGHT(A298,3)),1)</f>
        <v>Trimestral</v>
      </c>
      <c r="D306" s="559"/>
      <c r="E306" s="559"/>
      <c r="F306" s="559"/>
      <c r="G306" s="559"/>
      <c r="H306" s="559"/>
      <c r="I306" s="559"/>
      <c r="J306" s="559"/>
      <c r="K306" s="559"/>
      <c r="L306" s="560"/>
    </row>
    <row r="307" spans="1:12">
      <c r="A307" s="101"/>
      <c r="B307" s="72" t="s">
        <v>107</v>
      </c>
      <c r="C307" s="559" t="str">
        <f ca="1">OFFSET('Bateria indicadores proceso'!$X$3,(RIGHT(A298,3)),1)</f>
        <v xml:space="preserve">Documento Tráfico de Comunicaciones mensual, 2026. 									</v>
      </c>
      <c r="D307" s="559"/>
      <c r="E307" s="559"/>
      <c r="F307" s="559"/>
      <c r="G307" s="559"/>
      <c r="H307" s="559"/>
      <c r="I307" s="559"/>
      <c r="J307" s="559"/>
      <c r="K307" s="559"/>
      <c r="L307" s="560"/>
    </row>
    <row r="308" spans="1:12">
      <c r="A308" s="101"/>
      <c r="B308" s="72" t="s">
        <v>108</v>
      </c>
      <c r="C308" s="561">
        <f ca="1">OFFSET('Bateria indicadores proceso'!$P$3,(RIGHT(A298,3)),1)</f>
        <v>2024</v>
      </c>
      <c r="D308" s="561"/>
      <c r="E308" s="561"/>
      <c r="F308" s="561"/>
      <c r="G308" s="561"/>
      <c r="H308" s="561"/>
      <c r="I308" s="561"/>
      <c r="J308" s="561"/>
      <c r="K308" s="561"/>
      <c r="L308" s="566"/>
    </row>
    <row r="309" spans="1:12">
      <c r="A309" s="101"/>
      <c r="B309" s="72" t="s">
        <v>109</v>
      </c>
      <c r="C309" s="561" t="str">
        <f ca="1">IF(C303="Número",TEXT(OFFSET('Bateria indicadores proceso'!$Q$3,(RIGHT(A298,3)),1),"######"),TEXT(OFFSET('Bateria indicadores proceso'!$Q$3,(RIGHT(A298,3)),1),"0.0%"))</f>
        <v>100%</v>
      </c>
      <c r="D309" s="561"/>
      <c r="E309" s="561"/>
      <c r="F309" s="561"/>
      <c r="G309" s="561"/>
      <c r="H309" s="561"/>
      <c r="I309" s="561"/>
      <c r="J309" s="561"/>
      <c r="K309" s="561"/>
      <c r="L309" s="566"/>
    </row>
    <row r="310" spans="1:12">
      <c r="A310" s="101"/>
      <c r="B310" s="72" t="s">
        <v>110</v>
      </c>
      <c r="C310" s="593">
        <f ca="1">+OFFSET('Bateria indicadores proceso'!$R$3,(RIGHT(A298,3)),1)</f>
        <v>46022</v>
      </c>
      <c r="D310" s="593"/>
      <c r="E310" s="593"/>
      <c r="F310" s="593"/>
      <c r="G310" s="593"/>
      <c r="H310" s="593"/>
      <c r="I310" s="593"/>
      <c r="J310" s="593"/>
      <c r="K310" s="593"/>
      <c r="L310" s="594"/>
    </row>
    <row r="311" spans="1:12">
      <c r="A311" s="101"/>
      <c r="B311" s="72" t="s">
        <v>111</v>
      </c>
      <c r="C311" s="561" t="str">
        <f ca="1">OFFSET('Bateria indicadores proceso'!$M$3,(RIGHT(A298,3)),1)</f>
        <v>Mantener</v>
      </c>
      <c r="D311" s="561"/>
      <c r="E311" s="561"/>
      <c r="F311" s="561"/>
      <c r="G311" s="561"/>
      <c r="H311" s="561"/>
      <c r="I311" s="561"/>
      <c r="J311" s="561"/>
      <c r="K311" s="561"/>
      <c r="L311" s="566"/>
    </row>
    <row r="312" spans="1:12">
      <c r="A312" s="101"/>
      <c r="B312" s="72" t="s">
        <v>112</v>
      </c>
      <c r="C312" s="561" t="str">
        <f ca="1">OFFSET('Bateria indicadores proceso'!$N$3,(RIGHT(A298,3)),1)</f>
        <v>Stock</v>
      </c>
      <c r="D312" s="561"/>
      <c r="E312" s="561"/>
      <c r="F312" s="561"/>
      <c r="G312" s="561"/>
      <c r="H312" s="561"/>
      <c r="I312" s="561"/>
      <c r="J312" s="561"/>
      <c r="K312" s="561"/>
      <c r="L312" s="566"/>
    </row>
    <row r="313" spans="1:12">
      <c r="A313" s="101"/>
      <c r="B313" s="72" t="s">
        <v>113</v>
      </c>
      <c r="C313" s="561" t="str">
        <f ca="1">IF(C303="Número",TEXT(OFFSET('Bateria indicadores proceso'!$W$3,(RIGHT(A298,3)),1),"######"),TEXT(OFFSET('Bateria indicadores proceso'!$W$3,(RIGHT(A298,3)),1),"0.0%"))</f>
        <v>100%</v>
      </c>
      <c r="D313" s="561"/>
      <c r="E313" s="561"/>
      <c r="F313" s="561"/>
      <c r="G313" s="561"/>
      <c r="H313" s="561"/>
      <c r="I313" s="561"/>
      <c r="J313" s="561"/>
      <c r="K313" s="561"/>
      <c r="L313" s="566"/>
    </row>
    <row r="314" spans="1:12">
      <c r="A314" s="101"/>
      <c r="B314" s="595" t="s">
        <v>114</v>
      </c>
      <c r="C314" s="70" t="s">
        <v>115</v>
      </c>
      <c r="D314" s="70" t="s">
        <v>116</v>
      </c>
      <c r="E314" s="70" t="s">
        <v>117</v>
      </c>
      <c r="F314" s="70" t="s">
        <v>118</v>
      </c>
      <c r="J314" s="75"/>
      <c r="K314" s="75"/>
      <c r="L314" s="76"/>
    </row>
    <row r="315" spans="1:12">
      <c r="A315" s="101"/>
      <c r="B315" s="595"/>
      <c r="C315" s="70" t="str">
        <f ca="1">IF(C303="Número",TEXT(OFFSET('Bateria indicadores proceso'!$S$3,(RIGHT(A298,3)),1),"######"),TEXT(OFFSET('Bateria indicadores proceso'!$S$3,(RIGHT(A298,3)),1),"0.0%"))</f>
        <v>100%</v>
      </c>
      <c r="D315" s="70" t="str">
        <f ca="1">IF(C303="Número",TEXT(OFFSET('Bateria indicadores proceso'!$T$3,(RIGHT(A298,3)),1),"######"),TEXT(OFFSET('Bateria indicadores proceso'!$T$3,(RIGHT(A298,3)),1),"0.0%"))</f>
        <v>100%</v>
      </c>
      <c r="E315" s="70" t="str">
        <f ca="1">IF(C303="Número",TEXT(OFFSET('Bateria indicadores proceso'!$U$3,(RIGHT(A298,3)),1),"######"),TEXT(OFFSET('Bateria indicadores proceso'!$U$3,(RIGHT(A298,3)),1),"0.0%"))</f>
        <v>100%</v>
      </c>
      <c r="F315" s="70" t="str">
        <f ca="1">IF(C303="Número",TEXT(OFFSET('Bateria indicadores proceso'!$V$3,(RIGHT(A298,3)),1),"######"),TEXT(OFFSET('Bateria indicadores proceso'!$V$3,(RIGHT(A298,3)),1),"0.0%"))</f>
        <v>100%</v>
      </c>
      <c r="J315" s="77"/>
      <c r="K315" s="77"/>
      <c r="L315" s="78"/>
    </row>
    <row r="316" spans="1:12">
      <c r="A316" s="101"/>
      <c r="B316" s="600" t="s">
        <v>119</v>
      </c>
      <c r="C316" s="567" t="s">
        <v>120</v>
      </c>
      <c r="D316" s="568"/>
      <c r="E316" s="567" t="s">
        <v>121</v>
      </c>
      <c r="F316" s="568"/>
      <c r="G316" s="567" t="s">
        <v>122</v>
      </c>
      <c r="H316" s="568"/>
      <c r="I316" s="567" t="s">
        <v>123</v>
      </c>
      <c r="J316" s="568"/>
      <c r="K316" s="567" t="s">
        <v>124</v>
      </c>
      <c r="L316" s="569"/>
    </row>
    <row r="317" spans="1:12">
      <c r="A317" s="101"/>
      <c r="B317" s="601"/>
      <c r="C317" s="570" t="s">
        <v>125</v>
      </c>
      <c r="D317" s="571"/>
      <c r="E317" s="577" t="s">
        <v>126</v>
      </c>
      <c r="F317" s="578"/>
      <c r="G317" s="579" t="s">
        <v>127</v>
      </c>
      <c r="H317" s="580"/>
      <c r="I317" s="581" t="s">
        <v>128</v>
      </c>
      <c r="J317" s="582"/>
      <c r="K317" s="583" t="s">
        <v>129</v>
      </c>
      <c r="L317" s="584"/>
    </row>
    <row r="318" spans="1:12">
      <c r="A318" s="101"/>
      <c r="B318" s="602"/>
      <c r="C318" s="567" t="s">
        <v>130</v>
      </c>
      <c r="D318" s="568"/>
      <c r="E318" s="567" t="s">
        <v>131</v>
      </c>
      <c r="F318" s="568"/>
      <c r="G318" s="585" t="s">
        <v>132</v>
      </c>
      <c r="H318" s="568"/>
      <c r="I318" s="567" t="s">
        <v>133</v>
      </c>
      <c r="J318" s="568"/>
      <c r="K318" s="567" t="s">
        <v>134</v>
      </c>
      <c r="L318" s="569"/>
    </row>
    <row r="319" spans="1:12">
      <c r="A319" s="101"/>
      <c r="B319" s="72" t="s">
        <v>135</v>
      </c>
      <c r="C319" s="559" t="str">
        <f ca="1">OFFSET('Bateria indicadores proceso'!$Y$3,(RIGHT(A298,3)),1)</f>
        <v>Listado o links de acceso a piezas audiovisuales y de imagen gestionados.</v>
      </c>
      <c r="D319" s="559"/>
      <c r="E319" s="559"/>
      <c r="F319" s="559"/>
      <c r="G319" s="559"/>
      <c r="H319" s="559"/>
      <c r="I319" s="559"/>
      <c r="J319" s="559"/>
      <c r="K319" s="559"/>
      <c r="L319" s="560"/>
    </row>
    <row r="320" spans="1:12">
      <c r="A320" s="101"/>
      <c r="B320" s="591" t="s">
        <v>136</v>
      </c>
      <c r="C320" s="561" t="s">
        <v>137</v>
      </c>
      <c r="D320" s="561"/>
      <c r="E320" s="561"/>
      <c r="F320" s="562" t="str">
        <f ca="1">OFFSET('Bateria indicadores proceso'!$B$3,(RIGHT(A298,3)),1)</f>
        <v>PLANEACIÓN, DIRECCIONAMIENTO ESTRATÉGICO Y COMUNICACIONES</v>
      </c>
      <c r="G320" s="562"/>
      <c r="H320" s="562"/>
      <c r="I320" s="562"/>
      <c r="J320" s="562"/>
      <c r="K320" s="562"/>
      <c r="L320" s="563"/>
    </row>
    <row r="321" spans="1:12">
      <c r="A321" s="101"/>
      <c r="B321" s="592"/>
      <c r="C321" s="561" t="s">
        <v>138</v>
      </c>
      <c r="D321" s="561"/>
      <c r="E321" s="561"/>
      <c r="F321" s="564">
        <f ca="1">OFFSET('Bateria indicadores proceso'!$C$3,(RIGHT(A298,3)),1)</f>
        <v>0.2</v>
      </c>
      <c r="G321" s="564"/>
      <c r="H321" s="564"/>
      <c r="I321" s="564"/>
      <c r="J321" s="564"/>
      <c r="K321" s="564"/>
      <c r="L321" s="565"/>
    </row>
    <row r="322" spans="1:12" ht="15.75" thickBot="1">
      <c r="A322" s="101"/>
      <c r="B322" s="592"/>
      <c r="C322" s="561" t="s">
        <v>139</v>
      </c>
      <c r="D322" s="561"/>
      <c r="E322" s="561"/>
      <c r="F322" s="564">
        <f ca="1">OFFSET('Bateria indicadores proceso'!$E$3,(RIGHT(A298,3)),1)</f>
        <v>0.05</v>
      </c>
      <c r="G322" s="564"/>
      <c r="H322" s="564"/>
      <c r="I322" s="564"/>
      <c r="J322" s="564"/>
      <c r="K322" s="564"/>
      <c r="L322" s="565"/>
    </row>
    <row r="323" spans="1:12" ht="16.5" thickBot="1">
      <c r="A323" s="101"/>
      <c r="B323" s="572" t="s">
        <v>140</v>
      </c>
      <c r="C323" s="573"/>
      <c r="D323" s="573"/>
      <c r="E323" s="573"/>
      <c r="F323" s="573"/>
      <c r="G323" s="573"/>
      <c r="H323" s="573"/>
      <c r="I323" s="573"/>
      <c r="J323" s="573"/>
      <c r="K323" s="573"/>
      <c r="L323" s="574"/>
    </row>
    <row r="324" spans="1:12">
      <c r="A324" s="101"/>
      <c r="B324" s="72" t="s">
        <v>142</v>
      </c>
      <c r="C324" s="561" t="str">
        <f ca="1">OFFSET('Bateria indicadores proceso'!$G$3,(RIGHT(A298,3)),1)</f>
        <v xml:space="preserve">Jefe de Oficina </v>
      </c>
      <c r="D324" s="561"/>
      <c r="E324" s="561"/>
      <c r="F324" s="561"/>
      <c r="G324" s="561"/>
      <c r="H324" s="561"/>
      <c r="I324" s="561"/>
      <c r="J324" s="561"/>
      <c r="K324" s="561"/>
      <c r="L324" s="566"/>
    </row>
    <row r="325" spans="1:12">
      <c r="A325" s="101"/>
      <c r="B325" s="72" t="s">
        <v>143</v>
      </c>
      <c r="C325" s="561" t="str">
        <f ca="1">OFFSET('Bateria indicadores proceso'!$F$3,(RIGHT(A298,3)),1)</f>
        <v>Oficina de Información Pública del Interior</v>
      </c>
      <c r="D325" s="561"/>
      <c r="E325" s="561"/>
      <c r="F325" s="561"/>
      <c r="G325" s="561"/>
      <c r="H325" s="561"/>
      <c r="I325" s="561"/>
      <c r="J325" s="561"/>
      <c r="K325" s="561"/>
      <c r="L325" s="566"/>
    </row>
    <row r="326" spans="1:12">
      <c r="A326" s="101"/>
      <c r="B326" s="72" t="s">
        <v>144</v>
      </c>
      <c r="C326" s="598" t="str">
        <f ca="1">OFFSET('Bateria indicadores proceso'!$H$3,(RIGHT(A298,3)),1)</f>
        <v>yitcy.becerra@mininterior.gov.co</v>
      </c>
      <c r="D326" s="598"/>
      <c r="E326" s="598"/>
      <c r="F326" s="598"/>
      <c r="G326" s="598"/>
      <c r="H326" s="598"/>
      <c r="I326" s="598"/>
      <c r="J326" s="598"/>
      <c r="K326" s="598"/>
      <c r="L326" s="599"/>
    </row>
    <row r="327" spans="1:12" ht="15.75" thickBot="1">
      <c r="A327" s="104"/>
      <c r="B327" s="74" t="s">
        <v>145</v>
      </c>
      <c r="C327" s="596" t="s">
        <v>146</v>
      </c>
      <c r="D327" s="596"/>
      <c r="E327" s="596"/>
      <c r="F327" s="596"/>
      <c r="G327" s="596"/>
      <c r="H327" s="596"/>
      <c r="I327" s="596"/>
      <c r="J327" s="596"/>
      <c r="K327" s="596"/>
      <c r="L327" s="597"/>
    </row>
    <row r="328" spans="1:12" ht="15.75" thickBot="1"/>
    <row r="329" spans="1:12" ht="21.75" thickBot="1">
      <c r="A329" s="586" t="s">
        <v>89</v>
      </c>
      <c r="B329" s="587"/>
      <c r="C329" s="587"/>
      <c r="D329" s="587"/>
      <c r="E329" s="587"/>
      <c r="F329" s="587"/>
      <c r="G329" s="587"/>
      <c r="H329" s="587"/>
      <c r="I329" s="587"/>
      <c r="J329" s="587"/>
      <c r="K329" s="587"/>
      <c r="L329" s="588"/>
    </row>
    <row r="330" spans="1:12" ht="32.25" thickBot="1">
      <c r="A330" s="69" t="s">
        <v>90</v>
      </c>
      <c r="B330" s="589" t="s">
        <v>91</v>
      </c>
      <c r="C330" s="589"/>
      <c r="D330" s="589"/>
      <c r="E330" s="589"/>
      <c r="F330" s="589"/>
      <c r="G330" s="589"/>
      <c r="H330" s="589"/>
      <c r="I330" s="589"/>
      <c r="J330" s="589"/>
      <c r="K330" s="589"/>
      <c r="L330" s="589"/>
    </row>
    <row r="331" spans="1:12" ht="16.5" thickBot="1">
      <c r="A331" s="100"/>
      <c r="B331" s="71" t="s">
        <v>92</v>
      </c>
      <c r="C331" s="575" t="s">
        <v>93</v>
      </c>
      <c r="D331" s="575"/>
      <c r="E331" s="575"/>
      <c r="F331" s="575"/>
      <c r="G331" s="575"/>
      <c r="H331" s="575"/>
      <c r="I331" s="575"/>
      <c r="J331" s="575"/>
      <c r="K331" s="575"/>
      <c r="L331" s="576"/>
    </row>
    <row r="332" spans="1:12" ht="16.5" thickBot="1">
      <c r="A332" s="101"/>
      <c r="B332" s="589" t="s">
        <v>94</v>
      </c>
      <c r="C332" s="590"/>
      <c r="D332" s="590"/>
      <c r="E332" s="590"/>
      <c r="F332" s="590"/>
      <c r="G332" s="590"/>
      <c r="H332" s="590"/>
      <c r="I332" s="590"/>
      <c r="J332" s="590"/>
      <c r="K332" s="590"/>
      <c r="L332" s="590"/>
    </row>
    <row r="333" spans="1:12">
      <c r="A333" s="101"/>
      <c r="B333" s="71" t="s">
        <v>95</v>
      </c>
      <c r="C333" s="559" t="s">
        <v>96</v>
      </c>
      <c r="D333" s="559"/>
      <c r="E333" s="559"/>
      <c r="F333" s="559"/>
      <c r="G333" s="559"/>
      <c r="H333" s="559"/>
      <c r="I333" s="559"/>
      <c r="J333" s="559"/>
      <c r="K333" s="559"/>
      <c r="L333" s="560"/>
    </row>
    <row r="334" spans="1:12">
      <c r="A334" s="102" t="s">
        <v>155</v>
      </c>
      <c r="B334" s="72" t="s">
        <v>98</v>
      </c>
      <c r="C334" s="559" t="str">
        <f ca="1">OFFSET('Bateria indicadores proceso'!$F$3,(RIGHT(A334,3)),1)</f>
        <v>Oficina de Información Pública del Interior</v>
      </c>
      <c r="D334" s="559"/>
      <c r="E334" s="559"/>
      <c r="F334" s="559"/>
      <c r="G334" s="559"/>
      <c r="H334" s="559"/>
      <c r="I334" s="559"/>
      <c r="J334" s="559"/>
      <c r="K334" s="559"/>
      <c r="L334" s="560"/>
    </row>
    <row r="335" spans="1:12">
      <c r="A335" s="101"/>
      <c r="B335" s="72" t="s">
        <v>99</v>
      </c>
      <c r="C335" s="559" t="str">
        <f ca="1">OFFSET('Bateria indicadores proceso'!$K$3,(RIGHT(A334,3)),1)</f>
        <v xml:space="preserve">Piezas audiovisuales y de imagen gestionados de acuerdo con las necesidades de comunicación interna y externa de la entidad. 									</v>
      </c>
      <c r="D335" s="559"/>
      <c r="E335" s="559"/>
      <c r="F335" s="559"/>
      <c r="G335" s="559"/>
      <c r="H335" s="559"/>
      <c r="I335" s="559"/>
      <c r="J335" s="559"/>
      <c r="K335" s="559"/>
      <c r="L335" s="560"/>
    </row>
    <row r="336" spans="1:12">
      <c r="A336" s="101"/>
      <c r="B336" s="72" t="s">
        <v>100</v>
      </c>
      <c r="C336" s="559" t="str">
        <f ca="1">OFFSET('Bateria indicadores proceso'!$I$3,(RIGHT(A334,3)),1)</f>
        <v>Eficacia</v>
      </c>
      <c r="D336" s="559"/>
      <c r="E336" s="559"/>
      <c r="F336" s="559"/>
      <c r="G336" s="559"/>
      <c r="H336" s="559"/>
      <c r="I336" s="559"/>
      <c r="J336" s="559"/>
      <c r="K336" s="559"/>
      <c r="L336" s="560"/>
    </row>
    <row r="337" spans="1:12" ht="15.75" thickBot="1">
      <c r="A337" s="103"/>
      <c r="B337" s="73" t="s">
        <v>101</v>
      </c>
      <c r="C337" s="559" t="str">
        <f ca="1">OFFSET('Bateria indicadores proceso'!$J$3,(RIGHT(A334,3)),1)</f>
        <v>Realizar y producir material audiovisual y fotográfico como apoyo a las comunicaciones internas y externas para envío a medios de comunicación y emisión a través de los canales digitales del Ministerio del Interior. Es importante su medición porque así se pued valorar cómo se está comunicando interna y externamente a través de material audiovisual y fotográfico. Su orientación es de mantener.</v>
      </c>
      <c r="D337" s="559"/>
      <c r="E337" s="559"/>
      <c r="F337" s="559"/>
      <c r="G337" s="559"/>
      <c r="H337" s="559"/>
      <c r="I337" s="559"/>
      <c r="J337" s="559"/>
      <c r="K337" s="559"/>
      <c r="L337" s="560"/>
    </row>
    <row r="338" spans="1:12" ht="16.5" thickBot="1">
      <c r="A338" s="103"/>
      <c r="B338" s="572" t="s">
        <v>102</v>
      </c>
      <c r="C338" s="573"/>
      <c r="D338" s="573"/>
      <c r="E338" s="573"/>
      <c r="F338" s="573"/>
      <c r="G338" s="573"/>
      <c r="H338" s="573"/>
      <c r="I338" s="573"/>
      <c r="J338" s="573"/>
      <c r="K338" s="573"/>
      <c r="L338" s="574"/>
    </row>
    <row r="339" spans="1:12">
      <c r="A339" s="101"/>
      <c r="B339" s="71" t="s">
        <v>103</v>
      </c>
      <c r="C339" s="559" t="str">
        <f ca="1">OFFSET('Bateria indicadores proceso'!$O$3,(RIGHT(A334,3)),1)</f>
        <v>Porcentaje</v>
      </c>
      <c r="D339" s="559"/>
      <c r="E339" s="559"/>
      <c r="F339" s="559"/>
      <c r="G339" s="559"/>
      <c r="H339" s="559"/>
      <c r="I339" s="559"/>
      <c r="J339" s="559"/>
      <c r="K339" s="559"/>
      <c r="L339" s="560"/>
    </row>
    <row r="340" spans="1:12" ht="24">
      <c r="A340" s="101"/>
      <c r="B340" s="72" t="s">
        <v>104</v>
      </c>
      <c r="C340" s="559"/>
      <c r="D340" s="559"/>
      <c r="E340" s="559"/>
      <c r="F340" s="559"/>
      <c r="G340" s="559"/>
      <c r="H340" s="559"/>
      <c r="I340" s="559"/>
      <c r="J340" s="559"/>
      <c r="K340" s="559"/>
      <c r="L340" s="560"/>
    </row>
    <row r="341" spans="1:12">
      <c r="A341" s="101"/>
      <c r="B341" s="72" t="s">
        <v>105</v>
      </c>
      <c r="C341" s="559" t="str">
        <f ca="1">OFFSET('Bateria indicadores proceso'!$L$3,(RIGHT(A334,3)),1)</f>
        <v xml:space="preserve">(Número de piezas audiovisuales y de imagen gestionados / Número de piezas audiovisuales y de imagen solicitadas)*100									</v>
      </c>
      <c r="D341" s="559"/>
      <c r="E341" s="559"/>
      <c r="F341" s="559"/>
      <c r="G341" s="559"/>
      <c r="H341" s="559"/>
      <c r="I341" s="559"/>
      <c r="J341" s="559"/>
      <c r="K341" s="559"/>
      <c r="L341" s="560"/>
    </row>
    <row r="342" spans="1:12">
      <c r="A342" s="101"/>
      <c r="B342" s="72" t="s">
        <v>106</v>
      </c>
      <c r="C342" s="559" t="str">
        <f ca="1">OFFSET('Bateria indicadores proceso'!$Z$3,(RIGHT(A334,3)),1)</f>
        <v>Trimestral</v>
      </c>
      <c r="D342" s="559"/>
      <c r="E342" s="559"/>
      <c r="F342" s="559"/>
      <c r="G342" s="559"/>
      <c r="H342" s="559"/>
      <c r="I342" s="559"/>
      <c r="J342" s="559"/>
      <c r="K342" s="559"/>
      <c r="L342" s="560"/>
    </row>
    <row r="343" spans="1:12">
      <c r="A343" s="101"/>
      <c r="B343" s="72" t="s">
        <v>107</v>
      </c>
      <c r="C343" s="559" t="str">
        <f ca="1">OFFSET('Bateria indicadores proceso'!$X$3,(RIGHT(A334,3)),1)</f>
        <v xml:space="preserve">Documento Tráfico de Comunicaciones mensual, 2026. 									</v>
      </c>
      <c r="D343" s="559"/>
      <c r="E343" s="559"/>
      <c r="F343" s="559"/>
      <c r="G343" s="559"/>
      <c r="H343" s="559"/>
      <c r="I343" s="559"/>
      <c r="J343" s="559"/>
      <c r="K343" s="559"/>
      <c r="L343" s="560"/>
    </row>
    <row r="344" spans="1:12">
      <c r="A344" s="101"/>
      <c r="B344" s="72" t="s">
        <v>108</v>
      </c>
      <c r="C344" s="561">
        <f ca="1">OFFSET('Bateria indicadores proceso'!$P$3,(RIGHT(A334,3)),1)</f>
        <v>2024</v>
      </c>
      <c r="D344" s="561"/>
      <c r="E344" s="561"/>
      <c r="F344" s="561"/>
      <c r="G344" s="561"/>
      <c r="H344" s="561"/>
      <c r="I344" s="561"/>
      <c r="J344" s="561"/>
      <c r="K344" s="561"/>
      <c r="L344" s="566"/>
    </row>
    <row r="345" spans="1:12">
      <c r="A345" s="101"/>
      <c r="B345" s="72" t="s">
        <v>109</v>
      </c>
      <c r="C345" s="561" t="str">
        <f ca="1">IF(C339="Número",TEXT(OFFSET('Bateria indicadores proceso'!$Q$3,(RIGHT(A334,3)),1),"######"),TEXT(OFFSET('Bateria indicadores proceso'!$Q$3,(RIGHT(A334,3)),1),"0.0%"))</f>
        <v>100%</v>
      </c>
      <c r="D345" s="561"/>
      <c r="E345" s="561"/>
      <c r="F345" s="561"/>
      <c r="G345" s="561"/>
      <c r="H345" s="561"/>
      <c r="I345" s="561"/>
      <c r="J345" s="561"/>
      <c r="K345" s="561"/>
      <c r="L345" s="566"/>
    </row>
    <row r="346" spans="1:12">
      <c r="A346" s="101"/>
      <c r="B346" s="72" t="s">
        <v>110</v>
      </c>
      <c r="C346" s="593">
        <f ca="1">+OFFSET('Bateria indicadores proceso'!$R$3,(RIGHT(A334,3)),1)</f>
        <v>46022</v>
      </c>
      <c r="D346" s="593"/>
      <c r="E346" s="593"/>
      <c r="F346" s="593"/>
      <c r="G346" s="593"/>
      <c r="H346" s="593"/>
      <c r="I346" s="593"/>
      <c r="J346" s="593"/>
      <c r="K346" s="593"/>
      <c r="L346" s="594"/>
    </row>
    <row r="347" spans="1:12">
      <c r="A347" s="101"/>
      <c r="B347" s="72" t="s">
        <v>111</v>
      </c>
      <c r="C347" s="561" t="str">
        <f ca="1">OFFSET('Bateria indicadores proceso'!$M$3,(RIGHT(A334,3)),1)</f>
        <v>Mantener</v>
      </c>
      <c r="D347" s="561"/>
      <c r="E347" s="561"/>
      <c r="F347" s="561"/>
      <c r="G347" s="561"/>
      <c r="H347" s="561"/>
      <c r="I347" s="561"/>
      <c r="J347" s="561"/>
      <c r="K347" s="561"/>
      <c r="L347" s="566"/>
    </row>
    <row r="348" spans="1:12">
      <c r="A348" s="101"/>
      <c r="B348" s="72" t="s">
        <v>112</v>
      </c>
      <c r="C348" s="561" t="str">
        <f ca="1">OFFSET('Bateria indicadores proceso'!$N$3,(RIGHT(A334,3)),1)</f>
        <v>Stock</v>
      </c>
      <c r="D348" s="561"/>
      <c r="E348" s="561"/>
      <c r="F348" s="561"/>
      <c r="G348" s="561"/>
      <c r="H348" s="561"/>
      <c r="I348" s="561"/>
      <c r="J348" s="561"/>
      <c r="K348" s="561"/>
      <c r="L348" s="566"/>
    </row>
    <row r="349" spans="1:12">
      <c r="A349" s="101"/>
      <c r="B349" s="72" t="s">
        <v>113</v>
      </c>
      <c r="C349" s="561" t="str">
        <f ca="1">IF(C339="Número",TEXT(OFFSET('Bateria indicadores proceso'!$W$3,(RIGHT(A334,3)),1),"######"),TEXT(OFFSET('Bateria indicadores proceso'!$W$3,(RIGHT(A334,3)),1),"0.0%"))</f>
        <v>100%</v>
      </c>
      <c r="D349" s="561"/>
      <c r="E349" s="561"/>
      <c r="F349" s="561"/>
      <c r="G349" s="561"/>
      <c r="H349" s="561"/>
      <c r="I349" s="561"/>
      <c r="J349" s="561"/>
      <c r="K349" s="561"/>
      <c r="L349" s="566"/>
    </row>
    <row r="350" spans="1:12">
      <c r="A350" s="101"/>
      <c r="B350" s="595" t="s">
        <v>114</v>
      </c>
      <c r="C350" s="70" t="s">
        <v>115</v>
      </c>
      <c r="D350" s="70" t="s">
        <v>116</v>
      </c>
      <c r="E350" s="70" t="s">
        <v>117</v>
      </c>
      <c r="F350" s="70" t="s">
        <v>118</v>
      </c>
      <c r="J350" s="75"/>
      <c r="K350" s="75"/>
      <c r="L350" s="76"/>
    </row>
    <row r="351" spans="1:12">
      <c r="A351" s="101"/>
      <c r="B351" s="595"/>
      <c r="C351" s="70" t="str">
        <f ca="1">IF(C339="Número",TEXT(OFFSET('Bateria indicadores proceso'!$S$3,(RIGHT(A334,3)),1),"######"),TEXT(OFFSET('Bateria indicadores proceso'!$S$3,(RIGHT(A334,3)),1),"0.0%"))</f>
        <v>100%</v>
      </c>
      <c r="D351" s="70" t="str">
        <f ca="1">IF(C339="Número",TEXT(OFFSET('Bateria indicadores proceso'!$T$3,(RIGHT(A334,3)),1),"######"),TEXT(OFFSET('Bateria indicadores proceso'!$T$3,(RIGHT(A334,3)),1),"0.0%"))</f>
        <v>100%</v>
      </c>
      <c r="E351" s="70" t="str">
        <f ca="1">IF(C339="Número",TEXT(OFFSET('Bateria indicadores proceso'!$U$3,(RIGHT(A334,3)),1),"######"),TEXT(OFFSET('Bateria indicadores proceso'!$U$3,(RIGHT(A334,3)),1),"0.0%"))</f>
        <v>100%</v>
      </c>
      <c r="F351" s="70" t="str">
        <f ca="1">IF(C339="Número",TEXT(OFFSET('Bateria indicadores proceso'!$V$3,(RIGHT(A334,3)),1),"######"),TEXT(OFFSET('Bateria indicadores proceso'!$V$3,(RIGHT(A334,3)),1),"0.0%"))</f>
        <v>100%</v>
      </c>
      <c r="J351" s="77"/>
      <c r="K351" s="77"/>
      <c r="L351" s="78"/>
    </row>
    <row r="352" spans="1:12">
      <c r="A352" s="101"/>
      <c r="B352" s="600" t="s">
        <v>119</v>
      </c>
      <c r="C352" s="567" t="s">
        <v>120</v>
      </c>
      <c r="D352" s="568"/>
      <c r="E352" s="567" t="s">
        <v>121</v>
      </c>
      <c r="F352" s="568"/>
      <c r="G352" s="567" t="s">
        <v>122</v>
      </c>
      <c r="H352" s="568"/>
      <c r="I352" s="567" t="s">
        <v>123</v>
      </c>
      <c r="J352" s="568"/>
      <c r="K352" s="567" t="s">
        <v>124</v>
      </c>
      <c r="L352" s="569"/>
    </row>
    <row r="353" spans="1:12">
      <c r="A353" s="101"/>
      <c r="B353" s="601"/>
      <c r="C353" s="570" t="s">
        <v>125</v>
      </c>
      <c r="D353" s="571"/>
      <c r="E353" s="577" t="s">
        <v>126</v>
      </c>
      <c r="F353" s="578"/>
      <c r="G353" s="579" t="s">
        <v>127</v>
      </c>
      <c r="H353" s="580"/>
      <c r="I353" s="581" t="s">
        <v>128</v>
      </c>
      <c r="J353" s="582"/>
      <c r="K353" s="583" t="s">
        <v>129</v>
      </c>
      <c r="L353" s="584"/>
    </row>
    <row r="354" spans="1:12">
      <c r="A354" s="101"/>
      <c r="B354" s="602"/>
      <c r="C354" s="567" t="s">
        <v>130</v>
      </c>
      <c r="D354" s="568"/>
      <c r="E354" s="567" t="s">
        <v>131</v>
      </c>
      <c r="F354" s="568"/>
      <c r="G354" s="585" t="s">
        <v>132</v>
      </c>
      <c r="H354" s="568"/>
      <c r="I354" s="567" t="s">
        <v>133</v>
      </c>
      <c r="J354" s="568"/>
      <c r="K354" s="567" t="s">
        <v>134</v>
      </c>
      <c r="L354" s="569"/>
    </row>
    <row r="355" spans="1:12">
      <c r="A355" s="101"/>
      <c r="B355" s="72" t="s">
        <v>135</v>
      </c>
      <c r="C355" s="559" t="str">
        <f ca="1">OFFSET('Bateria indicadores proceso'!$Y$3,(RIGHT(A334,3)),1)</f>
        <v xml:space="preserve">Listado o links de acceso a piezas audiovisuales y de imagen gestionados. 									</v>
      </c>
      <c r="D355" s="559"/>
      <c r="E355" s="559"/>
      <c r="F355" s="559"/>
      <c r="G355" s="559"/>
      <c r="H355" s="559"/>
      <c r="I355" s="559"/>
      <c r="J355" s="559"/>
      <c r="K355" s="559"/>
      <c r="L355" s="560"/>
    </row>
    <row r="356" spans="1:12">
      <c r="A356" s="101"/>
      <c r="B356" s="591" t="s">
        <v>136</v>
      </c>
      <c r="C356" s="561" t="s">
        <v>137</v>
      </c>
      <c r="D356" s="561"/>
      <c r="E356" s="561"/>
      <c r="F356" s="562" t="str">
        <f ca="1">OFFSET('Bateria indicadores proceso'!$B$3,(RIGHT(A334,3)),1)</f>
        <v>PLANEACIÓN, DIRECCIONAMIENTO ESTRATÉGICO Y COMUNICACIONES</v>
      </c>
      <c r="G356" s="562"/>
      <c r="H356" s="562"/>
      <c r="I356" s="562"/>
      <c r="J356" s="562"/>
      <c r="K356" s="562"/>
      <c r="L356" s="563"/>
    </row>
    <row r="357" spans="1:12">
      <c r="A357" s="101"/>
      <c r="B357" s="592"/>
      <c r="C357" s="561" t="s">
        <v>138</v>
      </c>
      <c r="D357" s="561"/>
      <c r="E357" s="561"/>
      <c r="F357" s="564">
        <f ca="1">OFFSET('Bateria indicadores proceso'!$C$3,(RIGHT(A334,3)),1)</f>
        <v>0.2</v>
      </c>
      <c r="G357" s="564"/>
      <c r="H357" s="564"/>
      <c r="I357" s="564"/>
      <c r="J357" s="564"/>
      <c r="K357" s="564"/>
      <c r="L357" s="565"/>
    </row>
    <row r="358" spans="1:12" ht="15.75" thickBot="1">
      <c r="A358" s="101"/>
      <c r="B358" s="592"/>
      <c r="C358" s="561" t="s">
        <v>139</v>
      </c>
      <c r="D358" s="561"/>
      <c r="E358" s="561"/>
      <c r="F358" s="564">
        <f ca="1">OFFSET('Bateria indicadores proceso'!$E$3,(RIGHT(A334,3)),1)</f>
        <v>0.05</v>
      </c>
      <c r="G358" s="564"/>
      <c r="H358" s="564"/>
      <c r="I358" s="564"/>
      <c r="J358" s="564"/>
      <c r="K358" s="564"/>
      <c r="L358" s="565"/>
    </row>
    <row r="359" spans="1:12" ht="16.5" thickBot="1">
      <c r="A359" s="101"/>
      <c r="B359" s="572" t="s">
        <v>140</v>
      </c>
      <c r="C359" s="573"/>
      <c r="D359" s="573"/>
      <c r="E359" s="573"/>
      <c r="F359" s="573"/>
      <c r="G359" s="573"/>
      <c r="H359" s="573"/>
      <c r="I359" s="573"/>
      <c r="J359" s="573"/>
      <c r="K359" s="573"/>
      <c r="L359" s="574"/>
    </row>
    <row r="360" spans="1:12">
      <c r="A360" s="101"/>
      <c r="B360" s="72" t="s">
        <v>142</v>
      </c>
      <c r="C360" s="561" t="str">
        <f ca="1">OFFSET('Bateria indicadores proceso'!$G$3,(RIGHT(A334,3)),1)</f>
        <v xml:space="preserve">Jefe de Oficina </v>
      </c>
      <c r="D360" s="561"/>
      <c r="E360" s="561"/>
      <c r="F360" s="561"/>
      <c r="G360" s="561"/>
      <c r="H360" s="561"/>
      <c r="I360" s="561"/>
      <c r="J360" s="561"/>
      <c r="K360" s="561"/>
      <c r="L360" s="566"/>
    </row>
    <row r="361" spans="1:12">
      <c r="A361" s="101"/>
      <c r="B361" s="72" t="s">
        <v>143</v>
      </c>
      <c r="C361" s="561" t="str">
        <f ca="1">OFFSET('Bateria indicadores proceso'!$F$3,(RIGHT(A334,3)),1)</f>
        <v>Oficina de Información Pública del Interior</v>
      </c>
      <c r="D361" s="561"/>
      <c r="E361" s="561"/>
      <c r="F361" s="561"/>
      <c r="G361" s="561"/>
      <c r="H361" s="561"/>
      <c r="I361" s="561"/>
      <c r="J361" s="561"/>
      <c r="K361" s="561"/>
      <c r="L361" s="566"/>
    </row>
    <row r="362" spans="1:12">
      <c r="A362" s="101"/>
      <c r="B362" s="72" t="s">
        <v>144</v>
      </c>
      <c r="C362" s="598" t="str">
        <f ca="1">OFFSET('Bateria indicadores proceso'!$H$3,(RIGHT(A298,3)),1)</f>
        <v>yitcy.becerra@mininterior.gov.co</v>
      </c>
      <c r="D362" s="598"/>
      <c r="E362" s="598"/>
      <c r="F362" s="598"/>
      <c r="G362" s="598"/>
      <c r="H362" s="598"/>
      <c r="I362" s="598"/>
      <c r="J362" s="598"/>
      <c r="K362" s="598"/>
      <c r="L362" s="599"/>
    </row>
    <row r="363" spans="1:12" ht="15.75" thickBot="1">
      <c r="A363" s="104"/>
      <c r="B363" s="74" t="s">
        <v>145</v>
      </c>
      <c r="C363" s="596" t="s">
        <v>146</v>
      </c>
      <c r="D363" s="596"/>
      <c r="E363" s="596"/>
      <c r="F363" s="596"/>
      <c r="G363" s="596"/>
      <c r="H363" s="596"/>
      <c r="I363" s="596"/>
      <c r="J363" s="596"/>
      <c r="K363" s="596"/>
      <c r="L363" s="597"/>
    </row>
    <row r="364" spans="1:12" ht="15.75" thickBot="1"/>
    <row r="365" spans="1:12" ht="21.75" thickBot="1">
      <c r="A365" s="586" t="s">
        <v>89</v>
      </c>
      <c r="B365" s="587"/>
      <c r="C365" s="587"/>
      <c r="D365" s="587"/>
      <c r="E365" s="587"/>
      <c r="F365" s="587"/>
      <c r="G365" s="587"/>
      <c r="H365" s="587"/>
      <c r="I365" s="587"/>
      <c r="J365" s="587"/>
      <c r="K365" s="587"/>
      <c r="L365" s="588"/>
    </row>
    <row r="366" spans="1:12" ht="32.25" thickBot="1">
      <c r="A366" s="69" t="s">
        <v>90</v>
      </c>
      <c r="B366" s="589" t="s">
        <v>91</v>
      </c>
      <c r="C366" s="589"/>
      <c r="D366" s="589"/>
      <c r="E366" s="589"/>
      <c r="F366" s="589"/>
      <c r="G366" s="589"/>
      <c r="H366" s="589"/>
      <c r="I366" s="589"/>
      <c r="J366" s="589"/>
      <c r="K366" s="589"/>
      <c r="L366" s="589"/>
    </row>
    <row r="367" spans="1:12" ht="16.5" thickBot="1">
      <c r="A367" s="100"/>
      <c r="B367" s="71" t="s">
        <v>92</v>
      </c>
      <c r="C367" s="575" t="s">
        <v>93</v>
      </c>
      <c r="D367" s="575"/>
      <c r="E367" s="575"/>
      <c r="F367" s="575"/>
      <c r="G367" s="575"/>
      <c r="H367" s="575"/>
      <c r="I367" s="575"/>
      <c r="J367" s="575"/>
      <c r="K367" s="575"/>
      <c r="L367" s="576"/>
    </row>
    <row r="368" spans="1:12" ht="16.5" thickBot="1">
      <c r="A368" s="101"/>
      <c r="B368" s="589" t="s">
        <v>94</v>
      </c>
      <c r="C368" s="590"/>
      <c r="D368" s="590"/>
      <c r="E368" s="590"/>
      <c r="F368" s="590"/>
      <c r="G368" s="590"/>
      <c r="H368" s="590"/>
      <c r="I368" s="590"/>
      <c r="J368" s="590"/>
      <c r="K368" s="590"/>
      <c r="L368" s="590"/>
    </row>
    <row r="369" spans="1:12">
      <c r="A369" s="101"/>
      <c r="B369" s="71" t="s">
        <v>95</v>
      </c>
      <c r="C369" s="559" t="s">
        <v>96</v>
      </c>
      <c r="D369" s="559"/>
      <c r="E369" s="559"/>
      <c r="F369" s="559"/>
      <c r="G369" s="559"/>
      <c r="H369" s="559"/>
      <c r="I369" s="559"/>
      <c r="J369" s="559"/>
      <c r="K369" s="559"/>
      <c r="L369" s="560"/>
    </row>
    <row r="370" spans="1:12">
      <c r="A370" s="102" t="s">
        <v>156</v>
      </c>
      <c r="B370" s="72" t="s">
        <v>98</v>
      </c>
      <c r="C370" s="559" t="str">
        <f ca="1">OFFSET('Bateria indicadores proceso'!$F$3,(RIGHT(A370,3)),1)</f>
        <v>Oficina Asesora de Planeación</v>
      </c>
      <c r="D370" s="559"/>
      <c r="E370" s="559"/>
      <c r="F370" s="559"/>
      <c r="G370" s="559"/>
      <c r="H370" s="559"/>
      <c r="I370" s="559"/>
      <c r="J370" s="559"/>
      <c r="K370" s="559"/>
      <c r="L370" s="560"/>
    </row>
    <row r="371" spans="1:12">
      <c r="A371" s="101"/>
      <c r="B371" s="72" t="s">
        <v>99</v>
      </c>
      <c r="C371" s="559" t="str">
        <f ca="1">OFFSET('Bateria indicadores proceso'!$K$3,(RIGHT(A370,3)),1)</f>
        <v>Red de gestión del conocimiento y la innovación implementada en el Ministerio del Interior</v>
      </c>
      <c r="D371" s="559"/>
      <c r="E371" s="559"/>
      <c r="F371" s="559"/>
      <c r="G371" s="559"/>
      <c r="H371" s="559"/>
      <c r="I371" s="559"/>
      <c r="J371" s="559"/>
      <c r="K371" s="559"/>
      <c r="L371" s="560"/>
    </row>
    <row r="372" spans="1:12">
      <c r="A372" s="101"/>
      <c r="B372" s="72" t="s">
        <v>100</v>
      </c>
      <c r="C372" s="559" t="str">
        <f ca="1">OFFSET('Bateria indicadores proceso'!$I$3,(RIGHT(A370,3)),1)</f>
        <v>Efectividad</v>
      </c>
      <c r="D372" s="559"/>
      <c r="E372" s="559"/>
      <c r="F372" s="559"/>
      <c r="G372" s="559"/>
      <c r="H372" s="559"/>
      <c r="I372" s="559"/>
      <c r="J372" s="559"/>
      <c r="K372" s="559"/>
      <c r="L372" s="560"/>
    </row>
    <row r="373" spans="1:12" ht="15.75" thickBot="1">
      <c r="A373" s="103"/>
      <c r="B373" s="73" t="s">
        <v>101</v>
      </c>
      <c r="C373" s="559" t="str">
        <f ca="1">OFFSET('Bateria indicadores proceso'!$J$3,(RIGHT(A370,3)),1)</f>
        <v xml:space="preserve">Desarrollas estrategias de difusión y marketing disruptivas y de alto impacto para dar a conocer la Red de Gestión del Conocimiento y la Innovación, es importante medirlo porque los resultados obtenidos permiten verficar el dominio del tema de Gestión del Conocimiento y la Innovación en la Entidad,  el tipo de Orientación del Indicador es Incrementar dado que asi se afianza la Cultura de la Gestión del Conocimiento y la Innovación. </v>
      </c>
      <c r="D373" s="559"/>
      <c r="E373" s="559"/>
      <c r="F373" s="559"/>
      <c r="G373" s="559"/>
      <c r="H373" s="559"/>
      <c r="I373" s="559"/>
      <c r="J373" s="559"/>
      <c r="K373" s="559"/>
      <c r="L373" s="560"/>
    </row>
    <row r="374" spans="1:12" ht="16.5" thickBot="1">
      <c r="A374" s="103"/>
      <c r="B374" s="572" t="s">
        <v>102</v>
      </c>
      <c r="C374" s="573"/>
      <c r="D374" s="573"/>
      <c r="E374" s="573"/>
      <c r="F374" s="573"/>
      <c r="G374" s="573"/>
      <c r="H374" s="573"/>
      <c r="I374" s="573"/>
      <c r="J374" s="573"/>
      <c r="K374" s="573"/>
      <c r="L374" s="574"/>
    </row>
    <row r="375" spans="1:12">
      <c r="A375" s="101"/>
      <c r="B375" s="71" t="s">
        <v>103</v>
      </c>
      <c r="C375" s="559" t="str">
        <f ca="1">OFFSET('Bateria indicadores proceso'!$O$3,(RIGHT(A370,3)),1)</f>
        <v>Número</v>
      </c>
      <c r="D375" s="559"/>
      <c r="E375" s="559"/>
      <c r="F375" s="559"/>
      <c r="G375" s="559"/>
      <c r="H375" s="559"/>
      <c r="I375" s="559"/>
      <c r="J375" s="559"/>
      <c r="K375" s="559"/>
      <c r="L375" s="560"/>
    </row>
    <row r="376" spans="1:12" ht="24">
      <c r="A376" s="101"/>
      <c r="B376" s="72" t="s">
        <v>104</v>
      </c>
      <c r="C376" s="559"/>
      <c r="D376" s="559"/>
      <c r="E376" s="559"/>
      <c r="F376" s="559"/>
      <c r="G376" s="559"/>
      <c r="H376" s="559"/>
      <c r="I376" s="559"/>
      <c r="J376" s="559"/>
      <c r="K376" s="559"/>
      <c r="L376" s="560"/>
    </row>
    <row r="377" spans="1:12">
      <c r="A377" s="101"/>
      <c r="B377" s="72" t="s">
        <v>105</v>
      </c>
      <c r="C377" s="559" t="str">
        <f ca="1">OFFSET('Bateria indicadores proceso'!$L$3,(RIGHT(A370,3)),1)</f>
        <v>Sumatoria de la evaluación de satisfacción de número de personas que conocen la Red de Gestión del Conocimiento y la Innovación.</v>
      </c>
      <c r="D377" s="559"/>
      <c r="E377" s="559"/>
      <c r="F377" s="559"/>
      <c r="G377" s="559"/>
      <c r="H377" s="559"/>
      <c r="I377" s="559"/>
      <c r="J377" s="559"/>
      <c r="K377" s="559"/>
      <c r="L377" s="560"/>
    </row>
    <row r="378" spans="1:12">
      <c r="A378" s="101"/>
      <c r="B378" s="72" t="s">
        <v>106</v>
      </c>
      <c r="C378" s="559" t="str">
        <f ca="1">OFFSET('Bateria indicadores proceso'!$Z$3,(RIGHT(A370,3)),1)</f>
        <v>Trimestral</v>
      </c>
      <c r="D378" s="559"/>
      <c r="E378" s="559"/>
      <c r="F378" s="559"/>
      <c r="G378" s="559"/>
      <c r="H378" s="559"/>
      <c r="I378" s="559"/>
      <c r="J378" s="559"/>
      <c r="K378" s="559"/>
      <c r="L378" s="560"/>
    </row>
    <row r="379" spans="1:12">
      <c r="A379" s="101"/>
      <c r="B379" s="72" t="s">
        <v>107</v>
      </c>
      <c r="C379" s="559" t="str">
        <f ca="1">OFFSET('Bateria indicadores proceso'!$X$3,(RIGHT(A370,3)),1)</f>
        <v>Evaluación de satisfacción aplicadas</v>
      </c>
      <c r="D379" s="559"/>
      <c r="E379" s="559"/>
      <c r="F379" s="559"/>
      <c r="G379" s="559"/>
      <c r="H379" s="559"/>
      <c r="I379" s="559"/>
      <c r="J379" s="559"/>
      <c r="K379" s="559"/>
      <c r="L379" s="560"/>
    </row>
    <row r="380" spans="1:12">
      <c r="A380" s="101"/>
      <c r="B380" s="72" t="s">
        <v>108</v>
      </c>
      <c r="C380" s="561" t="str">
        <f ca="1">OFFSET('Bateria indicadores proceso'!$P$3,(RIGHT(A370,3)),1)</f>
        <v>No aplica</v>
      </c>
      <c r="D380" s="561"/>
      <c r="E380" s="561"/>
      <c r="F380" s="561"/>
      <c r="G380" s="561"/>
      <c r="H380" s="561"/>
      <c r="I380" s="561"/>
      <c r="J380" s="561"/>
      <c r="K380" s="561"/>
      <c r="L380" s="566"/>
    </row>
    <row r="381" spans="1:12">
      <c r="A381" s="101"/>
      <c r="B381" s="72" t="s">
        <v>109</v>
      </c>
      <c r="C381" s="561" t="str">
        <f ca="1">IF(C375="Número",TEXT(OFFSET('Bateria indicadores proceso'!$Q$3,(RIGHT(A370,3)),1),"######"),TEXT(OFFSET('Bateria indicadores proceso'!$Q$3,(RIGHT(A370,3)),1),"0.0%"))</f>
        <v>No aplica</v>
      </c>
      <c r="D381" s="561"/>
      <c r="E381" s="561"/>
      <c r="F381" s="561"/>
      <c r="G381" s="561"/>
      <c r="H381" s="561"/>
      <c r="I381" s="561"/>
      <c r="J381" s="561"/>
      <c r="K381" s="561"/>
      <c r="L381" s="566"/>
    </row>
    <row r="382" spans="1:12">
      <c r="A382" s="101"/>
      <c r="B382" s="72" t="s">
        <v>110</v>
      </c>
      <c r="C382" s="593" t="str">
        <f ca="1">+OFFSET('Bateria indicadores proceso'!$R$3,(RIGHT(A370,3)),1)</f>
        <v>No aplica</v>
      </c>
      <c r="D382" s="593"/>
      <c r="E382" s="593"/>
      <c r="F382" s="593"/>
      <c r="G382" s="593"/>
      <c r="H382" s="593"/>
      <c r="I382" s="593"/>
      <c r="J382" s="593"/>
      <c r="K382" s="593"/>
      <c r="L382" s="594"/>
    </row>
    <row r="383" spans="1:12">
      <c r="A383" s="101"/>
      <c r="B383" s="72" t="s">
        <v>111</v>
      </c>
      <c r="C383" s="561" t="str">
        <f ca="1">OFFSET('Bateria indicadores proceso'!$M$3,(RIGHT(A370,3)),1)</f>
        <v>Incrementar</v>
      </c>
      <c r="D383" s="561"/>
      <c r="E383" s="561"/>
      <c r="F383" s="561"/>
      <c r="G383" s="561"/>
      <c r="H383" s="561"/>
      <c r="I383" s="561"/>
      <c r="J383" s="561"/>
      <c r="K383" s="561"/>
      <c r="L383" s="566"/>
    </row>
    <row r="384" spans="1:12">
      <c r="A384" s="101"/>
      <c r="B384" s="72" t="s">
        <v>112</v>
      </c>
      <c r="C384" s="561" t="str">
        <f ca="1">OFFSET('Bateria indicadores proceso'!$N$3,(RIGHT(A370,3)),1)</f>
        <v>Acumulado</v>
      </c>
      <c r="D384" s="561"/>
      <c r="E384" s="561"/>
      <c r="F384" s="561"/>
      <c r="G384" s="561"/>
      <c r="H384" s="561"/>
      <c r="I384" s="561"/>
      <c r="J384" s="561"/>
      <c r="K384" s="561"/>
      <c r="L384" s="566"/>
    </row>
    <row r="385" spans="1:12">
      <c r="A385" s="101"/>
      <c r="B385" s="72" t="s">
        <v>113</v>
      </c>
      <c r="C385" s="561" t="str">
        <f ca="1">IF(C375="Número",TEXT(OFFSET('Bateria indicadores proceso'!$W$3,(RIGHT(A370,3)),1),"######"),TEXT(OFFSET('Bateria indicadores proceso'!$W$3,(RIGHT(A370,3)),1),"0.0%"))</f>
        <v>400</v>
      </c>
      <c r="D385" s="561"/>
      <c r="E385" s="561"/>
      <c r="F385" s="561"/>
      <c r="G385" s="561"/>
      <c r="H385" s="561"/>
      <c r="I385" s="561"/>
      <c r="J385" s="561"/>
      <c r="K385" s="561"/>
      <c r="L385" s="566"/>
    </row>
    <row r="386" spans="1:12">
      <c r="A386" s="101"/>
      <c r="B386" s="595" t="s">
        <v>114</v>
      </c>
      <c r="C386" s="70" t="s">
        <v>115</v>
      </c>
      <c r="D386" s="70" t="s">
        <v>116</v>
      </c>
      <c r="E386" s="70" t="s">
        <v>117</v>
      </c>
      <c r="F386" s="70" t="s">
        <v>118</v>
      </c>
      <c r="J386" s="75"/>
      <c r="K386" s="75"/>
      <c r="L386" s="76"/>
    </row>
    <row r="387" spans="1:12">
      <c r="A387" s="101"/>
      <c r="B387" s="595"/>
      <c r="C387" s="70" t="str">
        <f ca="1">IF(C375="Número",TEXT(OFFSET('Bateria indicadores proceso'!$S$3,(RIGHT(A370,3)),1),"######"),TEXT(OFFSET('Bateria indicadores proceso'!$S$3,(RIGHT(A370,3)),1),"0.0%"))</f>
        <v>100</v>
      </c>
      <c r="D387" s="70" t="str">
        <f ca="1">IF(C375="Número",TEXT(OFFSET('Bateria indicadores proceso'!$T$3,(RIGHT(A370,3)),1),"######"),TEXT(OFFSET('Bateria indicadores proceso'!$T$3,(RIGHT(A370,3)),1),"0.0%"))</f>
        <v>100</v>
      </c>
      <c r="E387" s="70" t="str">
        <f ca="1">IF(C375="Número",TEXT(OFFSET('Bateria indicadores proceso'!$U$3,(RIGHT(A370,3)),1),"######"),TEXT(OFFSET('Bateria indicadores proceso'!$U$3,(RIGHT(A370,3)),1),"0.0%"))</f>
        <v>100</v>
      </c>
      <c r="F387" s="70" t="str">
        <f ca="1">IF(C375="Número",TEXT(OFFSET('Bateria indicadores proceso'!$V$3,(RIGHT(A370,3)),1),"######"),TEXT(OFFSET('Bateria indicadores proceso'!$V$3,(RIGHT(A370,3)),1),"0.0%"))</f>
        <v>100</v>
      </c>
      <c r="J387" s="77"/>
      <c r="K387" s="77"/>
      <c r="L387" s="78"/>
    </row>
    <row r="388" spans="1:12">
      <c r="A388" s="101"/>
      <c r="B388" s="600" t="s">
        <v>119</v>
      </c>
      <c r="C388" s="567" t="s">
        <v>120</v>
      </c>
      <c r="D388" s="568"/>
      <c r="E388" s="567" t="s">
        <v>121</v>
      </c>
      <c r="F388" s="568"/>
      <c r="G388" s="567" t="s">
        <v>122</v>
      </c>
      <c r="H388" s="568"/>
      <c r="I388" s="567" t="s">
        <v>123</v>
      </c>
      <c r="J388" s="568"/>
      <c r="K388" s="567" t="s">
        <v>124</v>
      </c>
      <c r="L388" s="569"/>
    </row>
    <row r="389" spans="1:12">
      <c r="A389" s="101"/>
      <c r="B389" s="601"/>
      <c r="C389" s="570" t="s">
        <v>125</v>
      </c>
      <c r="D389" s="571"/>
      <c r="E389" s="577" t="s">
        <v>126</v>
      </c>
      <c r="F389" s="578"/>
      <c r="G389" s="579" t="s">
        <v>127</v>
      </c>
      <c r="H389" s="580"/>
      <c r="I389" s="581" t="s">
        <v>128</v>
      </c>
      <c r="J389" s="582"/>
      <c r="K389" s="583" t="s">
        <v>129</v>
      </c>
      <c r="L389" s="584"/>
    </row>
    <row r="390" spans="1:12">
      <c r="A390" s="101"/>
      <c r="B390" s="602"/>
      <c r="C390" s="567" t="s">
        <v>130</v>
      </c>
      <c r="D390" s="568"/>
      <c r="E390" s="567" t="s">
        <v>131</v>
      </c>
      <c r="F390" s="568"/>
      <c r="G390" s="585" t="s">
        <v>132</v>
      </c>
      <c r="H390" s="568"/>
      <c r="I390" s="567" t="s">
        <v>133</v>
      </c>
      <c r="J390" s="568"/>
      <c r="K390" s="567" t="s">
        <v>134</v>
      </c>
      <c r="L390" s="569"/>
    </row>
    <row r="391" spans="1:12">
      <c r="A391" s="101"/>
      <c r="B391" s="72" t="s">
        <v>135</v>
      </c>
      <c r="C391" s="559" t="str">
        <f ca="1">OFFSET('Bateria indicadores proceso'!$Y$3,(RIGHT(A370,3)),1)</f>
        <v>Consolidado de las evaluaciones de satisfacción aplicadas</v>
      </c>
      <c r="D391" s="559"/>
      <c r="E391" s="559"/>
      <c r="F391" s="559"/>
      <c r="G391" s="559"/>
      <c r="H391" s="559"/>
      <c r="I391" s="559"/>
      <c r="J391" s="559"/>
      <c r="K391" s="559"/>
      <c r="L391" s="560"/>
    </row>
    <row r="392" spans="1:12">
      <c r="A392" s="101"/>
      <c r="B392" s="591" t="s">
        <v>136</v>
      </c>
      <c r="C392" s="561" t="s">
        <v>137</v>
      </c>
      <c r="D392" s="561"/>
      <c r="E392" s="561"/>
      <c r="F392" s="562" t="str">
        <f ca="1">OFFSET('Bateria indicadores proceso'!$B$3,(RIGHT(A370,3)),1)</f>
        <v>GESTIÓN DEL CONOCIMIENTO Y LA INNOVACIÓN</v>
      </c>
      <c r="G392" s="562"/>
      <c r="H392" s="562"/>
      <c r="I392" s="562"/>
      <c r="J392" s="562"/>
      <c r="K392" s="562"/>
      <c r="L392" s="563"/>
    </row>
    <row r="393" spans="1:12">
      <c r="A393" s="101"/>
      <c r="B393" s="592"/>
      <c r="C393" s="561" t="s">
        <v>138</v>
      </c>
      <c r="D393" s="561"/>
      <c r="E393" s="561"/>
      <c r="F393" s="564">
        <f ca="1">OFFSET('Bateria indicadores proceso'!$C$3,(RIGHT(A370,3)),1)</f>
        <v>1</v>
      </c>
      <c r="G393" s="564"/>
      <c r="H393" s="564"/>
      <c r="I393" s="564"/>
      <c r="J393" s="564"/>
      <c r="K393" s="564"/>
      <c r="L393" s="565"/>
    </row>
    <row r="394" spans="1:12" ht="15.75" thickBot="1">
      <c r="A394" s="101"/>
      <c r="B394" s="592"/>
      <c r="C394" s="561" t="s">
        <v>139</v>
      </c>
      <c r="D394" s="561"/>
      <c r="E394" s="561"/>
      <c r="F394" s="564">
        <f ca="1">OFFSET('Bateria indicadores proceso'!$E$3,(RIGHT(A370,3)),1)</f>
        <v>1</v>
      </c>
      <c r="G394" s="564"/>
      <c r="H394" s="564"/>
      <c r="I394" s="564"/>
      <c r="J394" s="564"/>
      <c r="K394" s="564"/>
      <c r="L394" s="565"/>
    </row>
    <row r="395" spans="1:12" ht="16.5" thickBot="1">
      <c r="A395" s="101"/>
      <c r="B395" s="572" t="s">
        <v>140</v>
      </c>
      <c r="C395" s="573"/>
      <c r="D395" s="573"/>
      <c r="E395" s="573"/>
      <c r="F395" s="573"/>
      <c r="G395" s="573"/>
      <c r="H395" s="573"/>
      <c r="I395" s="573"/>
      <c r="J395" s="573"/>
      <c r="K395" s="573"/>
      <c r="L395" s="574"/>
    </row>
    <row r="396" spans="1:12">
      <c r="A396" s="101"/>
      <c r="B396" s="72" t="s">
        <v>142</v>
      </c>
      <c r="C396" s="561" t="str">
        <f ca="1">OFFSET('Bateria indicadores proceso'!$G$3,(RIGHT(A370,3)),1)</f>
        <v xml:space="preserve">Jefe de Oficina </v>
      </c>
      <c r="D396" s="561"/>
      <c r="E396" s="561"/>
      <c r="F396" s="561"/>
      <c r="G396" s="561"/>
      <c r="H396" s="561"/>
      <c r="I396" s="561"/>
      <c r="J396" s="561"/>
      <c r="K396" s="561"/>
      <c r="L396" s="566"/>
    </row>
    <row r="397" spans="1:12">
      <c r="A397" s="101"/>
      <c r="B397" s="72" t="s">
        <v>143</v>
      </c>
      <c r="C397" s="561" t="str">
        <f ca="1">OFFSET('Bateria indicadores proceso'!$F$3,(RIGHT(A370,3)),1)</f>
        <v>Oficina Asesora de Planeación</v>
      </c>
      <c r="D397" s="561"/>
      <c r="E397" s="561"/>
      <c r="F397" s="561"/>
      <c r="G397" s="561"/>
      <c r="H397" s="561"/>
      <c r="I397" s="561"/>
      <c r="J397" s="561"/>
      <c r="K397" s="561"/>
      <c r="L397" s="566"/>
    </row>
    <row r="398" spans="1:12">
      <c r="A398" s="101"/>
      <c r="B398" s="72" t="s">
        <v>144</v>
      </c>
      <c r="C398" s="598" t="str">
        <f ca="1">OFFSET('Bateria indicadores proceso'!$H$3,(RIGHT(A370,3)),1)</f>
        <v>sergio.arciniegas@mininterior.gov.co</v>
      </c>
      <c r="D398" s="598"/>
      <c r="E398" s="598"/>
      <c r="F398" s="598"/>
      <c r="G398" s="598"/>
      <c r="H398" s="598"/>
      <c r="I398" s="598"/>
      <c r="J398" s="598"/>
      <c r="K398" s="598"/>
      <c r="L398" s="599"/>
    </row>
    <row r="399" spans="1:12" ht="15.75" thickBot="1">
      <c r="A399" s="104"/>
      <c r="B399" s="74" t="s">
        <v>145</v>
      </c>
      <c r="C399" s="596" t="s">
        <v>146</v>
      </c>
      <c r="D399" s="596"/>
      <c r="E399" s="596"/>
      <c r="F399" s="596"/>
      <c r="G399" s="596"/>
      <c r="H399" s="596"/>
      <c r="I399" s="596"/>
      <c r="J399" s="596"/>
      <c r="K399" s="596"/>
      <c r="L399" s="597"/>
    </row>
    <row r="400" spans="1:12" ht="15.75" thickBot="1"/>
    <row r="401" spans="1:12" ht="21.75" thickBot="1">
      <c r="A401" s="586" t="s">
        <v>89</v>
      </c>
      <c r="B401" s="587"/>
      <c r="C401" s="587"/>
      <c r="D401" s="587"/>
      <c r="E401" s="587"/>
      <c r="F401" s="587"/>
      <c r="G401" s="587"/>
      <c r="H401" s="587"/>
      <c r="I401" s="587"/>
      <c r="J401" s="587"/>
      <c r="K401" s="587"/>
      <c r="L401" s="588"/>
    </row>
    <row r="402" spans="1:12" ht="32.25" thickBot="1">
      <c r="A402" s="69" t="s">
        <v>90</v>
      </c>
      <c r="B402" s="589" t="s">
        <v>91</v>
      </c>
      <c r="C402" s="589"/>
      <c r="D402" s="589"/>
      <c r="E402" s="589"/>
      <c r="F402" s="589"/>
      <c r="G402" s="589"/>
      <c r="H402" s="589"/>
      <c r="I402" s="589"/>
      <c r="J402" s="589"/>
      <c r="K402" s="589"/>
      <c r="L402" s="589"/>
    </row>
    <row r="403" spans="1:12" ht="16.5" thickBot="1">
      <c r="A403" s="100"/>
      <c r="B403" s="71" t="s">
        <v>92</v>
      </c>
      <c r="C403" s="575" t="s">
        <v>93</v>
      </c>
      <c r="D403" s="575"/>
      <c r="E403" s="575"/>
      <c r="F403" s="575"/>
      <c r="G403" s="575"/>
      <c r="H403" s="575"/>
      <c r="I403" s="575"/>
      <c r="J403" s="575"/>
      <c r="K403" s="575"/>
      <c r="L403" s="576"/>
    </row>
    <row r="404" spans="1:12" ht="16.5" thickBot="1">
      <c r="A404" s="101"/>
      <c r="B404" s="589" t="s">
        <v>94</v>
      </c>
      <c r="C404" s="590"/>
      <c r="D404" s="590"/>
      <c r="E404" s="590"/>
      <c r="F404" s="590"/>
      <c r="G404" s="590"/>
      <c r="H404" s="590"/>
      <c r="I404" s="590"/>
      <c r="J404" s="590"/>
      <c r="K404" s="590"/>
      <c r="L404" s="590"/>
    </row>
    <row r="405" spans="1:12">
      <c r="A405" s="101"/>
      <c r="B405" s="71" t="s">
        <v>95</v>
      </c>
      <c r="C405" s="559" t="s">
        <v>96</v>
      </c>
      <c r="D405" s="559"/>
      <c r="E405" s="559"/>
      <c r="F405" s="559"/>
      <c r="G405" s="559"/>
      <c r="H405" s="559"/>
      <c r="I405" s="559"/>
      <c r="J405" s="559"/>
      <c r="K405" s="559"/>
      <c r="L405" s="560"/>
    </row>
    <row r="406" spans="1:12">
      <c r="A406" s="102" t="s">
        <v>157</v>
      </c>
      <c r="B406" s="72" t="s">
        <v>98</v>
      </c>
      <c r="C406" s="559" t="str">
        <f ca="1">OFFSET('Bateria indicadores proceso'!$F$3,(RIGHT(A406,3)),1)</f>
        <v>Subdirección de Gestión Humana</v>
      </c>
      <c r="D406" s="559"/>
      <c r="E406" s="559"/>
      <c r="F406" s="559"/>
      <c r="G406" s="559"/>
      <c r="H406" s="559"/>
      <c r="I406" s="559"/>
      <c r="J406" s="559"/>
      <c r="K406" s="559"/>
      <c r="L406" s="560"/>
    </row>
    <row r="407" spans="1:12">
      <c r="A407" s="101"/>
      <c r="B407" s="72" t="s">
        <v>99</v>
      </c>
      <c r="C407" s="559" t="str">
        <f ca="1">OFFSET('Bateria indicadores proceso'!$K$3,(RIGHT(A406,3)),1)</f>
        <v>Plan Institucional de Capacitación PIC ejecutado en el Ministerio del Interior</v>
      </c>
      <c r="D407" s="559"/>
      <c r="E407" s="559"/>
      <c r="F407" s="559"/>
      <c r="G407" s="559"/>
      <c r="H407" s="559"/>
      <c r="I407" s="559"/>
      <c r="J407" s="559"/>
      <c r="K407" s="559"/>
      <c r="L407" s="560"/>
    </row>
    <row r="408" spans="1:12">
      <c r="A408" s="101"/>
      <c r="B408" s="72" t="s">
        <v>100</v>
      </c>
      <c r="C408" s="559" t="str">
        <f ca="1">OFFSET('Bateria indicadores proceso'!$I$3,(RIGHT(A406,3)),1)</f>
        <v>Eficacia</v>
      </c>
      <c r="D408" s="559"/>
      <c r="E408" s="559"/>
      <c r="F408" s="559"/>
      <c r="G408" s="559"/>
      <c r="H408" s="559"/>
      <c r="I408" s="559"/>
      <c r="J408" s="559"/>
      <c r="K408" s="559"/>
      <c r="L408" s="560"/>
    </row>
    <row r="409" spans="1:12" ht="15.75" thickBot="1">
      <c r="A409" s="103"/>
      <c r="B409" s="73" t="s">
        <v>101</v>
      </c>
      <c r="C409" s="559" t="str">
        <f ca="1">OFFSET('Bateria indicadores proceso'!$J$3,(RIGHT(A406,3)),1)</f>
        <v>Diseñar y ejecutar el Plan Institucional de Capacitación, de acuerdo con la normatividad vigente. Es importante medirlo porque hace parte de los planes estratégicos e institucionales del Ministerio del Interior, y en materia de gestión y desempeño institucional orientan el desarrollo de la entidad.  La orientación del indicador es incrementar.</v>
      </c>
      <c r="D409" s="559"/>
      <c r="E409" s="559"/>
      <c r="F409" s="559"/>
      <c r="G409" s="559"/>
      <c r="H409" s="559"/>
      <c r="I409" s="559"/>
      <c r="J409" s="559"/>
      <c r="K409" s="559"/>
      <c r="L409" s="560"/>
    </row>
    <row r="410" spans="1:12" ht="16.5" thickBot="1">
      <c r="A410" s="103"/>
      <c r="B410" s="572" t="s">
        <v>102</v>
      </c>
      <c r="C410" s="573"/>
      <c r="D410" s="573"/>
      <c r="E410" s="573"/>
      <c r="F410" s="573"/>
      <c r="G410" s="573"/>
      <c r="H410" s="573"/>
      <c r="I410" s="573"/>
      <c r="J410" s="573"/>
      <c r="K410" s="573"/>
      <c r="L410" s="574"/>
    </row>
    <row r="411" spans="1:12">
      <c r="A411" s="101"/>
      <c r="B411" s="71" t="s">
        <v>103</v>
      </c>
      <c r="C411" s="559" t="str">
        <f ca="1">OFFSET('Bateria indicadores proceso'!$O$3,(RIGHT(A406,3)),1)</f>
        <v>Número</v>
      </c>
      <c r="D411" s="559"/>
      <c r="E411" s="559"/>
      <c r="F411" s="559"/>
      <c r="G411" s="559"/>
      <c r="H411" s="559"/>
      <c r="I411" s="559"/>
      <c r="J411" s="559"/>
      <c r="K411" s="559"/>
      <c r="L411" s="560"/>
    </row>
    <row r="412" spans="1:12" ht="24">
      <c r="A412" s="101"/>
      <c r="B412" s="72" t="s">
        <v>104</v>
      </c>
      <c r="C412" s="559"/>
      <c r="D412" s="559"/>
      <c r="E412" s="559"/>
      <c r="F412" s="559"/>
      <c r="G412" s="559"/>
      <c r="H412" s="559"/>
      <c r="I412" s="559"/>
      <c r="J412" s="559"/>
      <c r="K412" s="559"/>
      <c r="L412" s="560"/>
    </row>
    <row r="413" spans="1:12">
      <c r="A413" s="101"/>
      <c r="B413" s="72" t="s">
        <v>105</v>
      </c>
      <c r="C413" s="559" t="str">
        <f ca="1">OFFSET('Bateria indicadores proceso'!$L$3,(RIGHT(A406,3)),1)</f>
        <v>Sumatoria de actividades realizadas para el diseño, aprobación y ejecución del Plan Institucional de Capacitación</v>
      </c>
      <c r="D413" s="559"/>
      <c r="E413" s="559"/>
      <c r="F413" s="559"/>
      <c r="G413" s="559"/>
      <c r="H413" s="559"/>
      <c r="I413" s="559"/>
      <c r="J413" s="559"/>
      <c r="K413" s="559"/>
      <c r="L413" s="560"/>
    </row>
    <row r="414" spans="1:12">
      <c r="A414" s="101"/>
      <c r="B414" s="72" t="s">
        <v>106</v>
      </c>
      <c r="C414" s="559" t="str">
        <f ca="1">OFFSET('Bateria indicadores proceso'!$Z$3,(RIGHT(A406,3)),1)</f>
        <v>Trimestral</v>
      </c>
      <c r="D414" s="559"/>
      <c r="E414" s="559"/>
      <c r="F414" s="559"/>
      <c r="G414" s="559"/>
      <c r="H414" s="559"/>
      <c r="I414" s="559"/>
      <c r="J414" s="559"/>
      <c r="K414" s="559"/>
      <c r="L414" s="560"/>
    </row>
    <row r="415" spans="1:12">
      <c r="A415" s="101"/>
      <c r="B415" s="72" t="s">
        <v>107</v>
      </c>
      <c r="C415" s="559" t="str">
        <f ca="1">OFFSET('Bateria indicadores proceso'!$X$3,(RIGHT(A406,3)),1)</f>
        <v>Plan Institucional de Capacitación publicado</v>
      </c>
      <c r="D415" s="559"/>
      <c r="E415" s="559"/>
      <c r="F415" s="559"/>
      <c r="G415" s="559"/>
      <c r="H415" s="559"/>
      <c r="I415" s="559"/>
      <c r="J415" s="559"/>
      <c r="K415" s="559"/>
      <c r="L415" s="560"/>
    </row>
    <row r="416" spans="1:12">
      <c r="A416" s="101"/>
      <c r="B416" s="72" t="s">
        <v>108</v>
      </c>
      <c r="C416" s="561">
        <f ca="1">OFFSET('Bateria indicadores proceso'!$P$3,(RIGHT(A406,3)),1)</f>
        <v>2024</v>
      </c>
      <c r="D416" s="561"/>
      <c r="E416" s="561"/>
      <c r="F416" s="561"/>
      <c r="G416" s="561"/>
      <c r="H416" s="561"/>
      <c r="I416" s="561"/>
      <c r="J416" s="561"/>
      <c r="K416" s="561"/>
      <c r="L416" s="566"/>
    </row>
    <row r="417" spans="1:12">
      <c r="A417" s="101"/>
      <c r="B417" s="72" t="s">
        <v>109</v>
      </c>
      <c r="C417" s="561" t="str">
        <f ca="1">IF(C411="Número",TEXT(OFFSET('Bateria indicadores proceso'!$Q$3,(RIGHT(A406,3)),1),"######"),TEXT(OFFSET('Bateria indicadores proceso'!$Q$3,(RIGHT(A406,3)),1),"0.0%"))</f>
        <v>28</v>
      </c>
      <c r="D417" s="561"/>
      <c r="E417" s="561"/>
      <c r="F417" s="561"/>
      <c r="G417" s="561"/>
      <c r="H417" s="561"/>
      <c r="I417" s="561"/>
      <c r="J417" s="561"/>
      <c r="K417" s="561"/>
      <c r="L417" s="566"/>
    </row>
    <row r="418" spans="1:12">
      <c r="A418" s="101"/>
      <c r="B418" s="72" t="s">
        <v>110</v>
      </c>
      <c r="C418" s="593">
        <f ca="1">+OFFSET('Bateria indicadores proceso'!$R$3,(RIGHT(A406,3)),1)</f>
        <v>46022</v>
      </c>
      <c r="D418" s="593"/>
      <c r="E418" s="593"/>
      <c r="F418" s="593"/>
      <c r="G418" s="593"/>
      <c r="H418" s="593"/>
      <c r="I418" s="593"/>
      <c r="J418" s="593"/>
      <c r="K418" s="593"/>
      <c r="L418" s="594"/>
    </row>
    <row r="419" spans="1:12">
      <c r="A419" s="101"/>
      <c r="B419" s="72" t="s">
        <v>111</v>
      </c>
      <c r="C419" s="561" t="str">
        <f ca="1">OFFSET('Bateria indicadores proceso'!$M$3,(RIGHT(A406,3)),1)</f>
        <v>Incrementar</v>
      </c>
      <c r="D419" s="561"/>
      <c r="E419" s="561"/>
      <c r="F419" s="561"/>
      <c r="G419" s="561"/>
      <c r="H419" s="561"/>
      <c r="I419" s="561"/>
      <c r="J419" s="561"/>
      <c r="K419" s="561"/>
      <c r="L419" s="566"/>
    </row>
    <row r="420" spans="1:12">
      <c r="A420" s="101"/>
      <c r="B420" s="72" t="s">
        <v>112</v>
      </c>
      <c r="C420" s="561" t="str">
        <f ca="1">OFFSET('Bateria indicadores proceso'!$N$3,(RIGHT(A406,3)),1)</f>
        <v>Acumulado</v>
      </c>
      <c r="D420" s="561"/>
      <c r="E420" s="561"/>
      <c r="F420" s="561"/>
      <c r="G420" s="561"/>
      <c r="H420" s="561"/>
      <c r="I420" s="561"/>
      <c r="J420" s="561"/>
      <c r="K420" s="561"/>
      <c r="L420" s="566"/>
    </row>
    <row r="421" spans="1:12">
      <c r="A421" s="101"/>
      <c r="B421" s="72" t="s">
        <v>113</v>
      </c>
      <c r="C421" s="561" t="str">
        <f ca="1">IF(C411="Número",TEXT(OFFSET('Bateria indicadores proceso'!$W$3,(RIGHT(A406,3)),1),"######"),TEXT(OFFSET('Bateria indicadores proceso'!$W$3,(RIGHT(A406,3)),1),"0.0%"))</f>
        <v>31</v>
      </c>
      <c r="D421" s="561"/>
      <c r="E421" s="561"/>
      <c r="F421" s="561"/>
      <c r="G421" s="561"/>
      <c r="H421" s="561"/>
      <c r="I421" s="561"/>
      <c r="J421" s="561"/>
      <c r="K421" s="561"/>
      <c r="L421" s="566"/>
    </row>
    <row r="422" spans="1:12">
      <c r="A422" s="101"/>
      <c r="B422" s="595" t="s">
        <v>114</v>
      </c>
      <c r="C422" s="70" t="s">
        <v>115</v>
      </c>
      <c r="D422" s="70" t="s">
        <v>116</v>
      </c>
      <c r="E422" s="70" t="s">
        <v>117</v>
      </c>
      <c r="F422" s="70" t="s">
        <v>118</v>
      </c>
      <c r="J422" s="75"/>
      <c r="K422" s="75"/>
      <c r="L422" s="76"/>
    </row>
    <row r="423" spans="1:12">
      <c r="A423" s="101"/>
      <c r="B423" s="595"/>
      <c r="C423" s="70" t="str">
        <f ca="1">IF(C411="Número",TEXT(OFFSET('Bateria indicadores proceso'!$S$3,(RIGHT(A406,3)),1),"######"),TEXT(OFFSET('Bateria indicadores proceso'!$S$3,(RIGHT(A406,3)),1),"0.0%"))</f>
        <v>7</v>
      </c>
      <c r="D423" s="70" t="str">
        <f ca="1">IF(C411="Número",TEXT(OFFSET('Bateria indicadores proceso'!$T$3,(RIGHT(A406,3)),1),"######"),TEXT(OFFSET('Bateria indicadores proceso'!$T$3,(RIGHT(A406,3)),1),"0.0%"))</f>
        <v>11</v>
      </c>
      <c r="E423" s="70" t="str">
        <f ca="1">IF(C411="Número",TEXT(OFFSET('Bateria indicadores proceso'!$U$3,(RIGHT(A406,3)),1),"######"),TEXT(OFFSET('Bateria indicadores proceso'!$U$3,(RIGHT(A406,3)),1),"0.0%"))</f>
        <v>8</v>
      </c>
      <c r="F423" s="70" t="str">
        <f ca="1">IF(C411="Número",TEXT(OFFSET('Bateria indicadores proceso'!$V$3,(RIGHT(A406,3)),1),"######"),TEXT(OFFSET('Bateria indicadores proceso'!$V$3,(RIGHT(A406,3)),1),"0.0%"))</f>
        <v>5</v>
      </c>
      <c r="J423" s="77"/>
      <c r="K423" s="77"/>
      <c r="L423" s="78"/>
    </row>
    <row r="424" spans="1:12">
      <c r="A424" s="101"/>
      <c r="B424" s="600" t="s">
        <v>119</v>
      </c>
      <c r="C424" s="567" t="s">
        <v>120</v>
      </c>
      <c r="D424" s="568"/>
      <c r="E424" s="567" t="s">
        <v>121</v>
      </c>
      <c r="F424" s="568"/>
      <c r="G424" s="567" t="s">
        <v>122</v>
      </c>
      <c r="H424" s="568"/>
      <c r="I424" s="567" t="s">
        <v>123</v>
      </c>
      <c r="J424" s="568"/>
      <c r="K424" s="567" t="s">
        <v>124</v>
      </c>
      <c r="L424" s="569"/>
    </row>
    <row r="425" spans="1:12">
      <c r="A425" s="101"/>
      <c r="B425" s="601"/>
      <c r="C425" s="570" t="s">
        <v>125</v>
      </c>
      <c r="D425" s="571"/>
      <c r="E425" s="577" t="s">
        <v>126</v>
      </c>
      <c r="F425" s="578"/>
      <c r="G425" s="579" t="s">
        <v>127</v>
      </c>
      <c r="H425" s="580"/>
      <c r="I425" s="581" t="s">
        <v>128</v>
      </c>
      <c r="J425" s="582"/>
      <c r="K425" s="583" t="s">
        <v>129</v>
      </c>
      <c r="L425" s="584"/>
    </row>
    <row r="426" spans="1:12">
      <c r="A426" s="101"/>
      <c r="B426" s="602"/>
      <c r="C426" s="567" t="s">
        <v>130</v>
      </c>
      <c r="D426" s="568"/>
      <c r="E426" s="567" t="s">
        <v>131</v>
      </c>
      <c r="F426" s="568"/>
      <c r="G426" s="585" t="s">
        <v>132</v>
      </c>
      <c r="H426" s="568"/>
      <c r="I426" s="567" t="s">
        <v>133</v>
      </c>
      <c r="J426" s="568"/>
      <c r="K426" s="567" t="s">
        <v>134</v>
      </c>
      <c r="L426" s="569"/>
    </row>
    <row r="427" spans="1:12">
      <c r="A427" s="101"/>
      <c r="B427" s="72" t="s">
        <v>135</v>
      </c>
      <c r="C427" s="559" t="str">
        <f ca="1">OFFSET('Bateria indicadores proceso'!$Y$3,(RIGHT(A406,3)),1)</f>
        <v>Convocatorias, listas de asistencia y/o registra fotográfico</v>
      </c>
      <c r="D427" s="559"/>
      <c r="E427" s="559"/>
      <c r="F427" s="559"/>
      <c r="G427" s="559"/>
      <c r="H427" s="559"/>
      <c r="I427" s="559"/>
      <c r="J427" s="559"/>
      <c r="K427" s="559"/>
      <c r="L427" s="560"/>
    </row>
    <row r="428" spans="1:12">
      <c r="A428" s="101"/>
      <c r="B428" s="591" t="s">
        <v>136</v>
      </c>
      <c r="C428" s="561" t="s">
        <v>137</v>
      </c>
      <c r="D428" s="561"/>
      <c r="E428" s="561"/>
      <c r="F428" s="562" t="str">
        <f ca="1">OFFSET('Bateria indicadores proceso'!$B$3,(RIGHT(A406,3)),1)</f>
        <v>GESTIÓN DEL TALENTO HUMANO</v>
      </c>
      <c r="G428" s="562"/>
      <c r="H428" s="562"/>
      <c r="I428" s="562"/>
      <c r="J428" s="562"/>
      <c r="K428" s="562"/>
      <c r="L428" s="563"/>
    </row>
    <row r="429" spans="1:12">
      <c r="A429" s="101"/>
      <c r="B429" s="592"/>
      <c r="C429" s="561" t="s">
        <v>138</v>
      </c>
      <c r="D429" s="561"/>
      <c r="E429" s="561"/>
      <c r="F429" s="564">
        <f ca="1">OFFSET('Bateria indicadores proceso'!$C$3,(RIGHT(A406,3)),1)</f>
        <v>1</v>
      </c>
      <c r="G429" s="564"/>
      <c r="H429" s="564"/>
      <c r="I429" s="564"/>
      <c r="J429" s="564"/>
      <c r="K429" s="564"/>
      <c r="L429" s="565"/>
    </row>
    <row r="430" spans="1:12" ht="15.75" thickBot="1">
      <c r="A430" s="101"/>
      <c r="B430" s="592"/>
      <c r="C430" s="561" t="s">
        <v>139</v>
      </c>
      <c r="D430" s="561"/>
      <c r="E430" s="561"/>
      <c r="F430" s="564">
        <f ca="1">OFFSET('Bateria indicadores proceso'!$E$3,(RIGHT(A406,3)),1)</f>
        <v>0.14000000000000001</v>
      </c>
      <c r="G430" s="564"/>
      <c r="H430" s="564"/>
      <c r="I430" s="564"/>
      <c r="J430" s="564"/>
      <c r="K430" s="564"/>
      <c r="L430" s="565"/>
    </row>
    <row r="431" spans="1:12" ht="16.5" thickBot="1">
      <c r="A431" s="101"/>
      <c r="B431" s="572" t="s">
        <v>140</v>
      </c>
      <c r="C431" s="573"/>
      <c r="D431" s="573"/>
      <c r="E431" s="573"/>
      <c r="F431" s="573"/>
      <c r="G431" s="573"/>
      <c r="H431" s="573"/>
      <c r="I431" s="573"/>
      <c r="J431" s="573"/>
      <c r="K431" s="573"/>
      <c r="L431" s="574"/>
    </row>
    <row r="432" spans="1:12">
      <c r="A432" s="101"/>
      <c r="B432" s="72" t="s">
        <v>142</v>
      </c>
      <c r="C432" s="561" t="str">
        <f ca="1">OFFSET('Bateria indicadores proceso'!$G$3,(RIGHT(A406,3)),1)</f>
        <v xml:space="preserve">Subdirector </v>
      </c>
      <c r="D432" s="561"/>
      <c r="E432" s="561"/>
      <c r="F432" s="561"/>
      <c r="G432" s="561"/>
      <c r="H432" s="561"/>
      <c r="I432" s="561"/>
      <c r="J432" s="561"/>
      <c r="K432" s="561"/>
      <c r="L432" s="566"/>
    </row>
    <row r="433" spans="1:12">
      <c r="A433" s="101"/>
      <c r="B433" s="72" t="s">
        <v>143</v>
      </c>
      <c r="C433" s="561" t="str">
        <f ca="1">OFFSET('Bateria indicadores proceso'!$F$3,(RIGHT(A406,3)),1)</f>
        <v>Subdirección de Gestión Humana</v>
      </c>
      <c r="D433" s="561"/>
      <c r="E433" s="561"/>
      <c r="F433" s="561"/>
      <c r="G433" s="561"/>
      <c r="H433" s="561"/>
      <c r="I433" s="561"/>
      <c r="J433" s="561"/>
      <c r="K433" s="561"/>
      <c r="L433" s="566"/>
    </row>
    <row r="434" spans="1:12">
      <c r="A434" s="101"/>
      <c r="B434" s="72" t="s">
        <v>144</v>
      </c>
      <c r="C434" s="598" t="str">
        <f ca="1">OFFSET('Bateria indicadores proceso'!$H$3,(RIGHT(A370,3)),1)</f>
        <v>sergio.arciniegas@mininterior.gov.co</v>
      </c>
      <c r="D434" s="598"/>
      <c r="E434" s="598"/>
      <c r="F434" s="598"/>
      <c r="G434" s="598"/>
      <c r="H434" s="598"/>
      <c r="I434" s="598"/>
      <c r="J434" s="598"/>
      <c r="K434" s="598"/>
      <c r="L434" s="599"/>
    </row>
    <row r="435" spans="1:12" ht="15.75" thickBot="1">
      <c r="A435" s="104"/>
      <c r="B435" s="74" t="s">
        <v>145</v>
      </c>
      <c r="C435" s="596" t="s">
        <v>146</v>
      </c>
      <c r="D435" s="596"/>
      <c r="E435" s="596"/>
      <c r="F435" s="596"/>
      <c r="G435" s="596"/>
      <c r="H435" s="596"/>
      <c r="I435" s="596"/>
      <c r="J435" s="596"/>
      <c r="K435" s="596"/>
      <c r="L435" s="597"/>
    </row>
    <row r="436" spans="1:12" ht="15.75" thickBot="1"/>
    <row r="437" spans="1:12" ht="21.75" thickBot="1">
      <c r="A437" s="586" t="s">
        <v>89</v>
      </c>
      <c r="B437" s="587"/>
      <c r="C437" s="587"/>
      <c r="D437" s="587"/>
      <c r="E437" s="587"/>
      <c r="F437" s="587"/>
      <c r="G437" s="587"/>
      <c r="H437" s="587"/>
      <c r="I437" s="587"/>
      <c r="J437" s="587"/>
      <c r="K437" s="587"/>
      <c r="L437" s="588"/>
    </row>
    <row r="438" spans="1:12" ht="32.25" thickBot="1">
      <c r="A438" s="69" t="s">
        <v>90</v>
      </c>
      <c r="B438" s="589" t="s">
        <v>91</v>
      </c>
      <c r="C438" s="589"/>
      <c r="D438" s="589"/>
      <c r="E438" s="589"/>
      <c r="F438" s="589"/>
      <c r="G438" s="589"/>
      <c r="H438" s="589"/>
      <c r="I438" s="589"/>
      <c r="J438" s="589"/>
      <c r="K438" s="589"/>
      <c r="L438" s="589"/>
    </row>
    <row r="439" spans="1:12" ht="16.5" thickBot="1">
      <c r="A439" s="100"/>
      <c r="B439" s="71" t="s">
        <v>92</v>
      </c>
      <c r="C439" s="575" t="s">
        <v>93</v>
      </c>
      <c r="D439" s="575"/>
      <c r="E439" s="575"/>
      <c r="F439" s="575"/>
      <c r="G439" s="575"/>
      <c r="H439" s="575"/>
      <c r="I439" s="575"/>
      <c r="J439" s="575"/>
      <c r="K439" s="575"/>
      <c r="L439" s="576"/>
    </row>
    <row r="440" spans="1:12" ht="16.5" thickBot="1">
      <c r="A440" s="101"/>
      <c r="B440" s="589" t="s">
        <v>94</v>
      </c>
      <c r="C440" s="590"/>
      <c r="D440" s="590"/>
      <c r="E440" s="590"/>
      <c r="F440" s="590"/>
      <c r="G440" s="590"/>
      <c r="H440" s="590"/>
      <c r="I440" s="590"/>
      <c r="J440" s="590"/>
      <c r="K440" s="590"/>
      <c r="L440" s="590"/>
    </row>
    <row r="441" spans="1:12">
      <c r="A441" s="101"/>
      <c r="B441" s="71" t="s">
        <v>95</v>
      </c>
      <c r="C441" s="559" t="s">
        <v>96</v>
      </c>
      <c r="D441" s="559"/>
      <c r="E441" s="559"/>
      <c r="F441" s="559"/>
      <c r="G441" s="559"/>
      <c r="H441" s="559"/>
      <c r="I441" s="559"/>
      <c r="J441" s="559"/>
      <c r="K441" s="559"/>
      <c r="L441" s="560"/>
    </row>
    <row r="442" spans="1:12">
      <c r="A442" s="102" t="s">
        <v>158</v>
      </c>
      <c r="B442" s="72" t="s">
        <v>98</v>
      </c>
      <c r="C442" s="559" t="str">
        <f ca="1">OFFSET('Bateria indicadores proceso'!$F$3,(RIGHT(A442,3)),1)</f>
        <v>Subdirección de Gestión Humana</v>
      </c>
      <c r="D442" s="559"/>
      <c r="E442" s="559"/>
      <c r="F442" s="559"/>
      <c r="G442" s="559"/>
      <c r="H442" s="559"/>
      <c r="I442" s="559"/>
      <c r="J442" s="559"/>
      <c r="K442" s="559"/>
      <c r="L442" s="560"/>
    </row>
    <row r="443" spans="1:12">
      <c r="A443" s="101"/>
      <c r="B443" s="72" t="s">
        <v>99</v>
      </c>
      <c r="C443" s="559" t="str">
        <f ca="1">OFFSET('Bateria indicadores proceso'!$K$3,(RIGHT(A442,3)),1)</f>
        <v xml:space="preserve">Programa insititucional de Bienestar Social ejecutado </v>
      </c>
      <c r="D443" s="559"/>
      <c r="E443" s="559"/>
      <c r="F443" s="559"/>
      <c r="G443" s="559"/>
      <c r="H443" s="559"/>
      <c r="I443" s="559"/>
      <c r="J443" s="559"/>
      <c r="K443" s="559"/>
      <c r="L443" s="560"/>
    </row>
    <row r="444" spans="1:12">
      <c r="A444" s="101"/>
      <c r="B444" s="72" t="s">
        <v>100</v>
      </c>
      <c r="C444" s="559" t="str">
        <f ca="1">OFFSET('Bateria indicadores proceso'!$I$3,(RIGHT(A442,3)),1)</f>
        <v>Eficacia</v>
      </c>
      <c r="D444" s="559"/>
      <c r="E444" s="559"/>
      <c r="F444" s="559"/>
      <c r="G444" s="559"/>
      <c r="H444" s="559"/>
      <c r="I444" s="559"/>
      <c r="J444" s="559"/>
      <c r="K444" s="559"/>
      <c r="L444" s="560"/>
    </row>
    <row r="445" spans="1:12" ht="15.75" thickBot="1">
      <c r="A445" s="103"/>
      <c r="B445" s="73" t="s">
        <v>101</v>
      </c>
      <c r="C445" s="559" t="str">
        <f ca="1">OFFSET('Bateria indicadores proceso'!$J$3,(RIGHT(A442,3)),1)</f>
        <v>Diseñar y ejecutar el programa de bienestar laboral, teniendo en cuenta la normatividad vigente.  Es importante medirlo porque hace parte de los planes estratégicos e institucionales del Ministerio del Interior, y en materia de gestión y desempeño institucional orientan el desarrollo de la entidad.  La orientación del indicador es incrementar.</v>
      </c>
      <c r="D445" s="559"/>
      <c r="E445" s="559"/>
      <c r="F445" s="559"/>
      <c r="G445" s="559"/>
      <c r="H445" s="559"/>
      <c r="I445" s="559"/>
      <c r="J445" s="559"/>
      <c r="K445" s="559"/>
      <c r="L445" s="560"/>
    </row>
    <row r="446" spans="1:12" ht="16.5" thickBot="1">
      <c r="A446" s="103"/>
      <c r="B446" s="572" t="s">
        <v>102</v>
      </c>
      <c r="C446" s="573"/>
      <c r="D446" s="573"/>
      <c r="E446" s="573"/>
      <c r="F446" s="573"/>
      <c r="G446" s="573"/>
      <c r="H446" s="573"/>
      <c r="I446" s="573"/>
      <c r="J446" s="573"/>
      <c r="K446" s="573"/>
      <c r="L446" s="574"/>
    </row>
    <row r="447" spans="1:12">
      <c r="A447" s="101"/>
      <c r="B447" s="71" t="s">
        <v>103</v>
      </c>
      <c r="C447" s="559" t="str">
        <f ca="1">OFFSET('Bateria indicadores proceso'!$O$3,(RIGHT(A442,3)),1)</f>
        <v>Número</v>
      </c>
      <c r="D447" s="559"/>
      <c r="E447" s="559"/>
      <c r="F447" s="559"/>
      <c r="G447" s="559"/>
      <c r="H447" s="559"/>
      <c r="I447" s="559"/>
      <c r="J447" s="559"/>
      <c r="K447" s="559"/>
      <c r="L447" s="560"/>
    </row>
    <row r="448" spans="1:12" ht="24">
      <c r="A448" s="101"/>
      <c r="B448" s="72" t="s">
        <v>104</v>
      </c>
      <c r="C448" s="559"/>
      <c r="D448" s="559"/>
      <c r="E448" s="559"/>
      <c r="F448" s="559"/>
      <c r="G448" s="559"/>
      <c r="H448" s="559"/>
      <c r="I448" s="559"/>
      <c r="J448" s="559"/>
      <c r="K448" s="559"/>
      <c r="L448" s="560"/>
    </row>
    <row r="449" spans="1:12">
      <c r="A449" s="101"/>
      <c r="B449" s="72" t="s">
        <v>105</v>
      </c>
      <c r="C449" s="559" t="str">
        <f ca="1">OFFSET('Bateria indicadores proceso'!$L$3,(RIGHT(A442,3)),1)</f>
        <v>Sumatoria de actividades realizadas para el diseño, aprobación y ejecución del programa de bienestar social</v>
      </c>
      <c r="D449" s="559"/>
      <c r="E449" s="559"/>
      <c r="F449" s="559"/>
      <c r="G449" s="559"/>
      <c r="H449" s="559"/>
      <c r="I449" s="559"/>
      <c r="J449" s="559"/>
      <c r="K449" s="559"/>
      <c r="L449" s="560"/>
    </row>
    <row r="450" spans="1:12">
      <c r="A450" s="101"/>
      <c r="B450" s="72" t="s">
        <v>106</v>
      </c>
      <c r="C450" s="559" t="str">
        <f ca="1">OFFSET('Bateria indicadores proceso'!$Z$3,(RIGHT(A442,3)),1)</f>
        <v>Trimestral</v>
      </c>
      <c r="D450" s="559"/>
      <c r="E450" s="559"/>
      <c r="F450" s="559"/>
      <c r="G450" s="559"/>
      <c r="H450" s="559"/>
      <c r="I450" s="559"/>
      <c r="J450" s="559"/>
      <c r="K450" s="559"/>
      <c r="L450" s="560"/>
    </row>
    <row r="451" spans="1:12">
      <c r="A451" s="101"/>
      <c r="B451" s="72" t="s">
        <v>107</v>
      </c>
      <c r="C451" s="559" t="str">
        <f ca="1">OFFSET('Bateria indicadores proceso'!$X$3,(RIGHT(A442,3)),1)</f>
        <v>Plan de Bienestar publicado</v>
      </c>
      <c r="D451" s="559"/>
      <c r="E451" s="559"/>
      <c r="F451" s="559"/>
      <c r="G451" s="559"/>
      <c r="H451" s="559"/>
      <c r="I451" s="559"/>
      <c r="J451" s="559"/>
      <c r="K451" s="559"/>
      <c r="L451" s="560"/>
    </row>
    <row r="452" spans="1:12">
      <c r="A452" s="101"/>
      <c r="B452" s="72" t="s">
        <v>108</v>
      </c>
      <c r="C452" s="561">
        <f ca="1">OFFSET('Bateria indicadores proceso'!$P$3,(RIGHT(A442,3)),1)</f>
        <v>2024</v>
      </c>
      <c r="D452" s="561"/>
      <c r="E452" s="561"/>
      <c r="F452" s="561"/>
      <c r="G452" s="561"/>
      <c r="H452" s="561"/>
      <c r="I452" s="561"/>
      <c r="J452" s="561"/>
      <c r="K452" s="561"/>
      <c r="L452" s="566"/>
    </row>
    <row r="453" spans="1:12">
      <c r="A453" s="101"/>
      <c r="B453" s="72" t="s">
        <v>109</v>
      </c>
      <c r="C453" s="561" t="str">
        <f ca="1">IF(C447="Número",TEXT(OFFSET('Bateria indicadores proceso'!$Q$3,(RIGHT(A442,3)),1),"######"),TEXT(OFFSET('Bateria indicadores proceso'!$Q$3,(RIGHT(A442,3)),1),"0.0%"))</f>
        <v>16</v>
      </c>
      <c r="D453" s="561"/>
      <c r="E453" s="561"/>
      <c r="F453" s="561"/>
      <c r="G453" s="561"/>
      <c r="H453" s="561"/>
      <c r="I453" s="561"/>
      <c r="J453" s="561"/>
      <c r="K453" s="561"/>
      <c r="L453" s="566"/>
    </row>
    <row r="454" spans="1:12">
      <c r="A454" s="101"/>
      <c r="B454" s="72" t="s">
        <v>110</v>
      </c>
      <c r="C454" s="593">
        <f ca="1">+OFFSET('Bateria indicadores proceso'!$R$3,(RIGHT(A442,3)),1)</f>
        <v>46022</v>
      </c>
      <c r="D454" s="593"/>
      <c r="E454" s="593"/>
      <c r="F454" s="593"/>
      <c r="G454" s="593"/>
      <c r="H454" s="593"/>
      <c r="I454" s="593"/>
      <c r="J454" s="593"/>
      <c r="K454" s="593"/>
      <c r="L454" s="594"/>
    </row>
    <row r="455" spans="1:12">
      <c r="A455" s="101"/>
      <c r="B455" s="72" t="s">
        <v>111</v>
      </c>
      <c r="C455" s="561" t="str">
        <f ca="1">OFFSET('Bateria indicadores proceso'!$M$3,(RIGHT(A442,3)),1)</f>
        <v>Incrementar</v>
      </c>
      <c r="D455" s="561"/>
      <c r="E455" s="561"/>
      <c r="F455" s="561"/>
      <c r="G455" s="561"/>
      <c r="H455" s="561"/>
      <c r="I455" s="561"/>
      <c r="J455" s="561"/>
      <c r="K455" s="561"/>
      <c r="L455" s="566"/>
    </row>
    <row r="456" spans="1:12">
      <c r="A456" s="101"/>
      <c r="B456" s="72" t="s">
        <v>112</v>
      </c>
      <c r="C456" s="561" t="str">
        <f ca="1">OFFSET('Bateria indicadores proceso'!$N$3,(RIGHT(A442,3)),1)</f>
        <v>Acumulado</v>
      </c>
      <c r="D456" s="561"/>
      <c r="E456" s="561"/>
      <c r="F456" s="561"/>
      <c r="G456" s="561"/>
      <c r="H456" s="561"/>
      <c r="I456" s="561"/>
      <c r="J456" s="561"/>
      <c r="K456" s="561"/>
      <c r="L456" s="566"/>
    </row>
    <row r="457" spans="1:12">
      <c r="A457" s="101"/>
      <c r="B457" s="72" t="s">
        <v>113</v>
      </c>
      <c r="C457" s="561" t="str">
        <f ca="1">IF(C447="Número",TEXT(OFFSET('Bateria indicadores proceso'!$W$3,(RIGHT(A442,3)),1),"######"),TEXT(OFFSET('Bateria indicadores proceso'!$W$3,(RIGHT(A442,3)),1),"0.0%"))</f>
        <v>21</v>
      </c>
      <c r="D457" s="561"/>
      <c r="E457" s="561"/>
      <c r="F457" s="561"/>
      <c r="G457" s="561"/>
      <c r="H457" s="561"/>
      <c r="I457" s="561"/>
      <c r="J457" s="561"/>
      <c r="K457" s="561"/>
      <c r="L457" s="566"/>
    </row>
    <row r="458" spans="1:12">
      <c r="A458" s="101"/>
      <c r="B458" s="595" t="s">
        <v>114</v>
      </c>
      <c r="C458" s="70" t="s">
        <v>115</v>
      </c>
      <c r="D458" s="70" t="s">
        <v>116</v>
      </c>
      <c r="E458" s="70" t="s">
        <v>117</v>
      </c>
      <c r="F458" s="70" t="s">
        <v>118</v>
      </c>
      <c r="J458" s="75"/>
      <c r="K458" s="75"/>
      <c r="L458" s="76"/>
    </row>
    <row r="459" spans="1:12">
      <c r="A459" s="101"/>
      <c r="B459" s="595"/>
      <c r="C459" s="70" t="str">
        <f ca="1">IF(C447="Número",TEXT(OFFSET('Bateria indicadores proceso'!$S$3,(RIGHT(A442,3)),1),"######"),TEXT(OFFSET('Bateria indicadores proceso'!$S$3,(RIGHT(A442,3)),1),"0.0%"))</f>
        <v>4</v>
      </c>
      <c r="D459" s="70" t="str">
        <f ca="1">IF(C447="Número",TEXT(OFFSET('Bateria indicadores proceso'!$T$3,(RIGHT(A442,3)),1),"######"),TEXT(OFFSET('Bateria indicadores proceso'!$T$3,(RIGHT(A442,3)),1),"0.0%"))</f>
        <v>8</v>
      </c>
      <c r="E459" s="70" t="str">
        <f ca="1">IF(C447="Número",TEXT(OFFSET('Bateria indicadores proceso'!$U$3,(RIGHT(A442,3)),1),"######"),TEXT(OFFSET('Bateria indicadores proceso'!$U$3,(RIGHT(A442,3)),1),"0.0%"))</f>
        <v>4</v>
      </c>
      <c r="F459" s="70" t="str">
        <f ca="1">IF(C447="Número",TEXT(OFFSET('Bateria indicadores proceso'!$V$3,(RIGHT(A442,3)),1),"######"),TEXT(OFFSET('Bateria indicadores proceso'!$V$3,(RIGHT(A442,3)),1),"0.0%"))</f>
        <v>5</v>
      </c>
      <c r="J459" s="77"/>
      <c r="K459" s="77"/>
      <c r="L459" s="78"/>
    </row>
    <row r="460" spans="1:12">
      <c r="A460" s="101"/>
      <c r="B460" s="600" t="s">
        <v>119</v>
      </c>
      <c r="C460" s="567" t="s">
        <v>120</v>
      </c>
      <c r="D460" s="568"/>
      <c r="E460" s="567" t="s">
        <v>121</v>
      </c>
      <c r="F460" s="568"/>
      <c r="G460" s="567" t="s">
        <v>122</v>
      </c>
      <c r="H460" s="568"/>
      <c r="I460" s="567" t="s">
        <v>123</v>
      </c>
      <c r="J460" s="568"/>
      <c r="K460" s="567" t="s">
        <v>124</v>
      </c>
      <c r="L460" s="569"/>
    </row>
    <row r="461" spans="1:12">
      <c r="A461" s="101"/>
      <c r="B461" s="601"/>
      <c r="C461" s="570" t="s">
        <v>125</v>
      </c>
      <c r="D461" s="571"/>
      <c r="E461" s="577" t="s">
        <v>126</v>
      </c>
      <c r="F461" s="578"/>
      <c r="G461" s="579" t="s">
        <v>127</v>
      </c>
      <c r="H461" s="580"/>
      <c r="I461" s="581" t="s">
        <v>128</v>
      </c>
      <c r="J461" s="582"/>
      <c r="K461" s="583" t="s">
        <v>129</v>
      </c>
      <c r="L461" s="584"/>
    </row>
    <row r="462" spans="1:12">
      <c r="A462" s="101"/>
      <c r="B462" s="602"/>
      <c r="C462" s="567" t="s">
        <v>130</v>
      </c>
      <c r="D462" s="568"/>
      <c r="E462" s="567" t="s">
        <v>131</v>
      </c>
      <c r="F462" s="568"/>
      <c r="G462" s="585" t="s">
        <v>132</v>
      </c>
      <c r="H462" s="568"/>
      <c r="I462" s="567" t="s">
        <v>133</v>
      </c>
      <c r="J462" s="568"/>
      <c r="K462" s="567" t="s">
        <v>134</v>
      </c>
      <c r="L462" s="569"/>
    </row>
    <row r="463" spans="1:12">
      <c r="A463" s="101"/>
      <c r="B463" s="72" t="s">
        <v>135</v>
      </c>
      <c r="C463" s="559" t="str">
        <f ca="1">OFFSET('Bateria indicadores proceso'!$Y$3,(RIGHT(A442,3)),1)</f>
        <v>Convocatorias, listas de asistencia, registro fotográfico y/o piezas publicitarias</v>
      </c>
      <c r="D463" s="559"/>
      <c r="E463" s="559"/>
      <c r="F463" s="559"/>
      <c r="G463" s="559"/>
      <c r="H463" s="559"/>
      <c r="I463" s="559"/>
      <c r="J463" s="559"/>
      <c r="K463" s="559"/>
      <c r="L463" s="560"/>
    </row>
    <row r="464" spans="1:12">
      <c r="A464" s="101"/>
      <c r="B464" s="591" t="s">
        <v>136</v>
      </c>
      <c r="C464" s="561" t="s">
        <v>137</v>
      </c>
      <c r="D464" s="561"/>
      <c r="E464" s="561"/>
      <c r="F464" s="562" t="str">
        <f ca="1">OFFSET('Bateria indicadores proceso'!$B$3,(RIGHT(A442,3)),1)</f>
        <v>GESTIÓN DEL TALENTO HUMANO</v>
      </c>
      <c r="G464" s="562"/>
      <c r="H464" s="562"/>
      <c r="I464" s="562"/>
      <c r="J464" s="562"/>
      <c r="K464" s="562"/>
      <c r="L464" s="563"/>
    </row>
    <row r="465" spans="1:12">
      <c r="A465" s="101"/>
      <c r="B465" s="592"/>
      <c r="C465" s="561" t="s">
        <v>138</v>
      </c>
      <c r="D465" s="561"/>
      <c r="E465" s="561"/>
      <c r="F465" s="564">
        <f ca="1">OFFSET('Bateria indicadores proceso'!$C$3,(RIGHT(A442,3)),1)</f>
        <v>1</v>
      </c>
      <c r="G465" s="564"/>
      <c r="H465" s="564"/>
      <c r="I465" s="564"/>
      <c r="J465" s="564"/>
      <c r="K465" s="564"/>
      <c r="L465" s="565"/>
    </row>
    <row r="466" spans="1:12" ht="15.75" thickBot="1">
      <c r="A466" s="101"/>
      <c r="B466" s="592"/>
      <c r="C466" s="561" t="s">
        <v>139</v>
      </c>
      <c r="D466" s="561"/>
      <c r="E466" s="561"/>
      <c r="F466" s="564">
        <f ca="1">OFFSET('Bateria indicadores proceso'!$E$3,(RIGHT(A442,3)),1)</f>
        <v>0.14000000000000001</v>
      </c>
      <c r="G466" s="564"/>
      <c r="H466" s="564"/>
      <c r="I466" s="564"/>
      <c r="J466" s="564"/>
      <c r="K466" s="564"/>
      <c r="L466" s="565"/>
    </row>
    <row r="467" spans="1:12" ht="16.5" thickBot="1">
      <c r="A467" s="101"/>
      <c r="B467" s="572" t="s">
        <v>140</v>
      </c>
      <c r="C467" s="573"/>
      <c r="D467" s="573"/>
      <c r="E467" s="573"/>
      <c r="F467" s="573"/>
      <c r="G467" s="573"/>
      <c r="H467" s="573"/>
      <c r="I467" s="573"/>
      <c r="J467" s="573"/>
      <c r="K467" s="573"/>
      <c r="L467" s="574"/>
    </row>
    <row r="468" spans="1:12">
      <c r="A468" s="101"/>
      <c r="B468" s="72" t="s">
        <v>142</v>
      </c>
      <c r="C468" s="561" t="str">
        <f ca="1">OFFSET('Bateria indicadores proceso'!$G$3,(RIGHT(A442,3)),1)</f>
        <v xml:space="preserve">Subdirector </v>
      </c>
      <c r="D468" s="561"/>
      <c r="E468" s="561"/>
      <c r="F468" s="561"/>
      <c r="G468" s="561"/>
      <c r="H468" s="561"/>
      <c r="I468" s="561"/>
      <c r="J468" s="561"/>
      <c r="K468" s="561"/>
      <c r="L468" s="566"/>
    </row>
    <row r="469" spans="1:12">
      <c r="A469" s="101"/>
      <c r="B469" s="72" t="s">
        <v>143</v>
      </c>
      <c r="C469" s="561" t="str">
        <f ca="1">OFFSET('Bateria indicadores proceso'!$F$3,(RIGHT(A442,3)),1)</f>
        <v>Subdirección de Gestión Humana</v>
      </c>
      <c r="D469" s="561"/>
      <c r="E469" s="561"/>
      <c r="F469" s="561"/>
      <c r="G469" s="561"/>
      <c r="H469" s="561"/>
      <c r="I469" s="561"/>
      <c r="J469" s="561"/>
      <c r="K469" s="561"/>
      <c r="L469" s="566"/>
    </row>
    <row r="470" spans="1:12">
      <c r="A470" s="101"/>
      <c r="B470" s="72" t="s">
        <v>144</v>
      </c>
      <c r="C470" s="598" t="str">
        <f ca="1">OFFSET('Bateria indicadores proceso'!$H$3,(RIGHT(A442,3)),1)</f>
        <v>ethel.vasquez@mininterior.gov.co</v>
      </c>
      <c r="D470" s="598"/>
      <c r="E470" s="598"/>
      <c r="F470" s="598"/>
      <c r="G470" s="598"/>
      <c r="H470" s="598"/>
      <c r="I470" s="598"/>
      <c r="J470" s="598"/>
      <c r="K470" s="598"/>
      <c r="L470" s="599"/>
    </row>
    <row r="471" spans="1:12" ht="15.75" thickBot="1">
      <c r="A471" s="104"/>
      <c r="B471" s="74" t="s">
        <v>145</v>
      </c>
      <c r="C471" s="596" t="s">
        <v>146</v>
      </c>
      <c r="D471" s="596"/>
      <c r="E471" s="596"/>
      <c r="F471" s="596"/>
      <c r="G471" s="596"/>
      <c r="H471" s="596"/>
      <c r="I471" s="596"/>
      <c r="J471" s="596"/>
      <c r="K471" s="596"/>
      <c r="L471" s="597"/>
    </row>
    <row r="472" spans="1:12" ht="15.75" thickBot="1"/>
    <row r="473" spans="1:12" ht="21.75" thickBot="1">
      <c r="A473" s="586" t="s">
        <v>89</v>
      </c>
      <c r="B473" s="587"/>
      <c r="C473" s="587"/>
      <c r="D473" s="587"/>
      <c r="E473" s="587"/>
      <c r="F473" s="587"/>
      <c r="G473" s="587"/>
      <c r="H473" s="587"/>
      <c r="I473" s="587"/>
      <c r="J473" s="587"/>
      <c r="K473" s="587"/>
      <c r="L473" s="588"/>
    </row>
    <row r="474" spans="1:12" ht="32.25" thickBot="1">
      <c r="A474" s="69" t="s">
        <v>90</v>
      </c>
      <c r="B474" s="589" t="s">
        <v>91</v>
      </c>
      <c r="C474" s="589"/>
      <c r="D474" s="589"/>
      <c r="E474" s="589"/>
      <c r="F474" s="589"/>
      <c r="G474" s="589"/>
      <c r="H474" s="589"/>
      <c r="I474" s="589"/>
      <c r="J474" s="589"/>
      <c r="K474" s="589"/>
      <c r="L474" s="589"/>
    </row>
    <row r="475" spans="1:12" ht="16.5" thickBot="1">
      <c r="A475" s="100"/>
      <c r="B475" s="71" t="s">
        <v>92</v>
      </c>
      <c r="C475" s="575" t="s">
        <v>93</v>
      </c>
      <c r="D475" s="575"/>
      <c r="E475" s="575"/>
      <c r="F475" s="575"/>
      <c r="G475" s="575"/>
      <c r="H475" s="575"/>
      <c r="I475" s="575"/>
      <c r="J475" s="575"/>
      <c r="K475" s="575"/>
      <c r="L475" s="576"/>
    </row>
    <row r="476" spans="1:12" ht="16.5" thickBot="1">
      <c r="A476" s="101"/>
      <c r="B476" s="589" t="s">
        <v>94</v>
      </c>
      <c r="C476" s="590"/>
      <c r="D476" s="590"/>
      <c r="E476" s="590"/>
      <c r="F476" s="590"/>
      <c r="G476" s="590"/>
      <c r="H476" s="590"/>
      <c r="I476" s="590"/>
      <c r="J476" s="590"/>
      <c r="K476" s="590"/>
      <c r="L476" s="590"/>
    </row>
    <row r="477" spans="1:12">
      <c r="A477" s="101"/>
      <c r="B477" s="71" t="s">
        <v>95</v>
      </c>
      <c r="C477" s="559" t="s">
        <v>96</v>
      </c>
      <c r="D477" s="559"/>
      <c r="E477" s="559"/>
      <c r="F477" s="559"/>
      <c r="G477" s="559"/>
      <c r="H477" s="559"/>
      <c r="I477" s="559"/>
      <c r="J477" s="559"/>
      <c r="K477" s="559"/>
      <c r="L477" s="560"/>
    </row>
    <row r="478" spans="1:12">
      <c r="A478" s="102" t="s">
        <v>159</v>
      </c>
      <c r="B478" s="72" t="s">
        <v>98</v>
      </c>
      <c r="C478" s="559" t="str">
        <f ca="1">OFFSET('Bateria indicadores proceso'!$F$3,(RIGHT(A478,3)),1)</f>
        <v>Subdirección de Gestión Humana</v>
      </c>
      <c r="D478" s="559"/>
      <c r="E478" s="559"/>
      <c r="F478" s="559"/>
      <c r="G478" s="559"/>
      <c r="H478" s="559"/>
      <c r="I478" s="559"/>
      <c r="J478" s="559"/>
      <c r="K478" s="559"/>
      <c r="L478" s="560"/>
    </row>
    <row r="479" spans="1:12">
      <c r="A479" s="101"/>
      <c r="B479" s="72" t="s">
        <v>99</v>
      </c>
      <c r="C479" s="559" t="str">
        <f ca="1">OFFSET('Bateria indicadores proceso'!$K$3,(RIGHT(A478,3)),1)</f>
        <v>Plan Institucional de Incentivos ejecutado</v>
      </c>
      <c r="D479" s="559"/>
      <c r="E479" s="559"/>
      <c r="F479" s="559"/>
      <c r="G479" s="559"/>
      <c r="H479" s="559"/>
      <c r="I479" s="559"/>
      <c r="J479" s="559"/>
      <c r="K479" s="559"/>
      <c r="L479" s="560"/>
    </row>
    <row r="480" spans="1:12">
      <c r="A480" s="101"/>
      <c r="B480" s="72" t="s">
        <v>100</v>
      </c>
      <c r="C480" s="559" t="str">
        <f ca="1">OFFSET('Bateria indicadores proceso'!$I$3,(RIGHT(A478,3)),1)</f>
        <v>Eficacia</v>
      </c>
      <c r="D480" s="559"/>
      <c r="E480" s="559"/>
      <c r="F480" s="559"/>
      <c r="G480" s="559"/>
      <c r="H480" s="559"/>
      <c r="I480" s="559"/>
      <c r="J480" s="559"/>
      <c r="K480" s="559"/>
      <c r="L480" s="560"/>
    </row>
    <row r="481" spans="1:12" ht="15.75" thickBot="1">
      <c r="A481" s="103"/>
      <c r="B481" s="73" t="s">
        <v>101</v>
      </c>
      <c r="C481" s="559" t="str">
        <f ca="1">OFFSET('Bateria indicadores proceso'!$J$3,(RIGHT(A478,3)),1)</f>
        <v xml:space="preserve">Diseñar y ejecutar el Plan Institucional de Incentivos con base en las normas vigentes. Es importante medirlo porque hace parte de los planes estratégicos e institucionales del Ministerio del Interior, y en materia de gestión y desempeño institucional orientan el desarrollo de la entidad.  La orientación del indicador es incrementar. </v>
      </c>
      <c r="D481" s="559"/>
      <c r="E481" s="559"/>
      <c r="F481" s="559"/>
      <c r="G481" s="559"/>
      <c r="H481" s="559"/>
      <c r="I481" s="559"/>
      <c r="J481" s="559"/>
      <c r="K481" s="559"/>
      <c r="L481" s="560"/>
    </row>
    <row r="482" spans="1:12" ht="16.5" thickBot="1">
      <c r="A482" s="103"/>
      <c r="B482" s="572" t="s">
        <v>102</v>
      </c>
      <c r="C482" s="573"/>
      <c r="D482" s="573"/>
      <c r="E482" s="573"/>
      <c r="F482" s="573"/>
      <c r="G482" s="573"/>
      <c r="H482" s="573"/>
      <c r="I482" s="573"/>
      <c r="J482" s="573"/>
      <c r="K482" s="573"/>
      <c r="L482" s="574"/>
    </row>
    <row r="483" spans="1:12">
      <c r="A483" s="101"/>
      <c r="B483" s="71" t="s">
        <v>103</v>
      </c>
      <c r="C483" s="559" t="str">
        <f ca="1">OFFSET('Bateria indicadores proceso'!$O$3,(RIGHT(A478,3)),1)</f>
        <v>Número</v>
      </c>
      <c r="D483" s="559"/>
      <c r="E483" s="559"/>
      <c r="F483" s="559"/>
      <c r="G483" s="559"/>
      <c r="H483" s="559"/>
      <c r="I483" s="559"/>
      <c r="J483" s="559"/>
      <c r="K483" s="559"/>
      <c r="L483" s="560"/>
    </row>
    <row r="484" spans="1:12" ht="24">
      <c r="A484" s="101"/>
      <c r="B484" s="72" t="s">
        <v>104</v>
      </c>
      <c r="C484" s="559"/>
      <c r="D484" s="559"/>
      <c r="E484" s="559"/>
      <c r="F484" s="559"/>
      <c r="G484" s="559"/>
      <c r="H484" s="559"/>
      <c r="I484" s="559"/>
      <c r="J484" s="559"/>
      <c r="K484" s="559"/>
      <c r="L484" s="560"/>
    </row>
    <row r="485" spans="1:12">
      <c r="A485" s="101"/>
      <c r="B485" s="72" t="s">
        <v>105</v>
      </c>
      <c r="C485" s="559" t="str">
        <f ca="1">OFFSET('Bateria indicadores proceso'!$L$3,(RIGHT(A478,3)),1)</f>
        <v>Sumatoria de actividades realizadas para el diseño, aprobación y ejecución del Plan Institucional de Incentivos</v>
      </c>
      <c r="D485" s="559"/>
      <c r="E485" s="559"/>
      <c r="F485" s="559"/>
      <c r="G485" s="559"/>
      <c r="H485" s="559"/>
      <c r="I485" s="559"/>
      <c r="J485" s="559"/>
      <c r="K485" s="559"/>
      <c r="L485" s="560"/>
    </row>
    <row r="486" spans="1:12">
      <c r="A486" s="101"/>
      <c r="B486" s="72" t="s">
        <v>106</v>
      </c>
      <c r="C486" s="559" t="str">
        <f ca="1">OFFSET('Bateria indicadores proceso'!$Z$3,(RIGHT(A478,3)),1)</f>
        <v>Trimestral</v>
      </c>
      <c r="D486" s="559"/>
      <c r="E486" s="559"/>
      <c r="F486" s="559"/>
      <c r="G486" s="559"/>
      <c r="H486" s="559"/>
      <c r="I486" s="559"/>
      <c r="J486" s="559"/>
      <c r="K486" s="559"/>
      <c r="L486" s="560"/>
    </row>
    <row r="487" spans="1:12">
      <c r="A487" s="101"/>
      <c r="B487" s="72" t="s">
        <v>107</v>
      </c>
      <c r="C487" s="559" t="str">
        <f ca="1">OFFSET('Bateria indicadores proceso'!$X$3,(RIGHT(A478,3)),1)</f>
        <v>Plan Institucional de Inventivos Publicados</v>
      </c>
      <c r="D487" s="559"/>
      <c r="E487" s="559"/>
      <c r="F487" s="559"/>
      <c r="G487" s="559"/>
      <c r="H487" s="559"/>
      <c r="I487" s="559"/>
      <c r="J487" s="559"/>
      <c r="K487" s="559"/>
      <c r="L487" s="560"/>
    </row>
    <row r="488" spans="1:12">
      <c r="A488" s="101"/>
      <c r="B488" s="72" t="s">
        <v>108</v>
      </c>
      <c r="C488" s="561">
        <f ca="1">OFFSET('Bateria indicadores proceso'!$P$3,(RIGHT(A478,3)),1)</f>
        <v>2024</v>
      </c>
      <c r="D488" s="561"/>
      <c r="E488" s="561"/>
      <c r="F488" s="561"/>
      <c r="G488" s="561"/>
      <c r="H488" s="561"/>
      <c r="I488" s="561"/>
      <c r="J488" s="561"/>
      <c r="K488" s="561"/>
      <c r="L488" s="566"/>
    </row>
    <row r="489" spans="1:12">
      <c r="A489" s="101"/>
      <c r="B489" s="72" t="s">
        <v>109</v>
      </c>
      <c r="C489" s="561" t="str">
        <f ca="1">IF(C483="Número",TEXT(OFFSET('Bateria indicadores proceso'!$Q$3,(RIGHT(A478,3)),1),"######"),TEXT(OFFSET('Bateria indicadores proceso'!$Q$3,(RIGHT(A478,3)),1),"0.0%"))</f>
        <v>5</v>
      </c>
      <c r="D489" s="561"/>
      <c r="E489" s="561"/>
      <c r="F489" s="561"/>
      <c r="G489" s="561"/>
      <c r="H489" s="561"/>
      <c r="I489" s="561"/>
      <c r="J489" s="561"/>
      <c r="K489" s="561"/>
      <c r="L489" s="566"/>
    </row>
    <row r="490" spans="1:12">
      <c r="A490" s="101"/>
      <c r="B490" s="72" t="s">
        <v>110</v>
      </c>
      <c r="C490" s="593">
        <f ca="1">+OFFSET('Bateria indicadores proceso'!$R$3,(RIGHT(A478,3)),1)</f>
        <v>46022</v>
      </c>
      <c r="D490" s="593"/>
      <c r="E490" s="593"/>
      <c r="F490" s="593"/>
      <c r="G490" s="593"/>
      <c r="H490" s="593"/>
      <c r="I490" s="593"/>
      <c r="J490" s="593"/>
      <c r="K490" s="593"/>
      <c r="L490" s="594"/>
    </row>
    <row r="491" spans="1:12">
      <c r="A491" s="101"/>
      <c r="B491" s="72" t="s">
        <v>111</v>
      </c>
      <c r="C491" s="561" t="str">
        <f ca="1">OFFSET('Bateria indicadores proceso'!$M$3,(RIGHT(A478,3)),1)</f>
        <v>Incrementar</v>
      </c>
      <c r="D491" s="561"/>
      <c r="E491" s="561"/>
      <c r="F491" s="561"/>
      <c r="G491" s="561"/>
      <c r="H491" s="561"/>
      <c r="I491" s="561"/>
      <c r="J491" s="561"/>
      <c r="K491" s="561"/>
      <c r="L491" s="566"/>
    </row>
    <row r="492" spans="1:12">
      <c r="A492" s="101"/>
      <c r="B492" s="72" t="s">
        <v>112</v>
      </c>
      <c r="C492" s="561" t="str">
        <f ca="1">OFFSET('Bateria indicadores proceso'!$N$3,(RIGHT(A478,3)),1)</f>
        <v>Acumulado</v>
      </c>
      <c r="D492" s="561"/>
      <c r="E492" s="561"/>
      <c r="F492" s="561"/>
      <c r="G492" s="561"/>
      <c r="H492" s="561"/>
      <c r="I492" s="561"/>
      <c r="J492" s="561"/>
      <c r="K492" s="561"/>
      <c r="L492" s="566"/>
    </row>
    <row r="493" spans="1:12">
      <c r="A493" s="101"/>
      <c r="B493" s="72" t="s">
        <v>113</v>
      </c>
      <c r="C493" s="561" t="str">
        <f ca="1">IF(C483="Número",TEXT(OFFSET('Bateria indicadores proceso'!$W$3,(RIGHT(A478,3)),1),"######"),TEXT(OFFSET('Bateria indicadores proceso'!$W$3,(RIGHT(A478,3)),1),"0.0%"))</f>
        <v>5</v>
      </c>
      <c r="D493" s="561"/>
      <c r="E493" s="561"/>
      <c r="F493" s="561"/>
      <c r="G493" s="561"/>
      <c r="H493" s="561"/>
      <c r="I493" s="561"/>
      <c r="J493" s="561"/>
      <c r="K493" s="561"/>
      <c r="L493" s="566"/>
    </row>
    <row r="494" spans="1:12">
      <c r="A494" s="101"/>
      <c r="B494" s="595" t="s">
        <v>114</v>
      </c>
      <c r="C494" s="70" t="s">
        <v>115</v>
      </c>
      <c r="D494" s="70" t="s">
        <v>116</v>
      </c>
      <c r="E494" s="70" t="s">
        <v>117</v>
      </c>
      <c r="F494" s="70" t="s">
        <v>118</v>
      </c>
      <c r="J494" s="75"/>
      <c r="K494" s="75"/>
      <c r="L494" s="76"/>
    </row>
    <row r="495" spans="1:12">
      <c r="A495" s="101"/>
      <c r="B495" s="595"/>
      <c r="C495" s="70" t="str">
        <f ca="1">IF(C483="Número",TEXT(OFFSET('Bateria indicadores proceso'!$S$3,(RIGHT(A478,3)),1),"######"),TEXT(OFFSET('Bateria indicadores proceso'!$S$3,(RIGHT(A478,3)),1),"0.0%"))</f>
        <v>3</v>
      </c>
      <c r="D495" s="70" t="str">
        <f ca="1">IF(C483="Número",TEXT(OFFSET('Bateria indicadores proceso'!$T$3,(RIGHT(A478,3)),1),"######"),TEXT(OFFSET('Bateria indicadores proceso'!$T$3,(RIGHT(A478,3)),1),"0.0%"))</f>
        <v>1</v>
      </c>
      <c r="E495" s="70" t="str">
        <f ca="1">IF(C483="Número",TEXT(OFFSET('Bateria indicadores proceso'!$U$3,(RIGHT(A478,3)),1),"######"),TEXT(OFFSET('Bateria indicadores proceso'!$U$3,(RIGHT(A478,3)),1),"0.0%"))</f>
        <v>1</v>
      </c>
      <c r="F495" s="70" t="str">
        <f ca="1">IF(C483="Número",TEXT(OFFSET('Bateria indicadores proceso'!$V$3,(RIGHT(A478,3)),1),"######"),TEXT(OFFSET('Bateria indicadores proceso'!$V$3,(RIGHT(A478,3)),1),"0.0%"))</f>
        <v/>
      </c>
      <c r="J495" s="77"/>
      <c r="K495" s="77"/>
      <c r="L495" s="78"/>
    </row>
    <row r="496" spans="1:12">
      <c r="A496" s="101"/>
      <c r="B496" s="600" t="s">
        <v>119</v>
      </c>
      <c r="C496" s="567" t="s">
        <v>120</v>
      </c>
      <c r="D496" s="568"/>
      <c r="E496" s="567" t="s">
        <v>121</v>
      </c>
      <c r="F496" s="568"/>
      <c r="G496" s="567" t="s">
        <v>122</v>
      </c>
      <c r="H496" s="568"/>
      <c r="I496" s="567" t="s">
        <v>123</v>
      </c>
      <c r="J496" s="568"/>
      <c r="K496" s="567" t="s">
        <v>124</v>
      </c>
      <c r="L496" s="569"/>
    </row>
    <row r="497" spans="1:12">
      <c r="A497" s="101"/>
      <c r="B497" s="601"/>
      <c r="C497" s="570" t="s">
        <v>125</v>
      </c>
      <c r="D497" s="571"/>
      <c r="E497" s="577" t="s">
        <v>126</v>
      </c>
      <c r="F497" s="578"/>
      <c r="G497" s="579" t="s">
        <v>127</v>
      </c>
      <c r="H497" s="580"/>
      <c r="I497" s="581" t="s">
        <v>128</v>
      </c>
      <c r="J497" s="582"/>
      <c r="K497" s="583" t="s">
        <v>129</v>
      </c>
      <c r="L497" s="584"/>
    </row>
    <row r="498" spans="1:12">
      <c r="A498" s="101"/>
      <c r="B498" s="602"/>
      <c r="C498" s="567" t="s">
        <v>130</v>
      </c>
      <c r="D498" s="568"/>
      <c r="E498" s="567" t="s">
        <v>131</v>
      </c>
      <c r="F498" s="568"/>
      <c r="G498" s="585" t="s">
        <v>132</v>
      </c>
      <c r="H498" s="568"/>
      <c r="I498" s="567" t="s">
        <v>133</v>
      </c>
      <c r="J498" s="568"/>
      <c r="K498" s="567" t="s">
        <v>134</v>
      </c>
      <c r="L498" s="569"/>
    </row>
    <row r="499" spans="1:12">
      <c r="A499" s="101"/>
      <c r="B499" s="72" t="s">
        <v>135</v>
      </c>
      <c r="C499" s="559" t="str">
        <f ca="1">OFFSET('Bateria indicadores proceso'!$Y$3,(RIGHT(A478,3)),1)</f>
        <v>Listas de asistencia, piezas publicitarias y/o resolución</v>
      </c>
      <c r="D499" s="559"/>
      <c r="E499" s="559"/>
      <c r="F499" s="559"/>
      <c r="G499" s="559"/>
      <c r="H499" s="559"/>
      <c r="I499" s="559"/>
      <c r="J499" s="559"/>
      <c r="K499" s="559"/>
      <c r="L499" s="560"/>
    </row>
    <row r="500" spans="1:12">
      <c r="A500" s="101"/>
      <c r="B500" s="591" t="s">
        <v>136</v>
      </c>
      <c r="C500" s="561" t="s">
        <v>137</v>
      </c>
      <c r="D500" s="561"/>
      <c r="E500" s="561"/>
      <c r="F500" s="562" t="str">
        <f ca="1">OFFSET('Bateria indicadores proceso'!$B$3,(RIGHT(A478,3)),1)</f>
        <v>GESTIÓN DEL TALENTO HUMANO</v>
      </c>
      <c r="G500" s="562"/>
      <c r="H500" s="562"/>
      <c r="I500" s="562"/>
      <c r="J500" s="562"/>
      <c r="K500" s="562"/>
      <c r="L500" s="563"/>
    </row>
    <row r="501" spans="1:12">
      <c r="A501" s="101"/>
      <c r="B501" s="592"/>
      <c r="C501" s="561" t="s">
        <v>138</v>
      </c>
      <c r="D501" s="561"/>
      <c r="E501" s="561"/>
      <c r="F501" s="564">
        <f ca="1">OFFSET('Bateria indicadores proceso'!$C$3,(RIGHT(A478,3)),1)</f>
        <v>1</v>
      </c>
      <c r="G501" s="564"/>
      <c r="H501" s="564"/>
      <c r="I501" s="564"/>
      <c r="J501" s="564"/>
      <c r="K501" s="564"/>
      <c r="L501" s="565"/>
    </row>
    <row r="502" spans="1:12" ht="15.75" thickBot="1">
      <c r="A502" s="101"/>
      <c r="B502" s="592"/>
      <c r="C502" s="561" t="s">
        <v>139</v>
      </c>
      <c r="D502" s="561"/>
      <c r="E502" s="561"/>
      <c r="F502" s="564">
        <f ca="1">OFFSET('Bateria indicadores proceso'!$E$3,(RIGHT(A478,3)),1)</f>
        <v>0.14000000000000001</v>
      </c>
      <c r="G502" s="564"/>
      <c r="H502" s="564"/>
      <c r="I502" s="564"/>
      <c r="J502" s="564"/>
      <c r="K502" s="564"/>
      <c r="L502" s="565"/>
    </row>
    <row r="503" spans="1:12" ht="16.5" thickBot="1">
      <c r="A503" s="101"/>
      <c r="B503" s="572" t="s">
        <v>140</v>
      </c>
      <c r="C503" s="573"/>
      <c r="D503" s="573"/>
      <c r="E503" s="573"/>
      <c r="F503" s="573"/>
      <c r="G503" s="573"/>
      <c r="H503" s="573"/>
      <c r="I503" s="573"/>
      <c r="J503" s="573"/>
      <c r="K503" s="573"/>
      <c r="L503" s="574"/>
    </row>
    <row r="504" spans="1:12">
      <c r="A504" s="101"/>
      <c r="B504" s="72" t="s">
        <v>142</v>
      </c>
      <c r="C504" s="561" t="str">
        <f ca="1">OFFSET('Bateria indicadores proceso'!$G$3,(RIGHT(A478,3)),1)</f>
        <v xml:space="preserve">Subdirector </v>
      </c>
      <c r="D504" s="561"/>
      <c r="E504" s="561"/>
      <c r="F504" s="561"/>
      <c r="G504" s="561"/>
      <c r="H504" s="561"/>
      <c r="I504" s="561"/>
      <c r="J504" s="561"/>
      <c r="K504" s="561"/>
      <c r="L504" s="566"/>
    </row>
    <row r="505" spans="1:12">
      <c r="A505" s="101"/>
      <c r="B505" s="72" t="s">
        <v>143</v>
      </c>
      <c r="C505" s="561" t="str">
        <f ca="1">OFFSET('Bateria indicadores proceso'!$F$3,(RIGHT(A478,3)),1)</f>
        <v>Subdirección de Gestión Humana</v>
      </c>
      <c r="D505" s="561"/>
      <c r="E505" s="561"/>
      <c r="F505" s="561"/>
      <c r="G505" s="561"/>
      <c r="H505" s="561"/>
      <c r="I505" s="561"/>
      <c r="J505" s="561"/>
      <c r="K505" s="561"/>
      <c r="L505" s="566"/>
    </row>
    <row r="506" spans="1:12">
      <c r="A506" s="101"/>
      <c r="B506" s="72" t="s">
        <v>144</v>
      </c>
      <c r="C506" s="598" t="str">
        <f ca="1">OFFSET('Bateria indicadores proceso'!$H$3,(RIGHT(A442,3)),1)</f>
        <v>ethel.vasquez@mininterior.gov.co</v>
      </c>
      <c r="D506" s="598"/>
      <c r="E506" s="598"/>
      <c r="F506" s="598"/>
      <c r="G506" s="598"/>
      <c r="H506" s="598"/>
      <c r="I506" s="598"/>
      <c r="J506" s="598"/>
      <c r="K506" s="598"/>
      <c r="L506" s="599"/>
    </row>
    <row r="507" spans="1:12" ht="15.75" thickBot="1">
      <c r="A507" s="104"/>
      <c r="B507" s="74" t="s">
        <v>145</v>
      </c>
      <c r="C507" s="596" t="s">
        <v>146</v>
      </c>
      <c r="D507" s="596"/>
      <c r="E507" s="596"/>
      <c r="F507" s="596"/>
      <c r="G507" s="596"/>
      <c r="H507" s="596"/>
      <c r="I507" s="596"/>
      <c r="J507" s="596"/>
      <c r="K507" s="596"/>
      <c r="L507" s="597"/>
    </row>
    <row r="508" spans="1:12" ht="15.75" thickBot="1"/>
    <row r="509" spans="1:12" ht="21.75" thickBot="1">
      <c r="A509" s="586" t="s">
        <v>89</v>
      </c>
      <c r="B509" s="587"/>
      <c r="C509" s="587"/>
      <c r="D509" s="587"/>
      <c r="E509" s="587"/>
      <c r="F509" s="587"/>
      <c r="G509" s="587"/>
      <c r="H509" s="587"/>
      <c r="I509" s="587"/>
      <c r="J509" s="587"/>
      <c r="K509" s="587"/>
      <c r="L509" s="588"/>
    </row>
    <row r="510" spans="1:12" ht="32.25" thickBot="1">
      <c r="A510" s="69" t="s">
        <v>90</v>
      </c>
      <c r="B510" s="589" t="s">
        <v>91</v>
      </c>
      <c r="C510" s="589"/>
      <c r="D510" s="589"/>
      <c r="E510" s="589"/>
      <c r="F510" s="589"/>
      <c r="G510" s="589"/>
      <c r="H510" s="589"/>
      <c r="I510" s="589"/>
      <c r="J510" s="589"/>
      <c r="K510" s="589"/>
      <c r="L510" s="589"/>
    </row>
    <row r="511" spans="1:12" ht="16.5" thickBot="1">
      <c r="A511" s="100"/>
      <c r="B511" s="71" t="s">
        <v>92</v>
      </c>
      <c r="C511" s="575" t="s">
        <v>93</v>
      </c>
      <c r="D511" s="575"/>
      <c r="E511" s="575"/>
      <c r="F511" s="575"/>
      <c r="G511" s="575"/>
      <c r="H511" s="575"/>
      <c r="I511" s="575"/>
      <c r="J511" s="575"/>
      <c r="K511" s="575"/>
      <c r="L511" s="576"/>
    </row>
    <row r="512" spans="1:12" ht="16.5" thickBot="1">
      <c r="A512" s="101"/>
      <c r="B512" s="589" t="s">
        <v>94</v>
      </c>
      <c r="C512" s="590"/>
      <c r="D512" s="590"/>
      <c r="E512" s="590"/>
      <c r="F512" s="590"/>
      <c r="G512" s="590"/>
      <c r="H512" s="590"/>
      <c r="I512" s="590"/>
      <c r="J512" s="590"/>
      <c r="K512" s="590"/>
      <c r="L512" s="590"/>
    </row>
    <row r="513" spans="1:12">
      <c r="A513" s="101"/>
      <c r="B513" s="71" t="s">
        <v>95</v>
      </c>
      <c r="C513" s="559" t="s">
        <v>96</v>
      </c>
      <c r="D513" s="559"/>
      <c r="E513" s="559"/>
      <c r="F513" s="559"/>
      <c r="G513" s="559"/>
      <c r="H513" s="559"/>
      <c r="I513" s="559"/>
      <c r="J513" s="559"/>
      <c r="K513" s="559"/>
      <c r="L513" s="560"/>
    </row>
    <row r="514" spans="1:12">
      <c r="A514" s="102" t="s">
        <v>160</v>
      </c>
      <c r="B514" s="72" t="s">
        <v>98</v>
      </c>
      <c r="C514" s="559" t="str">
        <f ca="1">OFFSET('Bateria indicadores proceso'!$F$3,(RIGHT(A514,3)),1)</f>
        <v>Subdirección de Gestión Humana</v>
      </c>
      <c r="D514" s="559"/>
      <c r="E514" s="559"/>
      <c r="F514" s="559"/>
      <c r="G514" s="559"/>
      <c r="H514" s="559"/>
      <c r="I514" s="559"/>
      <c r="J514" s="559"/>
      <c r="K514" s="559"/>
      <c r="L514" s="560"/>
    </row>
    <row r="515" spans="1:12">
      <c r="A515" s="101"/>
      <c r="B515" s="72" t="s">
        <v>99</v>
      </c>
      <c r="C515" s="559" t="str">
        <f ca="1">OFFSET('Bateria indicadores proceso'!$K$3,(RIGHT(A514,3)),1)</f>
        <v>Actividades realizadas con apoyo de la ARL</v>
      </c>
      <c r="D515" s="559"/>
      <c r="E515" s="559"/>
      <c r="F515" s="559"/>
      <c r="G515" s="559"/>
      <c r="H515" s="559"/>
      <c r="I515" s="559"/>
      <c r="J515" s="559"/>
      <c r="K515" s="559"/>
      <c r="L515" s="560"/>
    </row>
    <row r="516" spans="1:12">
      <c r="A516" s="101"/>
      <c r="B516" s="72" t="s">
        <v>100</v>
      </c>
      <c r="C516" s="559" t="str">
        <f ca="1">OFFSET('Bateria indicadores proceso'!$I$3,(RIGHT(A514,3)),1)</f>
        <v>Eficacia</v>
      </c>
      <c r="D516" s="559"/>
      <c r="E516" s="559"/>
      <c r="F516" s="559"/>
      <c r="G516" s="559"/>
      <c r="H516" s="559"/>
      <c r="I516" s="559"/>
      <c r="J516" s="559"/>
      <c r="K516" s="559"/>
      <c r="L516" s="560"/>
    </row>
    <row r="517" spans="1:12" ht="15.75" thickBot="1">
      <c r="A517" s="103"/>
      <c r="B517" s="73" t="s">
        <v>101</v>
      </c>
      <c r="C517" s="559" t="str">
        <f ca="1">OFFSET('Bateria indicadores proceso'!$J$3,(RIGHT(A514,3)),1)</f>
        <v xml:space="preserve">Ejecutar actividades de promoción y prevención en temas de seguridad y salud en el trabajo con apoyo de la ARL. Es importante medirlo porque hace parte del rendimiento del sistema.  La orientación del indicador es incrementar </v>
      </c>
      <c r="D517" s="559"/>
      <c r="E517" s="559"/>
      <c r="F517" s="559"/>
      <c r="G517" s="559"/>
      <c r="H517" s="559"/>
      <c r="I517" s="559"/>
      <c r="J517" s="559"/>
      <c r="K517" s="559"/>
      <c r="L517" s="560"/>
    </row>
    <row r="518" spans="1:12" ht="16.5" thickBot="1">
      <c r="A518" s="103"/>
      <c r="B518" s="572" t="s">
        <v>102</v>
      </c>
      <c r="C518" s="573"/>
      <c r="D518" s="573"/>
      <c r="E518" s="573"/>
      <c r="F518" s="573"/>
      <c r="G518" s="573"/>
      <c r="H518" s="573"/>
      <c r="I518" s="573"/>
      <c r="J518" s="573"/>
      <c r="K518" s="573"/>
      <c r="L518" s="574"/>
    </row>
    <row r="519" spans="1:12">
      <c r="A519" s="101"/>
      <c r="B519" s="71" t="s">
        <v>103</v>
      </c>
      <c r="C519" s="559" t="str">
        <f ca="1">OFFSET('Bateria indicadores proceso'!$O$3,(RIGHT(A514,3)),1)</f>
        <v>Número</v>
      </c>
      <c r="D519" s="559"/>
      <c r="E519" s="559"/>
      <c r="F519" s="559"/>
      <c r="G519" s="559"/>
      <c r="H519" s="559"/>
      <c r="I519" s="559"/>
      <c r="J519" s="559"/>
      <c r="K519" s="559"/>
      <c r="L519" s="560"/>
    </row>
    <row r="520" spans="1:12" ht="24">
      <c r="A520" s="101"/>
      <c r="B520" s="72" t="s">
        <v>104</v>
      </c>
      <c r="C520" s="559"/>
      <c r="D520" s="559"/>
      <c r="E520" s="559"/>
      <c r="F520" s="559"/>
      <c r="G520" s="559"/>
      <c r="H520" s="559"/>
      <c r="I520" s="559"/>
      <c r="J520" s="559"/>
      <c r="K520" s="559"/>
      <c r="L520" s="560"/>
    </row>
    <row r="521" spans="1:12">
      <c r="A521" s="101"/>
      <c r="B521" s="72" t="s">
        <v>105</v>
      </c>
      <c r="C521" s="559" t="str">
        <f ca="1">OFFSET('Bateria indicadores proceso'!$L$3,(RIGHT(A514,3)),1)</f>
        <v xml:space="preserve">Sumatoria de las actividades realizadas  programadas con apoyo de la ARL </v>
      </c>
      <c r="D521" s="559"/>
      <c r="E521" s="559"/>
      <c r="F521" s="559"/>
      <c r="G521" s="559"/>
      <c r="H521" s="559"/>
      <c r="I521" s="559"/>
      <c r="J521" s="559"/>
      <c r="K521" s="559"/>
      <c r="L521" s="560"/>
    </row>
    <row r="522" spans="1:12">
      <c r="A522" s="101"/>
      <c r="B522" s="72" t="s">
        <v>106</v>
      </c>
      <c r="C522" s="559" t="str">
        <f ca="1">OFFSET('Bateria indicadores proceso'!$Z$3,(RIGHT(A514,3)),1)</f>
        <v>Trimestral</v>
      </c>
      <c r="D522" s="559"/>
      <c r="E522" s="559"/>
      <c r="F522" s="559"/>
      <c r="G522" s="559"/>
      <c r="H522" s="559"/>
      <c r="I522" s="559"/>
      <c r="J522" s="559"/>
      <c r="K522" s="559"/>
      <c r="L522" s="560"/>
    </row>
    <row r="523" spans="1:12">
      <c r="A523" s="101"/>
      <c r="B523" s="72" t="s">
        <v>107</v>
      </c>
      <c r="C523" s="559" t="str">
        <f ca="1">OFFSET('Bateria indicadores proceso'!$X$3,(RIGHT(A514,3)),1)</f>
        <v xml:space="preserve">PVE (programa de vigilaciona epidemiologica)  </v>
      </c>
      <c r="D523" s="559"/>
      <c r="E523" s="559"/>
      <c r="F523" s="559"/>
      <c r="G523" s="559"/>
      <c r="H523" s="559"/>
      <c r="I523" s="559"/>
      <c r="J523" s="559"/>
      <c r="K523" s="559"/>
      <c r="L523" s="560"/>
    </row>
    <row r="524" spans="1:12">
      <c r="A524" s="101"/>
      <c r="B524" s="72" t="s">
        <v>108</v>
      </c>
      <c r="C524" s="561">
        <f ca="1">OFFSET('Bateria indicadores proceso'!$P$3,(RIGHT(A514,3)),1)</f>
        <v>2024</v>
      </c>
      <c r="D524" s="561"/>
      <c r="E524" s="561"/>
      <c r="F524" s="561"/>
      <c r="G524" s="561"/>
      <c r="H524" s="561"/>
      <c r="I524" s="561"/>
      <c r="J524" s="561"/>
      <c r="K524" s="561"/>
      <c r="L524" s="566"/>
    </row>
    <row r="525" spans="1:12">
      <c r="A525" s="101"/>
      <c r="B525" s="72" t="s">
        <v>109</v>
      </c>
      <c r="C525" s="561" t="str">
        <f ca="1">IF(C519="Número",TEXT(OFFSET('Bateria indicadores proceso'!$Q$3,(RIGHT(A514,3)),1),"######"),TEXT(OFFSET('Bateria indicadores proceso'!$Q$3,(RIGHT(A514,3)),1),"0.0%"))</f>
        <v>24</v>
      </c>
      <c r="D525" s="561"/>
      <c r="E525" s="561"/>
      <c r="F525" s="561"/>
      <c r="G525" s="561"/>
      <c r="H525" s="561"/>
      <c r="I525" s="561"/>
      <c r="J525" s="561"/>
      <c r="K525" s="561"/>
      <c r="L525" s="566"/>
    </row>
    <row r="526" spans="1:12">
      <c r="A526" s="101"/>
      <c r="B526" s="72" t="s">
        <v>110</v>
      </c>
      <c r="C526" s="593">
        <f ca="1">+OFFSET('Bateria indicadores proceso'!$R$3,(RIGHT(A514,3)),1)</f>
        <v>46022</v>
      </c>
      <c r="D526" s="593"/>
      <c r="E526" s="593"/>
      <c r="F526" s="593"/>
      <c r="G526" s="593"/>
      <c r="H526" s="593"/>
      <c r="I526" s="593"/>
      <c r="J526" s="593"/>
      <c r="K526" s="593"/>
      <c r="L526" s="594"/>
    </row>
    <row r="527" spans="1:12">
      <c r="A527" s="101"/>
      <c r="B527" s="72" t="s">
        <v>111</v>
      </c>
      <c r="C527" s="561" t="str">
        <f ca="1">OFFSET('Bateria indicadores proceso'!$M$3,(RIGHT(A514,3)),1)</f>
        <v>Incrementar</v>
      </c>
      <c r="D527" s="561"/>
      <c r="E527" s="561"/>
      <c r="F527" s="561"/>
      <c r="G527" s="561"/>
      <c r="H527" s="561"/>
      <c r="I527" s="561"/>
      <c r="J527" s="561"/>
      <c r="K527" s="561"/>
      <c r="L527" s="566"/>
    </row>
    <row r="528" spans="1:12">
      <c r="A528" s="101"/>
      <c r="B528" s="72" t="s">
        <v>112</v>
      </c>
      <c r="C528" s="561" t="str">
        <f ca="1">OFFSET('Bateria indicadores proceso'!$N$3,(RIGHT(A514,3)),1)</f>
        <v>Acumulado</v>
      </c>
      <c r="D528" s="561"/>
      <c r="E528" s="561"/>
      <c r="F528" s="561"/>
      <c r="G528" s="561"/>
      <c r="H528" s="561"/>
      <c r="I528" s="561"/>
      <c r="J528" s="561"/>
      <c r="K528" s="561"/>
      <c r="L528" s="566"/>
    </row>
    <row r="529" spans="1:12">
      <c r="A529" s="101"/>
      <c r="B529" s="72" t="s">
        <v>113</v>
      </c>
      <c r="C529" s="561" t="str">
        <f ca="1">IF(C519="Número",TEXT(OFFSET('Bateria indicadores proceso'!$W$3,(RIGHT(A514,3)),1),"######"),TEXT(OFFSET('Bateria indicadores proceso'!$W$3,(RIGHT(A514,3)),1),"0.0%"))</f>
        <v>24</v>
      </c>
      <c r="D529" s="561"/>
      <c r="E529" s="561"/>
      <c r="F529" s="561"/>
      <c r="G529" s="561"/>
      <c r="H529" s="561"/>
      <c r="I529" s="561"/>
      <c r="J529" s="561"/>
      <c r="K529" s="561"/>
      <c r="L529" s="566"/>
    </row>
    <row r="530" spans="1:12">
      <c r="A530" s="101"/>
      <c r="B530" s="595" t="s">
        <v>114</v>
      </c>
      <c r="C530" s="70" t="s">
        <v>115</v>
      </c>
      <c r="D530" s="70" t="s">
        <v>116</v>
      </c>
      <c r="E530" s="70" t="s">
        <v>117</v>
      </c>
      <c r="F530" s="70" t="s">
        <v>118</v>
      </c>
      <c r="J530" s="75"/>
      <c r="K530" s="75"/>
      <c r="L530" s="76"/>
    </row>
    <row r="531" spans="1:12">
      <c r="A531" s="101"/>
      <c r="B531" s="595"/>
      <c r="C531" s="70" t="str">
        <f ca="1">IF(C519="Número",TEXT(OFFSET('Bateria indicadores proceso'!$S$3,(RIGHT(A514,3)),1),"######"),TEXT(OFFSET('Bateria indicadores proceso'!$S$3,(RIGHT(A514,3)),1),"0.0%"))</f>
        <v>4</v>
      </c>
      <c r="D531" s="70" t="str">
        <f ca="1">IF(C519="Número",TEXT(OFFSET('Bateria indicadores proceso'!$T$3,(RIGHT(A514,3)),1),"######"),TEXT(OFFSET('Bateria indicadores proceso'!$T$3,(RIGHT(A514,3)),1),"0.0%"))</f>
        <v>7</v>
      </c>
      <c r="E531" s="70" t="str">
        <f ca="1">IF(C519="Número",TEXT(OFFSET('Bateria indicadores proceso'!$U$3,(RIGHT(A514,3)),1),"######"),TEXT(OFFSET('Bateria indicadores proceso'!$U$3,(RIGHT(A514,3)),1),"0.0%"))</f>
        <v>7</v>
      </c>
      <c r="F531" s="70" t="str">
        <f ca="1">IF(C519="Número",TEXT(OFFSET('Bateria indicadores proceso'!$V$3,(RIGHT(A514,3)),1),"######"),TEXT(OFFSET('Bateria indicadores proceso'!$V$3,(RIGHT(A514,3)),1),"0.0%"))</f>
        <v>6</v>
      </c>
      <c r="J531" s="77"/>
      <c r="K531" s="77"/>
      <c r="L531" s="78"/>
    </row>
    <row r="532" spans="1:12">
      <c r="A532" s="101"/>
      <c r="B532" s="600" t="s">
        <v>119</v>
      </c>
      <c r="C532" s="567" t="s">
        <v>120</v>
      </c>
      <c r="D532" s="568"/>
      <c r="E532" s="567" t="s">
        <v>121</v>
      </c>
      <c r="F532" s="568"/>
      <c r="G532" s="567" t="s">
        <v>122</v>
      </c>
      <c r="H532" s="568"/>
      <c r="I532" s="567" t="s">
        <v>123</v>
      </c>
      <c r="J532" s="568"/>
      <c r="K532" s="567" t="s">
        <v>124</v>
      </c>
      <c r="L532" s="569"/>
    </row>
    <row r="533" spans="1:12">
      <c r="A533" s="101"/>
      <c r="B533" s="601"/>
      <c r="C533" s="570" t="s">
        <v>125</v>
      </c>
      <c r="D533" s="571"/>
      <c r="E533" s="577" t="s">
        <v>126</v>
      </c>
      <c r="F533" s="578"/>
      <c r="G533" s="579" t="s">
        <v>127</v>
      </c>
      <c r="H533" s="580"/>
      <c r="I533" s="581" t="s">
        <v>128</v>
      </c>
      <c r="J533" s="582"/>
      <c r="K533" s="583" t="s">
        <v>129</v>
      </c>
      <c r="L533" s="584"/>
    </row>
    <row r="534" spans="1:12">
      <c r="A534" s="101"/>
      <c r="B534" s="602"/>
      <c r="C534" s="567" t="s">
        <v>130</v>
      </c>
      <c r="D534" s="568"/>
      <c r="E534" s="567" t="s">
        <v>131</v>
      </c>
      <c r="F534" s="568"/>
      <c r="G534" s="585" t="s">
        <v>132</v>
      </c>
      <c r="H534" s="568"/>
      <c r="I534" s="567" t="s">
        <v>133</v>
      </c>
      <c r="J534" s="568"/>
      <c r="K534" s="567" t="s">
        <v>134</v>
      </c>
      <c r="L534" s="569"/>
    </row>
    <row r="535" spans="1:12">
      <c r="A535" s="101"/>
      <c r="B535" s="72" t="s">
        <v>135</v>
      </c>
      <c r="C535" s="559" t="str">
        <f ca="1">OFFSET('Bateria indicadores proceso'!$Y$3,(RIGHT(A514,3)),1)</f>
        <v>LIstas de asistencia, piezas publicitarias</v>
      </c>
      <c r="D535" s="559"/>
      <c r="E535" s="559"/>
      <c r="F535" s="559"/>
      <c r="G535" s="559"/>
      <c r="H535" s="559"/>
      <c r="I535" s="559"/>
      <c r="J535" s="559"/>
      <c r="K535" s="559"/>
      <c r="L535" s="560"/>
    </row>
    <row r="536" spans="1:12">
      <c r="A536" s="101"/>
      <c r="B536" s="591" t="s">
        <v>136</v>
      </c>
      <c r="C536" s="561" t="s">
        <v>137</v>
      </c>
      <c r="D536" s="561"/>
      <c r="E536" s="561"/>
      <c r="F536" s="562" t="str">
        <f ca="1">OFFSET('Bateria indicadores proceso'!$B$3,(RIGHT(A514,3)),1)</f>
        <v>GESTIÓN DEL TALENTO HUMANO</v>
      </c>
      <c r="G536" s="562"/>
      <c r="H536" s="562"/>
      <c r="I536" s="562"/>
      <c r="J536" s="562"/>
      <c r="K536" s="562"/>
      <c r="L536" s="563"/>
    </row>
    <row r="537" spans="1:12">
      <c r="A537" s="101"/>
      <c r="B537" s="592"/>
      <c r="C537" s="561" t="s">
        <v>138</v>
      </c>
      <c r="D537" s="561"/>
      <c r="E537" s="561"/>
      <c r="F537" s="564">
        <f ca="1">OFFSET('Bateria indicadores proceso'!$C$3,(RIGHT(A514,3)),1)</f>
        <v>1</v>
      </c>
      <c r="G537" s="564"/>
      <c r="H537" s="564"/>
      <c r="I537" s="564"/>
      <c r="J537" s="564"/>
      <c r="K537" s="564"/>
      <c r="L537" s="565"/>
    </row>
    <row r="538" spans="1:12" ht="15.75" thickBot="1">
      <c r="A538" s="101"/>
      <c r="B538" s="592"/>
      <c r="C538" s="561" t="s">
        <v>139</v>
      </c>
      <c r="D538" s="561"/>
      <c r="E538" s="561"/>
      <c r="F538" s="564">
        <f ca="1">OFFSET('Bateria indicadores proceso'!$E$3,(RIGHT(A514,3)),1)</f>
        <v>0.14000000000000001</v>
      </c>
      <c r="G538" s="564"/>
      <c r="H538" s="564"/>
      <c r="I538" s="564"/>
      <c r="J538" s="564"/>
      <c r="K538" s="564"/>
      <c r="L538" s="565"/>
    </row>
    <row r="539" spans="1:12" ht="16.5" thickBot="1">
      <c r="A539" s="101"/>
      <c r="B539" s="572" t="s">
        <v>140</v>
      </c>
      <c r="C539" s="573"/>
      <c r="D539" s="573"/>
      <c r="E539" s="573"/>
      <c r="F539" s="573"/>
      <c r="G539" s="573"/>
      <c r="H539" s="573"/>
      <c r="I539" s="573"/>
      <c r="J539" s="573"/>
      <c r="K539" s="573"/>
      <c r="L539" s="574"/>
    </row>
    <row r="540" spans="1:12">
      <c r="A540" s="101"/>
      <c r="B540" s="72" t="s">
        <v>142</v>
      </c>
      <c r="C540" s="561" t="str">
        <f ca="1">OFFSET('Bateria indicadores proceso'!$G$3,(RIGHT(A514,3)),1)</f>
        <v xml:space="preserve">Subdirector </v>
      </c>
      <c r="D540" s="561"/>
      <c r="E540" s="561"/>
      <c r="F540" s="561"/>
      <c r="G540" s="561"/>
      <c r="H540" s="561"/>
      <c r="I540" s="561"/>
      <c r="J540" s="561"/>
      <c r="K540" s="561"/>
      <c r="L540" s="566"/>
    </row>
    <row r="541" spans="1:12">
      <c r="A541" s="101"/>
      <c r="B541" s="72" t="s">
        <v>143</v>
      </c>
      <c r="C541" s="561" t="str">
        <f ca="1">OFFSET('Bateria indicadores proceso'!$F$3,(RIGHT(A514,3)),1)</f>
        <v>Subdirección de Gestión Humana</v>
      </c>
      <c r="D541" s="561"/>
      <c r="E541" s="561"/>
      <c r="F541" s="561"/>
      <c r="G541" s="561"/>
      <c r="H541" s="561"/>
      <c r="I541" s="561"/>
      <c r="J541" s="561"/>
      <c r="K541" s="561"/>
      <c r="L541" s="566"/>
    </row>
    <row r="542" spans="1:12">
      <c r="A542" s="101"/>
      <c r="B542" s="72" t="s">
        <v>144</v>
      </c>
      <c r="C542" s="598" t="str">
        <f ca="1">OFFSET('Bateria indicadores proceso'!$H$3,(RIGHT(A514,3)),1)</f>
        <v>ethel.vasquez@mininterior.gov.co</v>
      </c>
      <c r="D542" s="598"/>
      <c r="E542" s="598"/>
      <c r="F542" s="598"/>
      <c r="G542" s="598"/>
      <c r="H542" s="598"/>
      <c r="I542" s="598"/>
      <c r="J542" s="598"/>
      <c r="K542" s="598"/>
      <c r="L542" s="599"/>
    </row>
    <row r="543" spans="1:12" ht="15.75" thickBot="1">
      <c r="A543" s="104"/>
      <c r="B543" s="74" t="s">
        <v>145</v>
      </c>
      <c r="C543" s="596" t="s">
        <v>146</v>
      </c>
      <c r="D543" s="596"/>
      <c r="E543" s="596"/>
      <c r="F543" s="596"/>
      <c r="G543" s="596"/>
      <c r="H543" s="596"/>
      <c r="I543" s="596"/>
      <c r="J543" s="596"/>
      <c r="K543" s="596"/>
      <c r="L543" s="597"/>
    </row>
    <row r="544" spans="1:12" ht="15.75" thickBot="1"/>
    <row r="545" spans="1:12" ht="21.75" thickBot="1">
      <c r="A545" s="586" t="s">
        <v>89</v>
      </c>
      <c r="B545" s="587"/>
      <c r="C545" s="587"/>
      <c r="D545" s="587"/>
      <c r="E545" s="587"/>
      <c r="F545" s="587"/>
      <c r="G545" s="587"/>
      <c r="H545" s="587"/>
      <c r="I545" s="587"/>
      <c r="J545" s="587"/>
      <c r="K545" s="587"/>
      <c r="L545" s="588"/>
    </row>
    <row r="546" spans="1:12" ht="32.25" thickBot="1">
      <c r="A546" s="69" t="s">
        <v>90</v>
      </c>
      <c r="B546" s="589" t="s">
        <v>91</v>
      </c>
      <c r="C546" s="589"/>
      <c r="D546" s="589"/>
      <c r="E546" s="589"/>
      <c r="F546" s="589"/>
      <c r="G546" s="589"/>
      <c r="H546" s="589"/>
      <c r="I546" s="589"/>
      <c r="J546" s="589"/>
      <c r="K546" s="589"/>
      <c r="L546" s="589"/>
    </row>
    <row r="547" spans="1:12" ht="16.5" thickBot="1">
      <c r="A547" s="100"/>
      <c r="B547" s="71" t="s">
        <v>92</v>
      </c>
      <c r="C547" s="575" t="s">
        <v>93</v>
      </c>
      <c r="D547" s="575"/>
      <c r="E547" s="575"/>
      <c r="F547" s="575"/>
      <c r="G547" s="575"/>
      <c r="H547" s="575"/>
      <c r="I547" s="575"/>
      <c r="J547" s="575"/>
      <c r="K547" s="575"/>
      <c r="L547" s="576"/>
    </row>
    <row r="548" spans="1:12" ht="16.5" thickBot="1">
      <c r="A548" s="101"/>
      <c r="B548" s="589" t="s">
        <v>94</v>
      </c>
      <c r="C548" s="590"/>
      <c r="D548" s="590"/>
      <c r="E548" s="590"/>
      <c r="F548" s="590"/>
      <c r="G548" s="590"/>
      <c r="H548" s="590"/>
      <c r="I548" s="590"/>
      <c r="J548" s="590"/>
      <c r="K548" s="590"/>
      <c r="L548" s="590"/>
    </row>
    <row r="549" spans="1:12">
      <c r="A549" s="101"/>
      <c r="B549" s="71" t="s">
        <v>95</v>
      </c>
      <c r="C549" s="559" t="s">
        <v>96</v>
      </c>
      <c r="D549" s="559"/>
      <c r="E549" s="559"/>
      <c r="F549" s="559"/>
      <c r="G549" s="559"/>
      <c r="H549" s="559"/>
      <c r="I549" s="559"/>
      <c r="J549" s="559"/>
      <c r="K549" s="559"/>
      <c r="L549" s="560"/>
    </row>
    <row r="550" spans="1:12">
      <c r="A550" s="102" t="s">
        <v>161</v>
      </c>
      <c r="B550" s="72" t="s">
        <v>98</v>
      </c>
      <c r="C550" s="559" t="str">
        <f ca="1">OFFSET('Bateria indicadores proceso'!$F$3,(RIGHT(A550,3)),1)</f>
        <v>Subdirección de Gestión Humana</v>
      </c>
      <c r="D550" s="559"/>
      <c r="E550" s="559"/>
      <c r="F550" s="559"/>
      <c r="G550" s="559"/>
      <c r="H550" s="559"/>
      <c r="I550" s="559"/>
      <c r="J550" s="559"/>
      <c r="K550" s="559"/>
      <c r="L550" s="560"/>
    </row>
    <row r="551" spans="1:12">
      <c r="A551" s="101"/>
      <c r="B551" s="72" t="s">
        <v>99</v>
      </c>
      <c r="C551" s="559" t="str">
        <f ca="1">OFFSET('Bateria indicadores proceso'!$K$3,(RIGHT(A550,3)),1)</f>
        <v>Campañas de apropiación de valores implementadas</v>
      </c>
      <c r="D551" s="559"/>
      <c r="E551" s="559"/>
      <c r="F551" s="559"/>
      <c r="G551" s="559"/>
      <c r="H551" s="559"/>
      <c r="I551" s="559"/>
      <c r="J551" s="559"/>
      <c r="K551" s="559"/>
      <c r="L551" s="560"/>
    </row>
    <row r="552" spans="1:12">
      <c r="A552" s="101"/>
      <c r="B552" s="72" t="s">
        <v>100</v>
      </c>
      <c r="C552" s="559" t="str">
        <f ca="1">OFFSET('Bateria indicadores proceso'!$I$3,(RIGHT(A550,3)),1)</f>
        <v>Eficacia</v>
      </c>
      <c r="D552" s="559"/>
      <c r="E552" s="559"/>
      <c r="F552" s="559"/>
      <c r="G552" s="559"/>
      <c r="H552" s="559"/>
      <c r="I552" s="559"/>
      <c r="J552" s="559"/>
      <c r="K552" s="559"/>
      <c r="L552" s="560"/>
    </row>
    <row r="553" spans="1:12" ht="15.75" thickBot="1">
      <c r="A553" s="103"/>
      <c r="B553" s="73" t="s">
        <v>101</v>
      </c>
      <c r="C553" s="559" t="str">
        <f ca="1">OFFSET('Bateria indicadores proceso'!$J$3,(RIGHT(A550,3)),1)</f>
        <v>Diseñar y ejecutar campañas de apropiación del Código de Integridad (valores institucionales).  Es importante medirlo porque hace parte de los planes estratégicos e institucionales del Ministerio del Interior, y en materia de gestión y desempeño institucional orientan el desarrollo de la entidad.  La orientación del indicador es incrementar.</v>
      </c>
      <c r="D553" s="559"/>
      <c r="E553" s="559"/>
      <c r="F553" s="559"/>
      <c r="G553" s="559"/>
      <c r="H553" s="559"/>
      <c r="I553" s="559"/>
      <c r="J553" s="559"/>
      <c r="K553" s="559"/>
      <c r="L553" s="560"/>
    </row>
    <row r="554" spans="1:12" ht="16.5" thickBot="1">
      <c r="A554" s="103"/>
      <c r="B554" s="572" t="s">
        <v>102</v>
      </c>
      <c r="C554" s="573"/>
      <c r="D554" s="573"/>
      <c r="E554" s="573"/>
      <c r="F554" s="573"/>
      <c r="G554" s="573"/>
      <c r="H554" s="573"/>
      <c r="I554" s="573"/>
      <c r="J554" s="573"/>
      <c r="K554" s="573"/>
      <c r="L554" s="574"/>
    </row>
    <row r="555" spans="1:12">
      <c r="A555" s="101"/>
      <c r="B555" s="71" t="s">
        <v>103</v>
      </c>
      <c r="C555" s="559" t="str">
        <f ca="1">OFFSET('Bateria indicadores proceso'!$O$3,(RIGHT(A550,3)),1)</f>
        <v>Número</v>
      </c>
      <c r="D555" s="559"/>
      <c r="E555" s="559"/>
      <c r="F555" s="559"/>
      <c r="G555" s="559"/>
      <c r="H555" s="559"/>
      <c r="I555" s="559"/>
      <c r="J555" s="559"/>
      <c r="K555" s="559"/>
      <c r="L555" s="560"/>
    </row>
    <row r="556" spans="1:12" ht="24">
      <c r="A556" s="101"/>
      <c r="B556" s="72" t="s">
        <v>104</v>
      </c>
      <c r="C556" s="559"/>
      <c r="D556" s="559"/>
      <c r="E556" s="559"/>
      <c r="F556" s="559"/>
      <c r="G556" s="559"/>
      <c r="H556" s="559"/>
      <c r="I556" s="559"/>
      <c r="J556" s="559"/>
      <c r="K556" s="559"/>
      <c r="L556" s="560"/>
    </row>
    <row r="557" spans="1:12">
      <c r="A557" s="101"/>
      <c r="B557" s="72" t="s">
        <v>105</v>
      </c>
      <c r="C557" s="559" t="str">
        <f ca="1">OFFSET('Bateria indicadores proceso'!$L$3,(RIGHT(A550,3)),1)</f>
        <v>Sumatoria  de campañas realizadas</v>
      </c>
      <c r="D557" s="559"/>
      <c r="E557" s="559"/>
      <c r="F557" s="559"/>
      <c r="G557" s="559"/>
      <c r="H557" s="559"/>
      <c r="I557" s="559"/>
      <c r="J557" s="559"/>
      <c r="K557" s="559"/>
      <c r="L557" s="560"/>
    </row>
    <row r="558" spans="1:12">
      <c r="A558" s="101"/>
      <c r="B558" s="72" t="s">
        <v>106</v>
      </c>
      <c r="C558" s="559" t="str">
        <f ca="1">OFFSET('Bateria indicadores proceso'!$Z$3,(RIGHT(A550,3)),1)</f>
        <v>Trimestral</v>
      </c>
      <c r="D558" s="559"/>
      <c r="E558" s="559"/>
      <c r="F558" s="559"/>
      <c r="G558" s="559"/>
      <c r="H558" s="559"/>
      <c r="I558" s="559"/>
      <c r="J558" s="559"/>
      <c r="K558" s="559"/>
      <c r="L558" s="560"/>
    </row>
    <row r="559" spans="1:12">
      <c r="A559" s="101"/>
      <c r="B559" s="72" t="s">
        <v>107</v>
      </c>
      <c r="C559" s="559" t="str">
        <f ca="1">OFFSET('Bateria indicadores proceso'!$X$3,(RIGHT(A550,3)),1)</f>
        <v>Política de Integridad</v>
      </c>
      <c r="D559" s="559"/>
      <c r="E559" s="559"/>
      <c r="F559" s="559"/>
      <c r="G559" s="559"/>
      <c r="H559" s="559"/>
      <c r="I559" s="559"/>
      <c r="J559" s="559"/>
      <c r="K559" s="559"/>
      <c r="L559" s="560"/>
    </row>
    <row r="560" spans="1:12">
      <c r="A560" s="101"/>
      <c r="B560" s="72" t="s">
        <v>108</v>
      </c>
      <c r="C560" s="561">
        <f ca="1">OFFSET('Bateria indicadores proceso'!$P$3,(RIGHT(A550,3)),1)</f>
        <v>2024</v>
      </c>
      <c r="D560" s="561"/>
      <c r="E560" s="561"/>
      <c r="F560" s="561"/>
      <c r="G560" s="561"/>
      <c r="H560" s="561"/>
      <c r="I560" s="561"/>
      <c r="J560" s="561"/>
      <c r="K560" s="561"/>
      <c r="L560" s="566"/>
    </row>
    <row r="561" spans="1:12">
      <c r="A561" s="101"/>
      <c r="B561" s="72" t="s">
        <v>109</v>
      </c>
      <c r="C561" s="561" t="str">
        <f ca="1">IF(C555="Número",TEXT(OFFSET('Bateria indicadores proceso'!$Q$3,(RIGHT(A550,3)),1),"######"),TEXT(OFFSET('Bateria indicadores proceso'!$Q$3,(RIGHT(A550,3)),1),"0.0%"))</f>
        <v>3</v>
      </c>
      <c r="D561" s="561"/>
      <c r="E561" s="561"/>
      <c r="F561" s="561"/>
      <c r="G561" s="561"/>
      <c r="H561" s="561"/>
      <c r="I561" s="561"/>
      <c r="J561" s="561"/>
      <c r="K561" s="561"/>
      <c r="L561" s="566"/>
    </row>
    <row r="562" spans="1:12">
      <c r="A562" s="101"/>
      <c r="B562" s="72" t="s">
        <v>110</v>
      </c>
      <c r="C562" s="593">
        <f ca="1">+OFFSET('Bateria indicadores proceso'!$R$3,(RIGHT(A550,3)),1)</f>
        <v>46022</v>
      </c>
      <c r="D562" s="593"/>
      <c r="E562" s="593"/>
      <c r="F562" s="593"/>
      <c r="G562" s="593"/>
      <c r="H562" s="593"/>
      <c r="I562" s="593"/>
      <c r="J562" s="593"/>
      <c r="K562" s="593"/>
      <c r="L562" s="594"/>
    </row>
    <row r="563" spans="1:12">
      <c r="A563" s="101"/>
      <c r="B563" s="72" t="s">
        <v>111</v>
      </c>
      <c r="C563" s="561" t="str">
        <f ca="1">OFFSET('Bateria indicadores proceso'!$M$3,(RIGHT(A550,3)),1)</f>
        <v>Incrementar</v>
      </c>
      <c r="D563" s="561"/>
      <c r="E563" s="561"/>
      <c r="F563" s="561"/>
      <c r="G563" s="561"/>
      <c r="H563" s="561"/>
      <c r="I563" s="561"/>
      <c r="J563" s="561"/>
      <c r="K563" s="561"/>
      <c r="L563" s="566"/>
    </row>
    <row r="564" spans="1:12">
      <c r="A564" s="101"/>
      <c r="B564" s="72" t="s">
        <v>112</v>
      </c>
      <c r="C564" s="561" t="str">
        <f ca="1">OFFSET('Bateria indicadores proceso'!$N$3,(RIGHT(A550,3)),1)</f>
        <v>Acumulado</v>
      </c>
      <c r="D564" s="561"/>
      <c r="E564" s="561"/>
      <c r="F564" s="561"/>
      <c r="G564" s="561"/>
      <c r="H564" s="561"/>
      <c r="I564" s="561"/>
      <c r="J564" s="561"/>
      <c r="K564" s="561"/>
      <c r="L564" s="566"/>
    </row>
    <row r="565" spans="1:12">
      <c r="A565" s="101"/>
      <c r="B565" s="72" t="s">
        <v>113</v>
      </c>
      <c r="C565" s="561" t="str">
        <f ca="1">IF(C555="Número",TEXT(OFFSET('Bateria indicadores proceso'!$W$3,(RIGHT(A550,3)),1),"######"),TEXT(OFFSET('Bateria indicadores proceso'!$W$3,(RIGHT(A550,3)),1),"0.0%"))</f>
        <v>4</v>
      </c>
      <c r="D565" s="561"/>
      <c r="E565" s="561"/>
      <c r="F565" s="561"/>
      <c r="G565" s="561"/>
      <c r="H565" s="561"/>
      <c r="I565" s="561"/>
      <c r="J565" s="561"/>
      <c r="K565" s="561"/>
      <c r="L565" s="566"/>
    </row>
    <row r="566" spans="1:12">
      <c r="A566" s="101"/>
      <c r="B566" s="595" t="s">
        <v>114</v>
      </c>
      <c r="C566" s="70" t="s">
        <v>115</v>
      </c>
      <c r="D566" s="70" t="s">
        <v>116</v>
      </c>
      <c r="E566" s="70" t="s">
        <v>117</v>
      </c>
      <c r="F566" s="70" t="s">
        <v>118</v>
      </c>
      <c r="J566" s="75"/>
      <c r="K566" s="75"/>
      <c r="L566" s="76"/>
    </row>
    <row r="567" spans="1:12">
      <c r="A567" s="101"/>
      <c r="B567" s="595"/>
      <c r="C567" s="70" t="str">
        <f ca="1">IF(C555="Número",TEXT(OFFSET('Bateria indicadores proceso'!$S$3,(RIGHT(A550,3)),1),"######"),TEXT(OFFSET('Bateria indicadores proceso'!$S$3,(RIGHT(A550,3)),1),"0.0%"))</f>
        <v>1</v>
      </c>
      <c r="D567" s="70" t="str">
        <f ca="1">IF(C555="Número",TEXT(OFFSET('Bateria indicadores proceso'!$T$3,(RIGHT(A550,3)),1),"######"),TEXT(OFFSET('Bateria indicadores proceso'!$T$3,(RIGHT(A550,3)),1),"0.0%"))</f>
        <v>1</v>
      </c>
      <c r="E567" s="70" t="str">
        <f ca="1">IF(C555="Número",TEXT(OFFSET('Bateria indicadores proceso'!$U$3,(RIGHT(A550,3)),1),"######"),TEXT(OFFSET('Bateria indicadores proceso'!$U$3,(RIGHT(A550,3)),1),"0.0%"))</f>
        <v>1</v>
      </c>
      <c r="F567" s="70" t="str">
        <f ca="1">IF(C555="Número",TEXT(OFFSET('Bateria indicadores proceso'!$V$3,(RIGHT(A550,3)),1),"######"),TEXT(OFFSET('Bateria indicadores proceso'!$V$3,(RIGHT(A550,3)),1),"0.0%"))</f>
        <v>1</v>
      </c>
      <c r="J567" s="77"/>
      <c r="K567" s="77"/>
      <c r="L567" s="78"/>
    </row>
    <row r="568" spans="1:12">
      <c r="A568" s="101"/>
      <c r="B568" s="600" t="s">
        <v>119</v>
      </c>
      <c r="C568" s="567" t="s">
        <v>120</v>
      </c>
      <c r="D568" s="568"/>
      <c r="E568" s="567" t="s">
        <v>121</v>
      </c>
      <c r="F568" s="568"/>
      <c r="G568" s="567" t="s">
        <v>122</v>
      </c>
      <c r="H568" s="568"/>
      <c r="I568" s="567" t="s">
        <v>123</v>
      </c>
      <c r="J568" s="568"/>
      <c r="K568" s="567" t="s">
        <v>124</v>
      </c>
      <c r="L568" s="569"/>
    </row>
    <row r="569" spans="1:12">
      <c r="A569" s="101"/>
      <c r="B569" s="601"/>
      <c r="C569" s="570" t="s">
        <v>125</v>
      </c>
      <c r="D569" s="571"/>
      <c r="E569" s="577" t="s">
        <v>126</v>
      </c>
      <c r="F569" s="578"/>
      <c r="G569" s="579" t="s">
        <v>127</v>
      </c>
      <c r="H569" s="580"/>
      <c r="I569" s="581" t="s">
        <v>128</v>
      </c>
      <c r="J569" s="582"/>
      <c r="K569" s="583" t="s">
        <v>129</v>
      </c>
      <c r="L569" s="584"/>
    </row>
    <row r="570" spans="1:12">
      <c r="A570" s="101"/>
      <c r="B570" s="602"/>
      <c r="C570" s="567" t="s">
        <v>130</v>
      </c>
      <c r="D570" s="568"/>
      <c r="E570" s="567" t="s">
        <v>131</v>
      </c>
      <c r="F570" s="568"/>
      <c r="G570" s="585" t="s">
        <v>132</v>
      </c>
      <c r="H570" s="568"/>
      <c r="I570" s="567" t="s">
        <v>133</v>
      </c>
      <c r="J570" s="568"/>
      <c r="K570" s="567" t="s">
        <v>134</v>
      </c>
      <c r="L570" s="569"/>
    </row>
    <row r="571" spans="1:12">
      <c r="A571" s="101"/>
      <c r="B571" s="72" t="s">
        <v>135</v>
      </c>
      <c r="C571" s="559" t="str">
        <f ca="1">OFFSET('Bateria indicadores proceso'!$Y$3,(RIGHT(A550,3)),1)</f>
        <v>Listas de asistencia y/o piezas publicitarias</v>
      </c>
      <c r="D571" s="559"/>
      <c r="E571" s="559"/>
      <c r="F571" s="559"/>
      <c r="G571" s="559"/>
      <c r="H571" s="559"/>
      <c r="I571" s="559"/>
      <c r="J571" s="559"/>
      <c r="K571" s="559"/>
      <c r="L571" s="560"/>
    </row>
    <row r="572" spans="1:12">
      <c r="A572" s="101"/>
      <c r="B572" s="591" t="s">
        <v>136</v>
      </c>
      <c r="C572" s="561" t="s">
        <v>137</v>
      </c>
      <c r="D572" s="561"/>
      <c r="E572" s="561"/>
      <c r="F572" s="562" t="str">
        <f ca="1">OFFSET('Bateria indicadores proceso'!$B$3,(RIGHT(A550,3)),1)</f>
        <v>GESTIÓN DEL TALENTO HUMANO</v>
      </c>
      <c r="G572" s="562"/>
      <c r="H572" s="562"/>
      <c r="I572" s="562"/>
      <c r="J572" s="562"/>
      <c r="K572" s="562"/>
      <c r="L572" s="563"/>
    </row>
    <row r="573" spans="1:12">
      <c r="A573" s="101"/>
      <c r="B573" s="592"/>
      <c r="C573" s="561" t="s">
        <v>138</v>
      </c>
      <c r="D573" s="561"/>
      <c r="E573" s="561"/>
      <c r="F573" s="564">
        <f ca="1">OFFSET('Bateria indicadores proceso'!$C$3,(RIGHT(A550,3)),1)</f>
        <v>1</v>
      </c>
      <c r="G573" s="564"/>
      <c r="H573" s="564"/>
      <c r="I573" s="564"/>
      <c r="J573" s="564"/>
      <c r="K573" s="564"/>
      <c r="L573" s="565"/>
    </row>
    <row r="574" spans="1:12" ht="15.75" thickBot="1">
      <c r="A574" s="101"/>
      <c r="B574" s="592"/>
      <c r="C574" s="561" t="s">
        <v>139</v>
      </c>
      <c r="D574" s="561"/>
      <c r="E574" s="561"/>
      <c r="F574" s="564">
        <f ca="1">OFFSET('Bateria indicadores proceso'!$E$3,(RIGHT(A550,3)),1)</f>
        <v>0.14000000000000001</v>
      </c>
      <c r="G574" s="564"/>
      <c r="H574" s="564"/>
      <c r="I574" s="564"/>
      <c r="J574" s="564"/>
      <c r="K574" s="564"/>
      <c r="L574" s="565"/>
    </row>
    <row r="575" spans="1:12" ht="16.5" thickBot="1">
      <c r="A575" s="101"/>
      <c r="B575" s="572" t="s">
        <v>140</v>
      </c>
      <c r="C575" s="573"/>
      <c r="D575" s="573"/>
      <c r="E575" s="573"/>
      <c r="F575" s="573"/>
      <c r="G575" s="573"/>
      <c r="H575" s="573"/>
      <c r="I575" s="573"/>
      <c r="J575" s="573"/>
      <c r="K575" s="573"/>
      <c r="L575" s="574"/>
    </row>
    <row r="576" spans="1:12">
      <c r="A576" s="101"/>
      <c r="B576" s="72" t="s">
        <v>142</v>
      </c>
      <c r="C576" s="561" t="str">
        <f ca="1">OFFSET('Bateria indicadores proceso'!$G$3,(RIGHT(A550,3)),1)</f>
        <v xml:space="preserve">Subdirector </v>
      </c>
      <c r="D576" s="561"/>
      <c r="E576" s="561"/>
      <c r="F576" s="561"/>
      <c r="G576" s="561"/>
      <c r="H576" s="561"/>
      <c r="I576" s="561"/>
      <c r="J576" s="561"/>
      <c r="K576" s="561"/>
      <c r="L576" s="566"/>
    </row>
    <row r="577" spans="1:12">
      <c r="A577" s="101"/>
      <c r="B577" s="72" t="s">
        <v>143</v>
      </c>
      <c r="C577" s="561" t="str">
        <f ca="1">OFFSET('Bateria indicadores proceso'!$F$3,(RIGHT(A550,3)),1)</f>
        <v>Subdirección de Gestión Humana</v>
      </c>
      <c r="D577" s="561"/>
      <c r="E577" s="561"/>
      <c r="F577" s="561"/>
      <c r="G577" s="561"/>
      <c r="H577" s="561"/>
      <c r="I577" s="561"/>
      <c r="J577" s="561"/>
      <c r="K577" s="561"/>
      <c r="L577" s="566"/>
    </row>
    <row r="578" spans="1:12">
      <c r="A578" s="101"/>
      <c r="B578" s="72" t="s">
        <v>144</v>
      </c>
      <c r="C578" s="598" t="str">
        <f ca="1">OFFSET('Bateria indicadores proceso'!$H$3,(RIGHT(A514,3)),1)</f>
        <v>ethel.vasquez@mininterior.gov.co</v>
      </c>
      <c r="D578" s="598"/>
      <c r="E578" s="598"/>
      <c r="F578" s="598"/>
      <c r="G578" s="598"/>
      <c r="H578" s="598"/>
      <c r="I578" s="598"/>
      <c r="J578" s="598"/>
      <c r="K578" s="598"/>
      <c r="L578" s="599"/>
    </row>
    <row r="579" spans="1:12" ht="15.75" thickBot="1">
      <c r="A579" s="104"/>
      <c r="B579" s="74" t="s">
        <v>145</v>
      </c>
      <c r="C579" s="596" t="s">
        <v>146</v>
      </c>
      <c r="D579" s="596"/>
      <c r="E579" s="596"/>
      <c r="F579" s="596"/>
      <c r="G579" s="596"/>
      <c r="H579" s="596"/>
      <c r="I579" s="596"/>
      <c r="J579" s="596"/>
      <c r="K579" s="596"/>
      <c r="L579" s="597"/>
    </row>
    <row r="580" spans="1:12" ht="15.75" thickBot="1"/>
    <row r="581" spans="1:12" ht="21.75" thickBot="1">
      <c r="A581" s="586" t="s">
        <v>89</v>
      </c>
      <c r="B581" s="587"/>
      <c r="C581" s="587"/>
      <c r="D581" s="587"/>
      <c r="E581" s="587"/>
      <c r="F581" s="587"/>
      <c r="G581" s="587"/>
      <c r="H581" s="587"/>
      <c r="I581" s="587"/>
      <c r="J581" s="587"/>
      <c r="K581" s="587"/>
      <c r="L581" s="588"/>
    </row>
    <row r="582" spans="1:12" ht="32.25" thickBot="1">
      <c r="A582" s="69" t="s">
        <v>90</v>
      </c>
      <c r="B582" s="589" t="s">
        <v>91</v>
      </c>
      <c r="C582" s="589"/>
      <c r="D582" s="589"/>
      <c r="E582" s="589"/>
      <c r="F582" s="589"/>
      <c r="G582" s="589"/>
      <c r="H582" s="589"/>
      <c r="I582" s="589"/>
      <c r="J582" s="589"/>
      <c r="K582" s="589"/>
      <c r="L582" s="589"/>
    </row>
    <row r="583" spans="1:12" ht="16.5" thickBot="1">
      <c r="A583" s="100"/>
      <c r="B583" s="71" t="s">
        <v>92</v>
      </c>
      <c r="C583" s="575" t="s">
        <v>93</v>
      </c>
      <c r="D583" s="575"/>
      <c r="E583" s="575"/>
      <c r="F583" s="575"/>
      <c r="G583" s="575"/>
      <c r="H583" s="575"/>
      <c r="I583" s="575"/>
      <c r="J583" s="575"/>
      <c r="K583" s="575"/>
      <c r="L583" s="576"/>
    </row>
    <row r="584" spans="1:12" ht="16.5" thickBot="1">
      <c r="A584" s="101"/>
      <c r="B584" s="589" t="s">
        <v>94</v>
      </c>
      <c r="C584" s="590"/>
      <c r="D584" s="590"/>
      <c r="E584" s="590"/>
      <c r="F584" s="590"/>
      <c r="G584" s="590"/>
      <c r="H584" s="590"/>
      <c r="I584" s="590"/>
      <c r="J584" s="590"/>
      <c r="K584" s="590"/>
      <c r="L584" s="590"/>
    </row>
    <row r="585" spans="1:12">
      <c r="A585" s="101"/>
      <c r="B585" s="71" t="s">
        <v>95</v>
      </c>
      <c r="C585" s="559" t="s">
        <v>96</v>
      </c>
      <c r="D585" s="559"/>
      <c r="E585" s="559"/>
      <c r="F585" s="559"/>
      <c r="G585" s="559"/>
      <c r="H585" s="559"/>
      <c r="I585" s="559"/>
      <c r="J585" s="559"/>
      <c r="K585" s="559"/>
      <c r="L585" s="560"/>
    </row>
    <row r="586" spans="1:12">
      <c r="A586" s="102" t="s">
        <v>162</v>
      </c>
      <c r="B586" s="72" t="s">
        <v>98</v>
      </c>
      <c r="C586" s="559" t="str">
        <f ca="1">OFFSET('Bateria indicadores proceso'!$F$3,(RIGHT(A586,3)),1)</f>
        <v>Subdirección de Gestión Humana</v>
      </c>
      <c r="D586" s="559"/>
      <c r="E586" s="559"/>
      <c r="F586" s="559"/>
      <c r="G586" s="559"/>
      <c r="H586" s="559"/>
      <c r="I586" s="559"/>
      <c r="J586" s="559"/>
      <c r="K586" s="559"/>
      <c r="L586" s="560"/>
    </row>
    <row r="587" spans="1:12">
      <c r="A587" s="101"/>
      <c r="B587" s="72" t="s">
        <v>99</v>
      </c>
      <c r="C587" s="559" t="str">
        <f ca="1">OFFSET('Bateria indicadores proceso'!$K$3,(RIGHT(A586,3)),1)</f>
        <v>Actividades de promoción y prevención en temas de seguridad y salud en el trabajo auto gestionadas</v>
      </c>
      <c r="D587" s="559"/>
      <c r="E587" s="559"/>
      <c r="F587" s="559"/>
      <c r="G587" s="559"/>
      <c r="H587" s="559"/>
      <c r="I587" s="559"/>
      <c r="J587" s="559"/>
      <c r="K587" s="559"/>
      <c r="L587" s="560"/>
    </row>
    <row r="588" spans="1:12">
      <c r="A588" s="101"/>
      <c r="B588" s="72" t="s">
        <v>100</v>
      </c>
      <c r="C588" s="559" t="str">
        <f ca="1">OFFSET('Bateria indicadores proceso'!$I$3,(RIGHT(A586,3)),1)</f>
        <v>Eficiencia</v>
      </c>
      <c r="D588" s="559"/>
      <c r="E588" s="559"/>
      <c r="F588" s="559"/>
      <c r="G588" s="559"/>
      <c r="H588" s="559"/>
      <c r="I588" s="559"/>
      <c r="J588" s="559"/>
      <c r="K588" s="559"/>
      <c r="L588" s="560"/>
    </row>
    <row r="589" spans="1:12" ht="15.75" thickBot="1">
      <c r="A589" s="103"/>
      <c r="B589" s="73" t="s">
        <v>101</v>
      </c>
      <c r="C589" s="559" t="str">
        <f ca="1">OFFSET('Bateria indicadores proceso'!$J$3,(RIGHT(A586,3)),1)</f>
        <v xml:space="preserve">jecutar actividades de promoción y prevención en temas de seguridad y salud en el trabajo autogestionadas. Es importante medirlo porque hace parte del rendimiento del sistema. La orientación del indicador es incrementar. </v>
      </c>
      <c r="D589" s="559"/>
      <c r="E589" s="559"/>
      <c r="F589" s="559"/>
      <c r="G589" s="559"/>
      <c r="H589" s="559"/>
      <c r="I589" s="559"/>
      <c r="J589" s="559"/>
      <c r="K589" s="559"/>
      <c r="L589" s="560"/>
    </row>
    <row r="590" spans="1:12" ht="16.5" thickBot="1">
      <c r="A590" s="103"/>
      <c r="B590" s="572" t="s">
        <v>102</v>
      </c>
      <c r="C590" s="573"/>
      <c r="D590" s="573"/>
      <c r="E590" s="573"/>
      <c r="F590" s="573"/>
      <c r="G590" s="573"/>
      <c r="H590" s="573"/>
      <c r="I590" s="573"/>
      <c r="J590" s="573"/>
      <c r="K590" s="573"/>
      <c r="L590" s="574"/>
    </row>
    <row r="591" spans="1:12">
      <c r="A591" s="101"/>
      <c r="B591" s="71" t="s">
        <v>103</v>
      </c>
      <c r="C591" s="559" t="str">
        <f ca="1">OFFSET('Bateria indicadores proceso'!$O$3,(RIGHT(A586,3)),1)</f>
        <v>Número</v>
      </c>
      <c r="D591" s="559"/>
      <c r="E591" s="559"/>
      <c r="F591" s="559"/>
      <c r="G591" s="559"/>
      <c r="H591" s="559"/>
      <c r="I591" s="559"/>
      <c r="J591" s="559"/>
      <c r="K591" s="559"/>
      <c r="L591" s="560"/>
    </row>
    <row r="592" spans="1:12" ht="24">
      <c r="A592" s="101"/>
      <c r="B592" s="72" t="s">
        <v>104</v>
      </c>
      <c r="C592" s="559"/>
      <c r="D592" s="559"/>
      <c r="E592" s="559"/>
      <c r="F592" s="559"/>
      <c r="G592" s="559"/>
      <c r="H592" s="559"/>
      <c r="I592" s="559"/>
      <c r="J592" s="559"/>
      <c r="K592" s="559"/>
      <c r="L592" s="560"/>
    </row>
    <row r="593" spans="1:12">
      <c r="A593" s="101"/>
      <c r="B593" s="72" t="s">
        <v>105</v>
      </c>
      <c r="C593" s="559" t="str">
        <f ca="1">OFFSET('Bateria indicadores proceso'!$L$3,(RIGHT(A586,3)),1)</f>
        <v>Sumatoria de actividades de promoción y prevención en temas de seguridad y salud en el trabajo autogestionada</v>
      </c>
      <c r="D593" s="559"/>
      <c r="E593" s="559"/>
      <c r="F593" s="559"/>
      <c r="G593" s="559"/>
      <c r="H593" s="559"/>
      <c r="I593" s="559"/>
      <c r="J593" s="559"/>
      <c r="K593" s="559"/>
      <c r="L593" s="560"/>
    </row>
    <row r="594" spans="1:12">
      <c r="A594" s="101"/>
      <c r="B594" s="72" t="s">
        <v>106</v>
      </c>
      <c r="C594" s="559" t="str">
        <f ca="1">OFFSET('Bateria indicadores proceso'!$Z$3,(RIGHT(A586,3)),1)</f>
        <v>Trimestral</v>
      </c>
      <c r="D594" s="559"/>
      <c r="E594" s="559"/>
      <c r="F594" s="559"/>
      <c r="G594" s="559"/>
      <c r="H594" s="559"/>
      <c r="I594" s="559"/>
      <c r="J594" s="559"/>
      <c r="K594" s="559"/>
      <c r="L594" s="560"/>
    </row>
    <row r="595" spans="1:12">
      <c r="A595" s="101"/>
      <c r="B595" s="72" t="s">
        <v>107</v>
      </c>
      <c r="C595" s="559" t="str">
        <f ca="1">OFFSET('Bateria indicadores proceso'!$X$3,(RIGHT(A586,3)),1)</f>
        <v>Información propia del Sistema de Seguridad y Salud en el Trabajo</v>
      </c>
      <c r="D595" s="559"/>
      <c r="E595" s="559"/>
      <c r="F595" s="559"/>
      <c r="G595" s="559"/>
      <c r="H595" s="559"/>
      <c r="I595" s="559"/>
      <c r="J595" s="559"/>
      <c r="K595" s="559"/>
      <c r="L595" s="560"/>
    </row>
    <row r="596" spans="1:12">
      <c r="A596" s="101"/>
      <c r="B596" s="72" t="s">
        <v>108</v>
      </c>
      <c r="C596" s="561">
        <f ca="1">OFFSET('Bateria indicadores proceso'!$P$3,(RIGHT(A586,3)),1)</f>
        <v>2024</v>
      </c>
      <c r="D596" s="561"/>
      <c r="E596" s="561"/>
      <c r="F596" s="561"/>
      <c r="G596" s="561"/>
      <c r="H596" s="561"/>
      <c r="I596" s="561"/>
      <c r="J596" s="561"/>
      <c r="K596" s="561"/>
      <c r="L596" s="566"/>
    </row>
    <row r="597" spans="1:12">
      <c r="A597" s="101"/>
      <c r="B597" s="72" t="s">
        <v>109</v>
      </c>
      <c r="C597" s="561" t="str">
        <f ca="1">IF(C591="Número",TEXT(OFFSET('Bateria indicadores proceso'!$Q$3,(RIGHT(A586,3)),1),"######"),TEXT(OFFSET('Bateria indicadores proceso'!$Q$3,(RIGHT(A586,3)),1),"0.0%"))</f>
        <v>22</v>
      </c>
      <c r="D597" s="561"/>
      <c r="E597" s="561"/>
      <c r="F597" s="561"/>
      <c r="G597" s="561"/>
      <c r="H597" s="561"/>
      <c r="I597" s="561"/>
      <c r="J597" s="561"/>
      <c r="K597" s="561"/>
      <c r="L597" s="566"/>
    </row>
    <row r="598" spans="1:12">
      <c r="A598" s="101"/>
      <c r="B598" s="72" t="s">
        <v>110</v>
      </c>
      <c r="C598" s="593">
        <f ca="1">+OFFSET('Bateria indicadores proceso'!$R$3,(RIGHT(A586,3)),1)</f>
        <v>46022</v>
      </c>
      <c r="D598" s="593"/>
      <c r="E598" s="593"/>
      <c r="F598" s="593"/>
      <c r="G598" s="593"/>
      <c r="H598" s="593"/>
      <c r="I598" s="593"/>
      <c r="J598" s="593"/>
      <c r="K598" s="593"/>
      <c r="L598" s="594"/>
    </row>
    <row r="599" spans="1:12">
      <c r="A599" s="101"/>
      <c r="B599" s="72" t="s">
        <v>111</v>
      </c>
      <c r="C599" s="561" t="str">
        <f ca="1">OFFSET('Bateria indicadores proceso'!$M$3,(RIGHT(A586,3)),1)</f>
        <v>Incrementar</v>
      </c>
      <c r="D599" s="561"/>
      <c r="E599" s="561"/>
      <c r="F599" s="561"/>
      <c r="G599" s="561"/>
      <c r="H599" s="561"/>
      <c r="I599" s="561"/>
      <c r="J599" s="561"/>
      <c r="K599" s="561"/>
      <c r="L599" s="566"/>
    </row>
    <row r="600" spans="1:12">
      <c r="A600" s="101"/>
      <c r="B600" s="72" t="s">
        <v>112</v>
      </c>
      <c r="C600" s="561" t="str">
        <f ca="1">OFFSET('Bateria indicadores proceso'!$N$3,(RIGHT(A586,3)),1)</f>
        <v>Acumulado</v>
      </c>
      <c r="D600" s="561"/>
      <c r="E600" s="561"/>
      <c r="F600" s="561"/>
      <c r="G600" s="561"/>
      <c r="H600" s="561"/>
      <c r="I600" s="561"/>
      <c r="J600" s="561"/>
      <c r="K600" s="561"/>
      <c r="L600" s="566"/>
    </row>
    <row r="601" spans="1:12">
      <c r="A601" s="101"/>
      <c r="B601" s="72" t="s">
        <v>113</v>
      </c>
      <c r="C601" s="561" t="str">
        <f ca="1">IF(C591="Número",TEXT(OFFSET('Bateria indicadores proceso'!$W$3,(RIGHT(A586,3)),1),"######"),TEXT(OFFSET('Bateria indicadores proceso'!$W$3,(RIGHT(A586,3)),1),"0.0%"))</f>
        <v>24</v>
      </c>
      <c r="D601" s="561"/>
      <c r="E601" s="561"/>
      <c r="F601" s="561"/>
      <c r="G601" s="561"/>
      <c r="H601" s="561"/>
      <c r="I601" s="561"/>
      <c r="J601" s="561"/>
      <c r="K601" s="561"/>
      <c r="L601" s="566"/>
    </row>
    <row r="602" spans="1:12">
      <c r="A602" s="101"/>
      <c r="B602" s="595" t="s">
        <v>114</v>
      </c>
      <c r="C602" s="70" t="s">
        <v>115</v>
      </c>
      <c r="D602" s="70" t="s">
        <v>116</v>
      </c>
      <c r="E602" s="70" t="s">
        <v>117</v>
      </c>
      <c r="F602" s="70" t="s">
        <v>118</v>
      </c>
      <c r="J602" s="75"/>
      <c r="K602" s="75"/>
      <c r="L602" s="76"/>
    </row>
    <row r="603" spans="1:12">
      <c r="A603" s="101"/>
      <c r="B603" s="595"/>
      <c r="C603" s="70" t="str">
        <f ca="1">IF(C591="Número",TEXT(OFFSET('Bateria indicadores proceso'!$S$3,(RIGHT(A586,3)),1),"######"),TEXT(OFFSET('Bateria indicadores proceso'!$S$3,(RIGHT(A586,3)),1),"0.0%"))</f>
        <v>3</v>
      </c>
      <c r="D603" s="70" t="str">
        <f ca="1">IF(C591="Número",TEXT(OFFSET('Bateria indicadores proceso'!$T$3,(RIGHT(A586,3)),1),"######"),TEXT(OFFSET('Bateria indicadores proceso'!$T$3,(RIGHT(A586,3)),1),"0.0%"))</f>
        <v>4</v>
      </c>
      <c r="E603" s="70" t="str">
        <f ca="1">IF(C591="Número",TEXT(OFFSET('Bateria indicadores proceso'!$U$3,(RIGHT(A586,3)),1),"######"),TEXT(OFFSET('Bateria indicadores proceso'!$U$3,(RIGHT(A586,3)),1),"0.0%"))</f>
        <v>14</v>
      </c>
      <c r="F603" s="70" t="str">
        <f ca="1">IF(C591="Número",TEXT(OFFSET('Bateria indicadores proceso'!$V$3,(RIGHT(A586,3)),1),"######"),TEXT(OFFSET('Bateria indicadores proceso'!$V$3,(RIGHT(A586,3)),1),"0.0%"))</f>
        <v>3</v>
      </c>
      <c r="J603" s="77"/>
      <c r="K603" s="77"/>
      <c r="L603" s="78"/>
    </row>
    <row r="604" spans="1:12">
      <c r="A604" s="101"/>
      <c r="B604" s="600" t="s">
        <v>119</v>
      </c>
      <c r="C604" s="567" t="s">
        <v>120</v>
      </c>
      <c r="D604" s="568"/>
      <c r="E604" s="567" t="s">
        <v>121</v>
      </c>
      <c r="F604" s="568"/>
      <c r="G604" s="567" t="s">
        <v>122</v>
      </c>
      <c r="H604" s="568"/>
      <c r="I604" s="567" t="s">
        <v>123</v>
      </c>
      <c r="J604" s="568"/>
      <c r="K604" s="567" t="s">
        <v>124</v>
      </c>
      <c r="L604" s="569"/>
    </row>
    <row r="605" spans="1:12">
      <c r="A605" s="101"/>
      <c r="B605" s="601"/>
      <c r="C605" s="570" t="s">
        <v>125</v>
      </c>
      <c r="D605" s="571"/>
      <c r="E605" s="577" t="s">
        <v>126</v>
      </c>
      <c r="F605" s="578"/>
      <c r="G605" s="579" t="s">
        <v>127</v>
      </c>
      <c r="H605" s="580"/>
      <c r="I605" s="581" t="s">
        <v>128</v>
      </c>
      <c r="J605" s="582"/>
      <c r="K605" s="583" t="s">
        <v>129</v>
      </c>
      <c r="L605" s="584"/>
    </row>
    <row r="606" spans="1:12">
      <c r="A606" s="101"/>
      <c r="B606" s="602"/>
      <c r="C606" s="567" t="s">
        <v>130</v>
      </c>
      <c r="D606" s="568"/>
      <c r="E606" s="567" t="s">
        <v>131</v>
      </c>
      <c r="F606" s="568"/>
      <c r="G606" s="585" t="s">
        <v>132</v>
      </c>
      <c r="H606" s="568"/>
      <c r="I606" s="567" t="s">
        <v>133</v>
      </c>
      <c r="J606" s="568"/>
      <c r="K606" s="567" t="s">
        <v>134</v>
      </c>
      <c r="L606" s="569"/>
    </row>
    <row r="607" spans="1:12">
      <c r="A607" s="101"/>
      <c r="B607" s="72" t="s">
        <v>135</v>
      </c>
      <c r="C607" s="559" t="str">
        <f ca="1">OFFSET('Bateria indicadores proceso'!$Y$3,(RIGHT(A586,3)),1)</f>
        <v>Listas de asistencia y/o piezas publicitarias</v>
      </c>
      <c r="D607" s="559"/>
      <c r="E607" s="559"/>
      <c r="F607" s="559"/>
      <c r="G607" s="559"/>
      <c r="H607" s="559"/>
      <c r="I607" s="559"/>
      <c r="J607" s="559"/>
      <c r="K607" s="559"/>
      <c r="L607" s="560"/>
    </row>
    <row r="608" spans="1:12">
      <c r="A608" s="101"/>
      <c r="B608" s="591" t="s">
        <v>136</v>
      </c>
      <c r="C608" s="561" t="s">
        <v>137</v>
      </c>
      <c r="D608" s="561"/>
      <c r="E608" s="561"/>
      <c r="F608" s="562" t="str">
        <f ca="1">OFFSET('Bateria indicadores proceso'!$B$3,(RIGHT(A586,3)),1)</f>
        <v>GESTIÓN DEL TALENTO HUMANO</v>
      </c>
      <c r="G608" s="562"/>
      <c r="H608" s="562"/>
      <c r="I608" s="562"/>
      <c r="J608" s="562"/>
      <c r="K608" s="562"/>
      <c r="L608" s="563"/>
    </row>
    <row r="609" spans="1:12">
      <c r="A609" s="101"/>
      <c r="B609" s="592"/>
      <c r="C609" s="561" t="s">
        <v>138</v>
      </c>
      <c r="D609" s="561"/>
      <c r="E609" s="561"/>
      <c r="F609" s="564">
        <f ca="1">OFFSET('Bateria indicadores proceso'!$C$3,(RIGHT(A586,3)),1)</f>
        <v>1</v>
      </c>
      <c r="G609" s="564"/>
      <c r="H609" s="564"/>
      <c r="I609" s="564"/>
      <c r="J609" s="564"/>
      <c r="K609" s="564"/>
      <c r="L609" s="565"/>
    </row>
    <row r="610" spans="1:12" ht="15.75" thickBot="1">
      <c r="A610" s="101"/>
      <c r="B610" s="592"/>
      <c r="C610" s="561" t="s">
        <v>139</v>
      </c>
      <c r="D610" s="561"/>
      <c r="E610" s="561"/>
      <c r="F610" s="564">
        <f ca="1">OFFSET('Bateria indicadores proceso'!$E$3,(RIGHT(A586,3)),1)</f>
        <v>0.14000000000000001</v>
      </c>
      <c r="G610" s="564"/>
      <c r="H610" s="564"/>
      <c r="I610" s="564"/>
      <c r="J610" s="564"/>
      <c r="K610" s="564"/>
      <c r="L610" s="565"/>
    </row>
    <row r="611" spans="1:12" ht="16.5" thickBot="1">
      <c r="A611" s="101"/>
      <c r="B611" s="572" t="s">
        <v>140</v>
      </c>
      <c r="C611" s="573"/>
      <c r="D611" s="573"/>
      <c r="E611" s="573"/>
      <c r="F611" s="573"/>
      <c r="G611" s="573"/>
      <c r="H611" s="573"/>
      <c r="I611" s="573"/>
      <c r="J611" s="573"/>
      <c r="K611" s="573"/>
      <c r="L611" s="574"/>
    </row>
    <row r="612" spans="1:12">
      <c r="A612" s="101"/>
      <c r="B612" s="72" t="s">
        <v>142</v>
      </c>
      <c r="C612" s="561" t="str">
        <f ca="1">OFFSET('Bateria indicadores proceso'!$G$3,(RIGHT(A586,3)),1)</f>
        <v xml:space="preserve">Subdirector </v>
      </c>
      <c r="D612" s="561"/>
      <c r="E612" s="561"/>
      <c r="F612" s="561"/>
      <c r="G612" s="561"/>
      <c r="H612" s="561"/>
      <c r="I612" s="561"/>
      <c r="J612" s="561"/>
      <c r="K612" s="561"/>
      <c r="L612" s="566"/>
    </row>
    <row r="613" spans="1:12">
      <c r="A613" s="101"/>
      <c r="B613" s="72" t="s">
        <v>143</v>
      </c>
      <c r="C613" s="561" t="str">
        <f ca="1">OFFSET('Bateria indicadores proceso'!$F$3,(RIGHT(A586,3)),1)</f>
        <v>Subdirección de Gestión Humana</v>
      </c>
      <c r="D613" s="561"/>
      <c r="E613" s="561"/>
      <c r="F613" s="561"/>
      <c r="G613" s="561"/>
      <c r="H613" s="561"/>
      <c r="I613" s="561"/>
      <c r="J613" s="561"/>
      <c r="K613" s="561"/>
      <c r="L613" s="566"/>
    </row>
    <row r="614" spans="1:12">
      <c r="A614" s="101"/>
      <c r="B614" s="72" t="s">
        <v>144</v>
      </c>
      <c r="C614" s="598" t="str">
        <f ca="1">OFFSET('Bateria indicadores proceso'!$H$3,(RIGHT(A586,3)),1)</f>
        <v>ethel.vasquez@mininterior.gov.co</v>
      </c>
      <c r="D614" s="598"/>
      <c r="E614" s="598"/>
      <c r="F614" s="598"/>
      <c r="G614" s="598"/>
      <c r="H614" s="598"/>
      <c r="I614" s="598"/>
      <c r="J614" s="598"/>
      <c r="K614" s="598"/>
      <c r="L614" s="599"/>
    </row>
    <row r="615" spans="1:12" ht="15.75" thickBot="1">
      <c r="A615" s="104"/>
      <c r="B615" s="74" t="s">
        <v>145</v>
      </c>
      <c r="C615" s="596" t="s">
        <v>146</v>
      </c>
      <c r="D615" s="596"/>
      <c r="E615" s="596"/>
      <c r="F615" s="596"/>
      <c r="G615" s="596"/>
      <c r="H615" s="596"/>
      <c r="I615" s="596"/>
      <c r="J615" s="596"/>
      <c r="K615" s="596"/>
      <c r="L615" s="597"/>
    </row>
    <row r="616" spans="1:12" ht="15.75" thickBot="1"/>
    <row r="617" spans="1:12" ht="21.75" thickBot="1">
      <c r="A617" s="586" t="s">
        <v>89</v>
      </c>
      <c r="B617" s="587"/>
      <c r="C617" s="587"/>
      <c r="D617" s="587"/>
      <c r="E617" s="587"/>
      <c r="F617" s="587"/>
      <c r="G617" s="587"/>
      <c r="H617" s="587"/>
      <c r="I617" s="587"/>
      <c r="J617" s="587"/>
      <c r="K617" s="587"/>
      <c r="L617" s="588"/>
    </row>
    <row r="618" spans="1:12" ht="32.25" thickBot="1">
      <c r="A618" s="69" t="s">
        <v>90</v>
      </c>
      <c r="B618" s="589" t="s">
        <v>91</v>
      </c>
      <c r="C618" s="589"/>
      <c r="D618" s="589"/>
      <c r="E618" s="589"/>
      <c r="F618" s="589"/>
      <c r="G618" s="589"/>
      <c r="H618" s="589"/>
      <c r="I618" s="589"/>
      <c r="J618" s="589"/>
      <c r="K618" s="589"/>
      <c r="L618" s="589"/>
    </row>
    <row r="619" spans="1:12" ht="16.5" thickBot="1">
      <c r="A619" s="100"/>
      <c r="B619" s="71" t="s">
        <v>92</v>
      </c>
      <c r="C619" s="575" t="s">
        <v>93</v>
      </c>
      <c r="D619" s="575"/>
      <c r="E619" s="575"/>
      <c r="F619" s="575"/>
      <c r="G619" s="575"/>
      <c r="H619" s="575"/>
      <c r="I619" s="575"/>
      <c r="J619" s="575"/>
      <c r="K619" s="575"/>
      <c r="L619" s="576"/>
    </row>
    <row r="620" spans="1:12" ht="16.5" thickBot="1">
      <c r="A620" s="101"/>
      <c r="B620" s="589" t="s">
        <v>94</v>
      </c>
      <c r="C620" s="590"/>
      <c r="D620" s="590"/>
      <c r="E620" s="590"/>
      <c r="F620" s="590"/>
      <c r="G620" s="590"/>
      <c r="H620" s="590"/>
      <c r="I620" s="590"/>
      <c r="J620" s="590"/>
      <c r="K620" s="590"/>
      <c r="L620" s="590"/>
    </row>
    <row r="621" spans="1:12">
      <c r="A621" s="101"/>
      <c r="B621" s="71" t="s">
        <v>95</v>
      </c>
      <c r="C621" s="559" t="s">
        <v>96</v>
      </c>
      <c r="D621" s="559"/>
      <c r="E621" s="559"/>
      <c r="F621" s="559"/>
      <c r="G621" s="559"/>
      <c r="H621" s="559"/>
      <c r="I621" s="559"/>
      <c r="J621" s="559"/>
      <c r="K621" s="559"/>
      <c r="L621" s="560"/>
    </row>
    <row r="622" spans="1:12">
      <c r="A622" s="102" t="s">
        <v>163</v>
      </c>
      <c r="B622" s="72" t="s">
        <v>98</v>
      </c>
      <c r="C622" s="559" t="str">
        <f ca="1">OFFSET('Bateria indicadores proceso'!$F$3,(RIGHT(A622,3)),1)</f>
        <v>Subdirección de Gestión Humana</v>
      </c>
      <c r="D622" s="559"/>
      <c r="E622" s="559"/>
      <c r="F622" s="559"/>
      <c r="G622" s="559"/>
      <c r="H622" s="559"/>
      <c r="I622" s="559"/>
      <c r="J622" s="559"/>
      <c r="K622" s="559"/>
      <c r="L622" s="560"/>
    </row>
    <row r="623" spans="1:12">
      <c r="A623" s="101"/>
      <c r="B623" s="72" t="s">
        <v>99</v>
      </c>
      <c r="C623" s="559" t="str">
        <f ca="1">OFFSET('Bateria indicadores proceso'!$K$3,(RIGHT(A622,3)),1)</f>
        <v>Mantenimiento de la certificación de la norma técnica ISO 45001 2008: 2008  para el sistema de Gestión de la Seguridad y Salud en el trabajo ( SGS-ST)</v>
      </c>
      <c r="D623" s="559"/>
      <c r="E623" s="559"/>
      <c r="F623" s="559"/>
      <c r="G623" s="559"/>
      <c r="H623" s="559"/>
      <c r="I623" s="559"/>
      <c r="J623" s="559"/>
      <c r="K623" s="559"/>
      <c r="L623" s="560"/>
    </row>
    <row r="624" spans="1:12">
      <c r="A624" s="101"/>
      <c r="B624" s="72" t="s">
        <v>100</v>
      </c>
      <c r="C624" s="559" t="str">
        <f ca="1">OFFSET('Bateria indicadores proceso'!$I$3,(RIGHT(A622,3)),1)</f>
        <v>Calidad</v>
      </c>
      <c r="D624" s="559"/>
      <c r="E624" s="559"/>
      <c r="F624" s="559"/>
      <c r="G624" s="559"/>
      <c r="H624" s="559"/>
      <c r="I624" s="559"/>
      <c r="J624" s="559"/>
      <c r="K624" s="559"/>
      <c r="L624" s="560"/>
    </row>
    <row r="625" spans="1:12" ht="15.75" thickBot="1">
      <c r="A625" s="103"/>
      <c r="B625" s="73" t="s">
        <v>101</v>
      </c>
      <c r="C625" s="559" t="str">
        <f ca="1">OFFSET('Bateria indicadores proceso'!$J$3,(RIGHT(A622,3)),1)</f>
        <v xml:space="preserve">
Ejecutar actividades de promoción y prevención en temas de seguridad y salud en el trabajo autogestionadas. Es importante medirlo por normatividad y cumplimineto de la Institución, su orientación es mantener</v>
      </c>
      <c r="D625" s="559"/>
      <c r="E625" s="559"/>
      <c r="F625" s="559"/>
      <c r="G625" s="559"/>
      <c r="H625" s="559"/>
      <c r="I625" s="559"/>
      <c r="J625" s="559"/>
      <c r="K625" s="559"/>
      <c r="L625" s="560"/>
    </row>
    <row r="626" spans="1:12" ht="16.5" thickBot="1">
      <c r="A626" s="103"/>
      <c r="B626" s="572" t="s">
        <v>102</v>
      </c>
      <c r="C626" s="573"/>
      <c r="D626" s="573"/>
      <c r="E626" s="573"/>
      <c r="F626" s="573"/>
      <c r="G626" s="573"/>
      <c r="H626" s="573"/>
      <c r="I626" s="573"/>
      <c r="J626" s="573"/>
      <c r="K626" s="573"/>
      <c r="L626" s="574"/>
    </row>
    <row r="627" spans="1:12">
      <c r="A627" s="101"/>
      <c r="B627" s="71" t="s">
        <v>103</v>
      </c>
      <c r="C627" s="559" t="str">
        <f ca="1">OFFSET('Bateria indicadores proceso'!$O$3,(RIGHT(A622,3)),1)</f>
        <v>Número</v>
      </c>
      <c r="D627" s="559"/>
      <c r="E627" s="559"/>
      <c r="F627" s="559"/>
      <c r="G627" s="559"/>
      <c r="H627" s="559"/>
      <c r="I627" s="559"/>
      <c r="J627" s="559"/>
      <c r="K627" s="559"/>
      <c r="L627" s="560"/>
    </row>
    <row r="628" spans="1:12" ht="24">
      <c r="A628" s="101"/>
      <c r="B628" s="72" t="s">
        <v>104</v>
      </c>
      <c r="C628" s="559"/>
      <c r="D628" s="559"/>
      <c r="E628" s="559"/>
      <c r="F628" s="559"/>
      <c r="G628" s="559"/>
      <c r="H628" s="559"/>
      <c r="I628" s="559"/>
      <c r="J628" s="559"/>
      <c r="K628" s="559"/>
      <c r="L628" s="560"/>
    </row>
    <row r="629" spans="1:12">
      <c r="A629" s="101"/>
      <c r="B629" s="72" t="s">
        <v>105</v>
      </c>
      <c r="C629" s="559" t="str">
        <f ca="1">OFFSET('Bateria indicadores proceso'!$L$3,(RIGHT(A622,3)),1)</f>
        <v xml:space="preserve">Certificado emitido por la entidad Certificadora en la Norma Técnica para el Sistema de gestión de la seguridad y salud en el trabajo </v>
      </c>
      <c r="D629" s="559"/>
      <c r="E629" s="559"/>
      <c r="F629" s="559"/>
      <c r="G629" s="559"/>
      <c r="H629" s="559"/>
      <c r="I629" s="559"/>
      <c r="J629" s="559"/>
      <c r="K629" s="559"/>
      <c r="L629" s="560"/>
    </row>
    <row r="630" spans="1:12">
      <c r="A630" s="101"/>
      <c r="B630" s="72" t="s">
        <v>106</v>
      </c>
      <c r="C630" s="559" t="str">
        <f ca="1">OFFSET('Bateria indicadores proceso'!$Z$3,(RIGHT(A622,3)),1)</f>
        <v>Anual</v>
      </c>
      <c r="D630" s="559"/>
      <c r="E630" s="559"/>
      <c r="F630" s="559"/>
      <c r="G630" s="559"/>
      <c r="H630" s="559"/>
      <c r="I630" s="559"/>
      <c r="J630" s="559"/>
      <c r="K630" s="559"/>
      <c r="L630" s="560"/>
    </row>
    <row r="631" spans="1:12">
      <c r="A631" s="101"/>
      <c r="B631" s="72" t="s">
        <v>107</v>
      </c>
      <c r="C631" s="559" t="str">
        <f ca="1">OFFSET('Bateria indicadores proceso'!$X$3,(RIGHT(A622,3)),1)</f>
        <v xml:space="preserve">Auditoria del Sistema de gestión de la seguridad y salud en el trabajo </v>
      </c>
      <c r="D631" s="559"/>
      <c r="E631" s="559"/>
      <c r="F631" s="559"/>
      <c r="G631" s="559"/>
      <c r="H631" s="559"/>
      <c r="I631" s="559"/>
      <c r="J631" s="559"/>
      <c r="K631" s="559"/>
      <c r="L631" s="560"/>
    </row>
    <row r="632" spans="1:12">
      <c r="A632" s="101"/>
      <c r="B632" s="72" t="s">
        <v>108</v>
      </c>
      <c r="C632" s="561">
        <f ca="1">OFFSET('Bateria indicadores proceso'!$P$3,(RIGHT(A622,3)),1)</f>
        <v>2025</v>
      </c>
      <c r="D632" s="561"/>
      <c r="E632" s="561"/>
      <c r="F632" s="561"/>
      <c r="G632" s="561"/>
      <c r="H632" s="561"/>
      <c r="I632" s="561"/>
      <c r="J632" s="561"/>
      <c r="K632" s="561"/>
      <c r="L632" s="566"/>
    </row>
    <row r="633" spans="1:12">
      <c r="A633" s="101"/>
      <c r="B633" s="72" t="s">
        <v>109</v>
      </c>
      <c r="C633" s="561" t="str">
        <f ca="1">IF(C627="Número",TEXT(OFFSET('Bateria indicadores proceso'!$Q$3,(RIGHT(A622,3)),1),"######"),TEXT(OFFSET('Bateria indicadores proceso'!$Q$3,(RIGHT(A622,3)),1),"0.0%"))</f>
        <v>1</v>
      </c>
      <c r="D633" s="561"/>
      <c r="E633" s="561"/>
      <c r="F633" s="561"/>
      <c r="G633" s="561"/>
      <c r="H633" s="561"/>
      <c r="I633" s="561"/>
      <c r="J633" s="561"/>
      <c r="K633" s="561"/>
      <c r="L633" s="566"/>
    </row>
    <row r="634" spans="1:12">
      <c r="A634" s="101"/>
      <c r="B634" s="72" t="s">
        <v>110</v>
      </c>
      <c r="C634" s="593">
        <f ca="1">+OFFSET('Bateria indicadores proceso'!$R$3,(RIGHT(A622,3)),1)</f>
        <v>46022</v>
      </c>
      <c r="D634" s="593"/>
      <c r="E634" s="593"/>
      <c r="F634" s="593"/>
      <c r="G634" s="593"/>
      <c r="H634" s="593"/>
      <c r="I634" s="593"/>
      <c r="J634" s="593"/>
      <c r="K634" s="593"/>
      <c r="L634" s="594"/>
    </row>
    <row r="635" spans="1:12">
      <c r="A635" s="101"/>
      <c r="B635" s="72" t="s">
        <v>111</v>
      </c>
      <c r="C635" s="561" t="str">
        <f ca="1">OFFSET('Bateria indicadores proceso'!$M$3,(RIGHT(A622,3)),1)</f>
        <v>Incrementar</v>
      </c>
      <c r="D635" s="561"/>
      <c r="E635" s="561"/>
      <c r="F635" s="561"/>
      <c r="G635" s="561"/>
      <c r="H635" s="561"/>
      <c r="I635" s="561"/>
      <c r="J635" s="561"/>
      <c r="K635" s="561"/>
      <c r="L635" s="566"/>
    </row>
    <row r="636" spans="1:12">
      <c r="A636" s="101"/>
      <c r="B636" s="72" t="s">
        <v>112</v>
      </c>
      <c r="C636" s="561" t="str">
        <f ca="1">OFFSET('Bateria indicadores proceso'!$N$3,(RIGHT(A622,3)),1)</f>
        <v>Flujo</v>
      </c>
      <c r="D636" s="561"/>
      <c r="E636" s="561"/>
      <c r="F636" s="561"/>
      <c r="G636" s="561"/>
      <c r="H636" s="561"/>
      <c r="I636" s="561"/>
      <c r="J636" s="561"/>
      <c r="K636" s="561"/>
      <c r="L636" s="566"/>
    </row>
    <row r="637" spans="1:12">
      <c r="A637" s="101"/>
      <c r="B637" s="72" t="s">
        <v>113</v>
      </c>
      <c r="C637" s="561" t="str">
        <f ca="1">IF(C627="Número",TEXT(OFFSET('Bateria indicadores proceso'!$W$3,(RIGHT(A622,3)),1),"######"),TEXT(OFFSET('Bateria indicadores proceso'!$W$3,(RIGHT(A622,3)),1),"0.0%"))</f>
        <v>1</v>
      </c>
      <c r="D637" s="561"/>
      <c r="E637" s="561"/>
      <c r="F637" s="561"/>
      <c r="G637" s="561"/>
      <c r="H637" s="561"/>
      <c r="I637" s="561"/>
      <c r="J637" s="561"/>
      <c r="K637" s="561"/>
      <c r="L637" s="566"/>
    </row>
    <row r="638" spans="1:12">
      <c r="A638" s="101"/>
      <c r="B638" s="595" t="s">
        <v>114</v>
      </c>
      <c r="C638" s="70" t="s">
        <v>115</v>
      </c>
      <c r="D638" s="70" t="s">
        <v>116</v>
      </c>
      <c r="E638" s="70" t="s">
        <v>117</v>
      </c>
      <c r="F638" s="70" t="s">
        <v>118</v>
      </c>
      <c r="J638" s="75"/>
      <c r="K638" s="75"/>
      <c r="L638" s="76"/>
    </row>
    <row r="639" spans="1:12">
      <c r="A639" s="101"/>
      <c r="B639" s="595"/>
      <c r="C639" s="70" t="str">
        <f ca="1">IF(C627="Número",TEXT(OFFSET('Bateria indicadores proceso'!$S$3,(RIGHT(A622,3)),1),"######"),TEXT(OFFSET('Bateria indicadores proceso'!$S$3,(RIGHT(A622,3)),1),"0.0%"))</f>
        <v/>
      </c>
      <c r="D639" s="70" t="str">
        <f ca="1">IF(C627="Número",TEXT(OFFSET('Bateria indicadores proceso'!$T$3,(RIGHT(A622,3)),1),"######"),TEXT(OFFSET('Bateria indicadores proceso'!$T$3,(RIGHT(A622,3)),1),"0.0%"))</f>
        <v/>
      </c>
      <c r="E639" s="70" t="str">
        <f ca="1">IF(C627="Número",TEXT(OFFSET('Bateria indicadores proceso'!$U$3,(RIGHT(A622,3)),1),"######"),TEXT(OFFSET('Bateria indicadores proceso'!$U$3,(RIGHT(A622,3)),1),"0.0%"))</f>
        <v/>
      </c>
      <c r="F639" s="70" t="str">
        <f ca="1">IF(C627="Número",TEXT(OFFSET('Bateria indicadores proceso'!$V$3,(RIGHT(A622,3)),1),"######"),TEXT(OFFSET('Bateria indicadores proceso'!$V$3,(RIGHT(A622,3)),1),"0.0%"))</f>
        <v>1</v>
      </c>
      <c r="J639" s="77"/>
      <c r="K639" s="77"/>
      <c r="L639" s="78"/>
    </row>
    <row r="640" spans="1:12">
      <c r="A640" s="101"/>
      <c r="B640" s="600" t="s">
        <v>119</v>
      </c>
      <c r="C640" s="567" t="s">
        <v>120</v>
      </c>
      <c r="D640" s="568"/>
      <c r="E640" s="567" t="s">
        <v>121</v>
      </c>
      <c r="F640" s="568"/>
      <c r="G640" s="567" t="s">
        <v>122</v>
      </c>
      <c r="H640" s="568"/>
      <c r="I640" s="567" t="s">
        <v>123</v>
      </c>
      <c r="J640" s="568"/>
      <c r="K640" s="567" t="s">
        <v>124</v>
      </c>
      <c r="L640" s="569"/>
    </row>
    <row r="641" spans="1:12">
      <c r="A641" s="101"/>
      <c r="B641" s="601"/>
      <c r="C641" s="570" t="s">
        <v>125</v>
      </c>
      <c r="D641" s="571"/>
      <c r="E641" s="577" t="s">
        <v>126</v>
      </c>
      <c r="F641" s="578"/>
      <c r="G641" s="579" t="s">
        <v>127</v>
      </c>
      <c r="H641" s="580"/>
      <c r="I641" s="581" t="s">
        <v>128</v>
      </c>
      <c r="J641" s="582"/>
      <c r="K641" s="583" t="s">
        <v>129</v>
      </c>
      <c r="L641" s="584"/>
    </row>
    <row r="642" spans="1:12">
      <c r="A642" s="101"/>
      <c r="B642" s="602"/>
      <c r="C642" s="567" t="s">
        <v>130</v>
      </c>
      <c r="D642" s="568"/>
      <c r="E642" s="567" t="s">
        <v>131</v>
      </c>
      <c r="F642" s="568"/>
      <c r="G642" s="585" t="s">
        <v>132</v>
      </c>
      <c r="H642" s="568"/>
      <c r="I642" s="567" t="s">
        <v>133</v>
      </c>
      <c r="J642" s="568"/>
      <c r="K642" s="567" t="s">
        <v>134</v>
      </c>
      <c r="L642" s="569"/>
    </row>
    <row r="643" spans="1:12">
      <c r="A643" s="101"/>
      <c r="B643" s="72" t="s">
        <v>135</v>
      </c>
      <c r="C643" s="559" t="str">
        <f ca="1">OFFSET('Bateria indicadores proceso'!$Y$3,(RIGHT(A622,3)),1)</f>
        <v xml:space="preserve">Certificado emitido por la entidad Certificadora en la Norma Técnica para el Sistema de gestión de la seguridad y salud en el trabajo </v>
      </c>
      <c r="D643" s="559"/>
      <c r="E643" s="559"/>
      <c r="F643" s="559"/>
      <c r="G643" s="559"/>
      <c r="H643" s="559"/>
      <c r="I643" s="559"/>
      <c r="J643" s="559"/>
      <c r="K643" s="559"/>
      <c r="L643" s="560"/>
    </row>
    <row r="644" spans="1:12">
      <c r="A644" s="101"/>
      <c r="B644" s="591" t="s">
        <v>136</v>
      </c>
      <c r="C644" s="561" t="s">
        <v>137</v>
      </c>
      <c r="D644" s="561"/>
      <c r="E644" s="561"/>
      <c r="F644" s="562" t="str">
        <f ca="1">OFFSET('Bateria indicadores proceso'!$B$3,(RIGHT(A622,3)),1)</f>
        <v>GESTIÓN DEL TALENTO HUMANO</v>
      </c>
      <c r="G644" s="562"/>
      <c r="H644" s="562"/>
      <c r="I644" s="562"/>
      <c r="J644" s="562"/>
      <c r="K644" s="562"/>
      <c r="L644" s="563"/>
    </row>
    <row r="645" spans="1:12">
      <c r="A645" s="101"/>
      <c r="B645" s="592"/>
      <c r="C645" s="561" t="s">
        <v>138</v>
      </c>
      <c r="D645" s="561"/>
      <c r="E645" s="561"/>
      <c r="F645" s="564">
        <f ca="1">OFFSET('Bateria indicadores proceso'!$C$3,(RIGHT(A622,3)),1)</f>
        <v>1</v>
      </c>
      <c r="G645" s="564"/>
      <c r="H645" s="564"/>
      <c r="I645" s="564"/>
      <c r="J645" s="564"/>
      <c r="K645" s="564"/>
      <c r="L645" s="565"/>
    </row>
    <row r="646" spans="1:12" ht="15.75" thickBot="1">
      <c r="A646" s="101"/>
      <c r="B646" s="592"/>
      <c r="C646" s="561" t="s">
        <v>139</v>
      </c>
      <c r="D646" s="561"/>
      <c r="E646" s="561"/>
      <c r="F646" s="564">
        <f ca="1">OFFSET('Bateria indicadores proceso'!$E$3,(RIGHT(A622,3)),1)</f>
        <v>0.14000000000000001</v>
      </c>
      <c r="G646" s="564"/>
      <c r="H646" s="564"/>
      <c r="I646" s="564"/>
      <c r="J646" s="564"/>
      <c r="K646" s="564"/>
      <c r="L646" s="565"/>
    </row>
    <row r="647" spans="1:12" ht="16.5" thickBot="1">
      <c r="A647" s="101"/>
      <c r="B647" s="572" t="s">
        <v>140</v>
      </c>
      <c r="C647" s="573"/>
      <c r="D647" s="573"/>
      <c r="E647" s="573"/>
      <c r="F647" s="573"/>
      <c r="G647" s="573"/>
      <c r="H647" s="573"/>
      <c r="I647" s="573"/>
      <c r="J647" s="573"/>
      <c r="K647" s="573"/>
      <c r="L647" s="574"/>
    </row>
    <row r="648" spans="1:12">
      <c r="A648" s="101"/>
      <c r="B648" s="72" t="s">
        <v>142</v>
      </c>
      <c r="C648" s="561" t="str">
        <f ca="1">OFFSET('Bateria indicadores proceso'!$G$3,(RIGHT(A622,3)),1)</f>
        <v xml:space="preserve">Subdirector </v>
      </c>
      <c r="D648" s="561"/>
      <c r="E648" s="561"/>
      <c r="F648" s="561"/>
      <c r="G648" s="561"/>
      <c r="H648" s="561"/>
      <c r="I648" s="561"/>
      <c r="J648" s="561"/>
      <c r="K648" s="561"/>
      <c r="L648" s="566"/>
    </row>
    <row r="649" spans="1:12">
      <c r="A649" s="101"/>
      <c r="B649" s="72" t="s">
        <v>143</v>
      </c>
      <c r="C649" s="561" t="str">
        <f ca="1">OFFSET('Bateria indicadores proceso'!$F$3,(RIGHT(A622,3)),1)</f>
        <v>Subdirección de Gestión Humana</v>
      </c>
      <c r="D649" s="561"/>
      <c r="E649" s="561"/>
      <c r="F649" s="561"/>
      <c r="G649" s="561"/>
      <c r="H649" s="561"/>
      <c r="I649" s="561"/>
      <c r="J649" s="561"/>
      <c r="K649" s="561"/>
      <c r="L649" s="566"/>
    </row>
    <row r="650" spans="1:12">
      <c r="A650" s="101"/>
      <c r="B650" s="72" t="s">
        <v>144</v>
      </c>
      <c r="C650" s="598" t="str">
        <f ca="1">OFFSET('Bateria indicadores proceso'!$H$3,(RIGHT(A586,3)),1)</f>
        <v>ethel.vasquez@mininterior.gov.co</v>
      </c>
      <c r="D650" s="598"/>
      <c r="E650" s="598"/>
      <c r="F650" s="598"/>
      <c r="G650" s="598"/>
      <c r="H650" s="598"/>
      <c r="I650" s="598"/>
      <c r="J650" s="598"/>
      <c r="K650" s="598"/>
      <c r="L650" s="599"/>
    </row>
    <row r="651" spans="1:12" ht="15.75" thickBot="1">
      <c r="A651" s="104"/>
      <c r="B651" s="74" t="s">
        <v>145</v>
      </c>
      <c r="C651" s="596" t="s">
        <v>146</v>
      </c>
      <c r="D651" s="596"/>
      <c r="E651" s="596"/>
      <c r="F651" s="596"/>
      <c r="G651" s="596"/>
      <c r="H651" s="596"/>
      <c r="I651" s="596"/>
      <c r="J651" s="596"/>
      <c r="K651" s="596"/>
      <c r="L651" s="597"/>
    </row>
    <row r="652" spans="1:12" ht="15.75" thickBot="1"/>
    <row r="653" spans="1:12" ht="21.75" thickBot="1">
      <c r="A653" s="586" t="s">
        <v>89</v>
      </c>
      <c r="B653" s="587"/>
      <c r="C653" s="587"/>
      <c r="D653" s="587"/>
      <c r="E653" s="587"/>
      <c r="F653" s="587"/>
      <c r="G653" s="587"/>
      <c r="H653" s="587"/>
      <c r="I653" s="587"/>
      <c r="J653" s="587"/>
      <c r="K653" s="587"/>
      <c r="L653" s="588"/>
    </row>
    <row r="654" spans="1:12" ht="32.25" thickBot="1">
      <c r="A654" s="69" t="s">
        <v>90</v>
      </c>
      <c r="B654" s="589" t="s">
        <v>91</v>
      </c>
      <c r="C654" s="589"/>
      <c r="D654" s="589"/>
      <c r="E654" s="589"/>
      <c r="F654" s="589"/>
      <c r="G654" s="589"/>
      <c r="H654" s="589"/>
      <c r="I654" s="589"/>
      <c r="J654" s="589"/>
      <c r="K654" s="589"/>
      <c r="L654" s="589"/>
    </row>
    <row r="655" spans="1:12" ht="16.5" thickBot="1">
      <c r="A655" s="100"/>
      <c r="B655" s="71" t="s">
        <v>92</v>
      </c>
      <c r="C655" s="575" t="s">
        <v>93</v>
      </c>
      <c r="D655" s="575"/>
      <c r="E655" s="575"/>
      <c r="F655" s="575"/>
      <c r="G655" s="575"/>
      <c r="H655" s="575"/>
      <c r="I655" s="575"/>
      <c r="J655" s="575"/>
      <c r="K655" s="575"/>
      <c r="L655" s="576"/>
    </row>
    <row r="656" spans="1:12" ht="16.5" thickBot="1">
      <c r="A656" s="101"/>
      <c r="B656" s="589" t="s">
        <v>94</v>
      </c>
      <c r="C656" s="590"/>
      <c r="D656" s="590"/>
      <c r="E656" s="590"/>
      <c r="F656" s="590"/>
      <c r="G656" s="590"/>
      <c r="H656" s="590"/>
      <c r="I656" s="590"/>
      <c r="J656" s="590"/>
      <c r="K656" s="590"/>
      <c r="L656" s="590"/>
    </row>
    <row r="657" spans="1:12">
      <c r="A657" s="101"/>
      <c r="B657" s="71" t="s">
        <v>95</v>
      </c>
      <c r="C657" s="559" t="s">
        <v>96</v>
      </c>
      <c r="D657" s="559"/>
      <c r="E657" s="559"/>
      <c r="F657" s="559"/>
      <c r="G657" s="559"/>
      <c r="H657" s="559"/>
      <c r="I657" s="559"/>
      <c r="J657" s="559"/>
      <c r="K657" s="559"/>
      <c r="L657" s="560"/>
    </row>
    <row r="658" spans="1:12">
      <c r="A658" s="102" t="s">
        <v>164</v>
      </c>
      <c r="B658" s="72" t="s">
        <v>98</v>
      </c>
      <c r="C658" s="559" t="str">
        <f ca="1">OFFSET('Bateria indicadores proceso'!$F$3,(RIGHT(A658,3)),1)</f>
        <v>Dirección de Asuntos Legislativos</v>
      </c>
      <c r="D658" s="559"/>
      <c r="E658" s="559"/>
      <c r="F658" s="559"/>
      <c r="G658" s="559"/>
      <c r="H658" s="559"/>
      <c r="I658" s="559"/>
      <c r="J658" s="559"/>
      <c r="K658" s="559"/>
      <c r="L658" s="560"/>
    </row>
    <row r="659" spans="1:12">
      <c r="A659" s="101"/>
      <c r="B659" s="72" t="s">
        <v>99</v>
      </c>
      <c r="C659" s="559" t="str">
        <f ca="1">OFFSET('Bateria indicadores proceso'!$K$3,(RIGHT(A658,3)),1)</f>
        <v xml:space="preserve">Documentos de información relacionadas con el trámite de los proyectos de ley elaborados por la Dirección de Asuntos Legislativos </v>
      </c>
      <c r="D659" s="559"/>
      <c r="E659" s="559"/>
      <c r="F659" s="559"/>
      <c r="G659" s="559"/>
      <c r="H659" s="559"/>
      <c r="I659" s="559"/>
      <c r="J659" s="559"/>
      <c r="K659" s="559"/>
      <c r="L659" s="560"/>
    </row>
    <row r="660" spans="1:12">
      <c r="A660" s="101"/>
      <c r="B660" s="72" t="s">
        <v>100</v>
      </c>
      <c r="C660" s="559" t="str">
        <f ca="1">OFFSET('Bateria indicadores proceso'!$I$3,(RIGHT(A658,3)),1)</f>
        <v>Eficacia</v>
      </c>
      <c r="D660" s="559"/>
      <c r="E660" s="559"/>
      <c r="F660" s="559"/>
      <c r="G660" s="559"/>
      <c r="H660" s="559"/>
      <c r="I660" s="559"/>
      <c r="J660" s="559"/>
      <c r="K660" s="559"/>
      <c r="L660" s="560"/>
    </row>
    <row r="661" spans="1:12" ht="15.75" thickBot="1">
      <c r="A661" s="103"/>
      <c r="B661" s="73" t="s">
        <v>101</v>
      </c>
      <c r="C661" s="559" t="str">
        <f ca="1">OFFSET('Bateria indicadores proceso'!$J$3,(RIGHT(A658,3)),1)</f>
        <v xml:space="preserve">Generar documentos de análisis, acción y seguimiento estratégico para los proyectos priorizados por el Ministerio del Interior y el Gobierno Nacional, con el fin de contar con los insumos necesarios para su discusión y trámite ante el Congreso de la República, para este indicador la tendencia es incremental
</v>
      </c>
      <c r="D661" s="559"/>
      <c r="E661" s="559"/>
      <c r="F661" s="559"/>
      <c r="G661" s="559"/>
      <c r="H661" s="559"/>
      <c r="I661" s="559"/>
      <c r="J661" s="559"/>
      <c r="K661" s="559"/>
      <c r="L661" s="560"/>
    </row>
    <row r="662" spans="1:12" ht="16.5" thickBot="1">
      <c r="A662" s="103"/>
      <c r="B662" s="572" t="s">
        <v>102</v>
      </c>
      <c r="C662" s="573"/>
      <c r="D662" s="573"/>
      <c r="E662" s="573"/>
      <c r="F662" s="573"/>
      <c r="G662" s="573"/>
      <c r="H662" s="573"/>
      <c r="I662" s="573"/>
      <c r="J662" s="573"/>
      <c r="K662" s="573"/>
      <c r="L662" s="574"/>
    </row>
    <row r="663" spans="1:12">
      <c r="A663" s="101"/>
      <c r="B663" s="71" t="s">
        <v>103</v>
      </c>
      <c r="C663" s="559" t="str">
        <f ca="1">OFFSET('Bateria indicadores proceso'!$O$3,(RIGHT(A658,3)),1)</f>
        <v>Número</v>
      </c>
      <c r="D663" s="559"/>
      <c r="E663" s="559"/>
      <c r="F663" s="559"/>
      <c r="G663" s="559"/>
      <c r="H663" s="559"/>
      <c r="I663" s="559"/>
      <c r="J663" s="559"/>
      <c r="K663" s="559"/>
      <c r="L663" s="560"/>
    </row>
    <row r="664" spans="1:12" ht="24">
      <c r="A664" s="101"/>
      <c r="B664" s="72" t="s">
        <v>104</v>
      </c>
      <c r="C664" s="559"/>
      <c r="D664" s="559"/>
      <c r="E664" s="559"/>
      <c r="F664" s="559"/>
      <c r="G664" s="559"/>
      <c r="H664" s="559"/>
      <c r="I664" s="559"/>
      <c r="J664" s="559"/>
      <c r="K664" s="559"/>
      <c r="L664" s="560"/>
    </row>
    <row r="665" spans="1:12">
      <c r="A665" s="101"/>
      <c r="B665" s="72" t="s">
        <v>105</v>
      </c>
      <c r="C665" s="559" t="str">
        <f ca="1">OFFSET('Bateria indicadores proceso'!$L$3,(RIGHT(A658,3)),1)</f>
        <v>Sumatoria de documentos de información relacionadas con el trámite de los proyectos de ley elaborados</v>
      </c>
      <c r="D665" s="559"/>
      <c r="E665" s="559"/>
      <c r="F665" s="559"/>
      <c r="G665" s="559"/>
      <c r="H665" s="559"/>
      <c r="I665" s="559"/>
      <c r="J665" s="559"/>
      <c r="K665" s="559"/>
      <c r="L665" s="560"/>
    </row>
    <row r="666" spans="1:12">
      <c r="A666" s="101"/>
      <c r="B666" s="72" t="s">
        <v>106</v>
      </c>
      <c r="C666" s="559" t="str">
        <f ca="1">OFFSET('Bateria indicadores proceso'!$Z$3,(RIGHT(A658,3)),1)</f>
        <v>Trimestral</v>
      </c>
      <c r="D666" s="559"/>
      <c r="E666" s="559"/>
      <c r="F666" s="559"/>
      <c r="G666" s="559"/>
      <c r="H666" s="559"/>
      <c r="I666" s="559"/>
      <c r="J666" s="559"/>
      <c r="K666" s="559"/>
      <c r="L666" s="560"/>
    </row>
    <row r="667" spans="1:12">
      <c r="A667" s="101"/>
      <c r="B667" s="72" t="s">
        <v>107</v>
      </c>
      <c r="C667" s="559" t="str">
        <f ca="1">OFFSET('Bateria indicadores proceso'!$X$3,(RIGHT(A658,3)),1)</f>
        <v>Sumatoria de documentos de información relacionadas con el trámite de los proyectos de ley elaborados</v>
      </c>
      <c r="D667" s="559"/>
      <c r="E667" s="559"/>
      <c r="F667" s="559"/>
      <c r="G667" s="559"/>
      <c r="H667" s="559"/>
      <c r="I667" s="559"/>
      <c r="J667" s="559"/>
      <c r="K667" s="559"/>
      <c r="L667" s="560"/>
    </row>
    <row r="668" spans="1:12">
      <c r="A668" s="101"/>
      <c r="B668" s="72" t="s">
        <v>108</v>
      </c>
      <c r="C668" s="561">
        <f ca="1">OFFSET('Bateria indicadores proceso'!$P$3,(RIGHT(A658,3)),1)</f>
        <v>2024</v>
      </c>
      <c r="D668" s="561"/>
      <c r="E668" s="561"/>
      <c r="F668" s="561"/>
      <c r="G668" s="561"/>
      <c r="H668" s="561"/>
      <c r="I668" s="561"/>
      <c r="J668" s="561"/>
      <c r="K668" s="561"/>
      <c r="L668" s="566"/>
    </row>
    <row r="669" spans="1:12">
      <c r="A669" s="101"/>
      <c r="B669" s="72" t="s">
        <v>109</v>
      </c>
      <c r="C669" s="561" t="str">
        <f ca="1">IF(C663="Número",TEXT(OFFSET('Bateria indicadores proceso'!$Q$3,(RIGHT(A658,3)),1),"######"),TEXT(OFFSET('Bateria indicadores proceso'!$Q$3,(RIGHT(A658,3)),1),"0.0%"))</f>
        <v>70</v>
      </c>
      <c r="D669" s="561"/>
      <c r="E669" s="561"/>
      <c r="F669" s="561"/>
      <c r="G669" s="561"/>
      <c r="H669" s="561"/>
      <c r="I669" s="561"/>
      <c r="J669" s="561"/>
      <c r="K669" s="561"/>
      <c r="L669" s="566"/>
    </row>
    <row r="670" spans="1:12">
      <c r="A670" s="101"/>
      <c r="B670" s="72" t="s">
        <v>110</v>
      </c>
      <c r="C670" s="593">
        <f ca="1">+OFFSET('Bateria indicadores proceso'!$R$3,(RIGHT(A658,3)),1)</f>
        <v>46022</v>
      </c>
      <c r="D670" s="593"/>
      <c r="E670" s="593"/>
      <c r="F670" s="593"/>
      <c r="G670" s="593"/>
      <c r="H670" s="593"/>
      <c r="I670" s="593"/>
      <c r="J670" s="593"/>
      <c r="K670" s="593"/>
      <c r="L670" s="594"/>
    </row>
    <row r="671" spans="1:12">
      <c r="A671" s="101"/>
      <c r="B671" s="72" t="s">
        <v>111</v>
      </c>
      <c r="C671" s="561" t="str">
        <f ca="1">OFFSET('Bateria indicadores proceso'!$M$3,(RIGHT(A658,3)),1)</f>
        <v>Incrementar</v>
      </c>
      <c r="D671" s="561"/>
      <c r="E671" s="561"/>
      <c r="F671" s="561"/>
      <c r="G671" s="561"/>
      <c r="H671" s="561"/>
      <c r="I671" s="561"/>
      <c r="J671" s="561"/>
      <c r="K671" s="561"/>
      <c r="L671" s="566"/>
    </row>
    <row r="672" spans="1:12">
      <c r="A672" s="101"/>
      <c r="B672" s="72" t="s">
        <v>112</v>
      </c>
      <c r="C672" s="561" t="str">
        <f ca="1">OFFSET('Bateria indicadores proceso'!$N$3,(RIGHT(A658,3)),1)</f>
        <v>Acumulado</v>
      </c>
      <c r="D672" s="561"/>
      <c r="E672" s="561"/>
      <c r="F672" s="561"/>
      <c r="G672" s="561"/>
      <c r="H672" s="561"/>
      <c r="I672" s="561"/>
      <c r="J672" s="561"/>
      <c r="K672" s="561"/>
      <c r="L672" s="566"/>
    </row>
    <row r="673" spans="1:12">
      <c r="A673" s="101"/>
      <c r="B673" s="72" t="s">
        <v>113</v>
      </c>
      <c r="C673" s="561" t="str">
        <f ca="1">IF(C663="Número",TEXT(OFFSET('Bateria indicadores proceso'!$W$3,(RIGHT(A658,3)),1),"######"),TEXT(OFFSET('Bateria indicadores proceso'!$W$3,(RIGHT(A658,3)),1),"0.0%"))</f>
        <v>53</v>
      </c>
      <c r="D673" s="561"/>
      <c r="E673" s="561"/>
      <c r="F673" s="561"/>
      <c r="G673" s="561"/>
      <c r="H673" s="561"/>
      <c r="I673" s="561"/>
      <c r="J673" s="561"/>
      <c r="K673" s="561"/>
      <c r="L673" s="566"/>
    </row>
    <row r="674" spans="1:12">
      <c r="A674" s="101"/>
      <c r="B674" s="595" t="s">
        <v>114</v>
      </c>
      <c r="C674" s="70" t="s">
        <v>115</v>
      </c>
      <c r="D674" s="70" t="s">
        <v>116</v>
      </c>
      <c r="E674" s="70" t="s">
        <v>117</v>
      </c>
      <c r="F674" s="70" t="s">
        <v>118</v>
      </c>
      <c r="J674" s="75"/>
      <c r="K674" s="75"/>
      <c r="L674" s="76"/>
    </row>
    <row r="675" spans="1:12">
      <c r="A675" s="101"/>
      <c r="B675" s="595"/>
      <c r="C675" s="70" t="str">
        <f ca="1">IF(C663="Número",TEXT(OFFSET('Bateria indicadores proceso'!$S$3,(RIGHT(A658,3)),1),"######"),TEXT(OFFSET('Bateria indicadores proceso'!$S$3,(RIGHT(A658,3)),1),"0.0%"))</f>
        <v>10</v>
      </c>
      <c r="D675" s="70" t="str">
        <f ca="1">IF(C663="Número",TEXT(OFFSET('Bateria indicadores proceso'!$T$3,(RIGHT(A658,3)),1),"######"),TEXT(OFFSET('Bateria indicadores proceso'!$T$3,(RIGHT(A658,3)),1),"0.0%"))</f>
        <v>15</v>
      </c>
      <c r="E675" s="70" t="str">
        <f ca="1">IF(C663="Número",TEXT(OFFSET('Bateria indicadores proceso'!$U$3,(RIGHT(A658,3)),1),"######"),TEXT(OFFSET('Bateria indicadores proceso'!$U$3,(RIGHT(A658,3)),1),"0.0%"))</f>
        <v>15</v>
      </c>
      <c r="F675" s="70" t="str">
        <f ca="1">IF(C663="Número",TEXT(OFFSET('Bateria indicadores proceso'!$V$3,(RIGHT(A658,3)),1),"######"),TEXT(OFFSET('Bateria indicadores proceso'!$V$3,(RIGHT(A658,3)),1),"0.0%"))</f>
        <v>13</v>
      </c>
      <c r="J675" s="77"/>
      <c r="K675" s="77"/>
      <c r="L675" s="78"/>
    </row>
    <row r="676" spans="1:12">
      <c r="A676" s="101"/>
      <c r="B676" s="600" t="s">
        <v>119</v>
      </c>
      <c r="C676" s="567" t="s">
        <v>120</v>
      </c>
      <c r="D676" s="568"/>
      <c r="E676" s="567" t="s">
        <v>121</v>
      </c>
      <c r="F676" s="568"/>
      <c r="G676" s="567" t="s">
        <v>122</v>
      </c>
      <c r="H676" s="568"/>
      <c r="I676" s="567" t="s">
        <v>123</v>
      </c>
      <c r="J676" s="568"/>
      <c r="K676" s="567" t="s">
        <v>124</v>
      </c>
      <c r="L676" s="569"/>
    </row>
    <row r="677" spans="1:12">
      <c r="A677" s="101"/>
      <c r="B677" s="601"/>
      <c r="C677" s="570" t="s">
        <v>125</v>
      </c>
      <c r="D677" s="571"/>
      <c r="E677" s="577" t="s">
        <v>126</v>
      </c>
      <c r="F677" s="578"/>
      <c r="G677" s="579" t="s">
        <v>127</v>
      </c>
      <c r="H677" s="580"/>
      <c r="I677" s="581" t="s">
        <v>128</v>
      </c>
      <c r="J677" s="582"/>
      <c r="K677" s="583" t="s">
        <v>129</v>
      </c>
      <c r="L677" s="584"/>
    </row>
    <row r="678" spans="1:12">
      <c r="A678" s="101"/>
      <c r="B678" s="602"/>
      <c r="C678" s="567" t="s">
        <v>130</v>
      </c>
      <c r="D678" s="568"/>
      <c r="E678" s="567" t="s">
        <v>131</v>
      </c>
      <c r="F678" s="568"/>
      <c r="G678" s="585" t="s">
        <v>132</v>
      </c>
      <c r="H678" s="568"/>
      <c r="I678" s="567" t="s">
        <v>133</v>
      </c>
      <c r="J678" s="568"/>
      <c r="K678" s="567" t="s">
        <v>134</v>
      </c>
      <c r="L678" s="569"/>
    </row>
    <row r="679" spans="1:12">
      <c r="A679" s="101"/>
      <c r="B679" s="72" t="s">
        <v>135</v>
      </c>
      <c r="C679" s="559" t="str">
        <f ca="1">OFFSET('Bateria indicadores proceso'!$Y$3,(RIGHT(A658,3)),1)</f>
        <v>Fichas técnicas y Agendas Legislativas Semanales</v>
      </c>
      <c r="D679" s="559"/>
      <c r="E679" s="559"/>
      <c r="F679" s="559"/>
      <c r="G679" s="559"/>
      <c r="H679" s="559"/>
      <c r="I679" s="559"/>
      <c r="J679" s="559"/>
      <c r="K679" s="559"/>
      <c r="L679" s="560"/>
    </row>
    <row r="680" spans="1:12">
      <c r="A680" s="101"/>
      <c r="B680" s="591" t="s">
        <v>136</v>
      </c>
      <c r="C680" s="561" t="s">
        <v>137</v>
      </c>
      <c r="D680" s="561"/>
      <c r="E680" s="561"/>
      <c r="F680" s="562" t="str">
        <f ca="1">OFFSET('Bateria indicadores proceso'!$B$3,(RIGHT(A658,3)),1)</f>
        <v>GESTIÓN POLÍTICA Y GOBIERNO</v>
      </c>
      <c r="G680" s="562"/>
      <c r="H680" s="562"/>
      <c r="I680" s="562"/>
      <c r="J680" s="562"/>
      <c r="K680" s="562"/>
      <c r="L680" s="563"/>
    </row>
    <row r="681" spans="1:12">
      <c r="A681" s="101"/>
      <c r="B681" s="592"/>
      <c r="C681" s="561" t="s">
        <v>138</v>
      </c>
      <c r="D681" s="561"/>
      <c r="E681" s="561"/>
      <c r="F681" s="564">
        <f ca="1">OFFSET('Bateria indicadores proceso'!$C$3,(RIGHT(A658,3)),1)</f>
        <v>0.33</v>
      </c>
      <c r="G681" s="564"/>
      <c r="H681" s="564"/>
      <c r="I681" s="564"/>
      <c r="J681" s="564"/>
      <c r="K681" s="564"/>
      <c r="L681" s="565"/>
    </row>
    <row r="682" spans="1:12" ht="15.75" thickBot="1">
      <c r="A682" s="101"/>
      <c r="B682" s="592"/>
      <c r="C682" s="561" t="s">
        <v>139</v>
      </c>
      <c r="D682" s="561"/>
      <c r="E682" s="561"/>
      <c r="F682" s="564">
        <f ca="1">OFFSET('Bateria indicadores proceso'!$E$3,(RIGHT(A658,3)),1)</f>
        <v>0.11</v>
      </c>
      <c r="G682" s="564"/>
      <c r="H682" s="564"/>
      <c r="I682" s="564"/>
      <c r="J682" s="564"/>
      <c r="K682" s="564"/>
      <c r="L682" s="565"/>
    </row>
    <row r="683" spans="1:12" ht="16.5" thickBot="1">
      <c r="A683" s="101"/>
      <c r="B683" s="572" t="s">
        <v>140</v>
      </c>
      <c r="C683" s="573"/>
      <c r="D683" s="573"/>
      <c r="E683" s="573"/>
      <c r="F683" s="573"/>
      <c r="G683" s="573"/>
      <c r="H683" s="573"/>
      <c r="I683" s="573"/>
      <c r="J683" s="573"/>
      <c r="K683" s="573"/>
      <c r="L683" s="574"/>
    </row>
    <row r="684" spans="1:12">
      <c r="A684" s="101"/>
      <c r="B684" s="72" t="s">
        <v>142</v>
      </c>
      <c r="C684" s="561" t="str">
        <f ca="1">OFFSET('Bateria indicadores proceso'!$G$3,(RIGHT(A658,3)),1)</f>
        <v>Director</v>
      </c>
      <c r="D684" s="561"/>
      <c r="E684" s="561"/>
      <c r="F684" s="561"/>
      <c r="G684" s="561"/>
      <c r="H684" s="561"/>
      <c r="I684" s="561"/>
      <c r="J684" s="561"/>
      <c r="K684" s="561"/>
      <c r="L684" s="566"/>
    </row>
    <row r="685" spans="1:12">
      <c r="A685" s="101"/>
      <c r="B685" s="72" t="s">
        <v>143</v>
      </c>
      <c r="C685" s="561" t="str">
        <f ca="1">OFFSET('Bateria indicadores proceso'!$F$3,(RIGHT(A658,3)),1)</f>
        <v>Dirección de Asuntos Legislativos</v>
      </c>
      <c r="D685" s="561"/>
      <c r="E685" s="561"/>
      <c r="F685" s="561"/>
      <c r="G685" s="561"/>
      <c r="H685" s="561"/>
      <c r="I685" s="561"/>
      <c r="J685" s="561"/>
      <c r="K685" s="561"/>
      <c r="L685" s="566"/>
    </row>
    <row r="686" spans="1:12">
      <c r="A686" s="101"/>
      <c r="B686" s="72" t="s">
        <v>144</v>
      </c>
      <c r="C686" s="598" t="str">
        <f ca="1">OFFSET('Bateria indicadores proceso'!$H$3,(RIGHT(A658,3)),1)</f>
        <v>henry.luna@mininterior.gov.co</v>
      </c>
      <c r="D686" s="598"/>
      <c r="E686" s="598"/>
      <c r="F686" s="598"/>
      <c r="G686" s="598"/>
      <c r="H686" s="598"/>
      <c r="I686" s="598"/>
      <c r="J686" s="598"/>
      <c r="K686" s="598"/>
      <c r="L686" s="599"/>
    </row>
    <row r="687" spans="1:12" ht="15.75" thickBot="1">
      <c r="A687" s="104"/>
      <c r="B687" s="74" t="s">
        <v>145</v>
      </c>
      <c r="C687" s="596" t="s">
        <v>146</v>
      </c>
      <c r="D687" s="596"/>
      <c r="E687" s="596"/>
      <c r="F687" s="596"/>
      <c r="G687" s="596"/>
      <c r="H687" s="596"/>
      <c r="I687" s="596"/>
      <c r="J687" s="596"/>
      <c r="K687" s="596"/>
      <c r="L687" s="597"/>
    </row>
    <row r="688" spans="1:12" ht="15.75" thickBot="1"/>
    <row r="689" spans="1:12" ht="21.75" thickBot="1">
      <c r="A689" s="586" t="s">
        <v>89</v>
      </c>
      <c r="B689" s="587"/>
      <c r="C689" s="587"/>
      <c r="D689" s="587"/>
      <c r="E689" s="587"/>
      <c r="F689" s="587"/>
      <c r="G689" s="587"/>
      <c r="H689" s="587"/>
      <c r="I689" s="587"/>
      <c r="J689" s="587"/>
      <c r="K689" s="587"/>
      <c r="L689" s="588"/>
    </row>
    <row r="690" spans="1:12" ht="32.25" thickBot="1">
      <c r="A690" s="69" t="s">
        <v>90</v>
      </c>
      <c r="B690" s="589" t="s">
        <v>91</v>
      </c>
      <c r="C690" s="589"/>
      <c r="D690" s="589"/>
      <c r="E690" s="589"/>
      <c r="F690" s="589"/>
      <c r="G690" s="589"/>
      <c r="H690" s="589"/>
      <c r="I690" s="589"/>
      <c r="J690" s="589"/>
      <c r="K690" s="589"/>
      <c r="L690" s="589"/>
    </row>
    <row r="691" spans="1:12" ht="16.5" thickBot="1">
      <c r="A691" s="100"/>
      <c r="B691" s="71" t="s">
        <v>92</v>
      </c>
      <c r="C691" s="575" t="s">
        <v>93</v>
      </c>
      <c r="D691" s="575"/>
      <c r="E691" s="575"/>
      <c r="F691" s="575"/>
      <c r="G691" s="575"/>
      <c r="H691" s="575"/>
      <c r="I691" s="575"/>
      <c r="J691" s="575"/>
      <c r="K691" s="575"/>
      <c r="L691" s="576"/>
    </row>
    <row r="692" spans="1:12" ht="16.5" thickBot="1">
      <c r="A692" s="101"/>
      <c r="B692" s="589" t="s">
        <v>94</v>
      </c>
      <c r="C692" s="590"/>
      <c r="D692" s="590"/>
      <c r="E692" s="590"/>
      <c r="F692" s="590"/>
      <c r="G692" s="590"/>
      <c r="H692" s="590"/>
      <c r="I692" s="590"/>
      <c r="J692" s="590"/>
      <c r="K692" s="590"/>
      <c r="L692" s="590"/>
    </row>
    <row r="693" spans="1:12">
      <c r="A693" s="101"/>
      <c r="B693" s="71" t="s">
        <v>95</v>
      </c>
      <c r="C693" s="559" t="s">
        <v>96</v>
      </c>
      <c r="D693" s="559"/>
      <c r="E693" s="559"/>
      <c r="F693" s="559"/>
      <c r="G693" s="559"/>
      <c r="H693" s="559"/>
      <c r="I693" s="559"/>
      <c r="J693" s="559"/>
      <c r="K693" s="559"/>
      <c r="L693" s="560"/>
    </row>
    <row r="694" spans="1:12">
      <c r="A694" s="102" t="s">
        <v>165</v>
      </c>
      <c r="B694" s="72" t="s">
        <v>98</v>
      </c>
      <c r="C694" s="559" t="str">
        <f ca="1">OFFSET('Bateria indicadores proceso'!$F$3,(RIGHT(A694,3)),1)</f>
        <v>Dirección de Asuntos Legislativos</v>
      </c>
      <c r="D694" s="559"/>
      <c r="E694" s="559"/>
      <c r="F694" s="559"/>
      <c r="G694" s="559"/>
      <c r="H694" s="559"/>
      <c r="I694" s="559"/>
      <c r="J694" s="559"/>
      <c r="K694" s="559"/>
      <c r="L694" s="560"/>
    </row>
    <row r="695" spans="1:12">
      <c r="A695" s="101"/>
      <c r="B695" s="72" t="s">
        <v>99</v>
      </c>
      <c r="C695" s="559" t="str">
        <f ca="1">OFFSET('Bateria indicadores proceso'!$K$3,(RIGHT(A694,3)),1)</f>
        <v xml:space="preserve">Solicitud de insumos a las áreas competentes del Ministerio del Interior para atender los cuestionarios de control político, remitidos por el Congreso de la República </v>
      </c>
      <c r="D695" s="559"/>
      <c r="E695" s="559"/>
      <c r="F695" s="559"/>
      <c r="G695" s="559"/>
      <c r="H695" s="559"/>
      <c r="I695" s="559"/>
      <c r="J695" s="559"/>
      <c r="K695" s="559"/>
      <c r="L695" s="560"/>
    </row>
    <row r="696" spans="1:12">
      <c r="A696" s="101"/>
      <c r="B696" s="72" t="s">
        <v>100</v>
      </c>
      <c r="C696" s="559" t="str">
        <f ca="1">OFFSET('Bateria indicadores proceso'!$I$3,(RIGHT(A694,3)),1)</f>
        <v>Eficiencia</v>
      </c>
      <c r="D696" s="559"/>
      <c r="E696" s="559"/>
      <c r="F696" s="559"/>
      <c r="G696" s="559"/>
      <c r="H696" s="559"/>
      <c r="I696" s="559"/>
      <c r="J696" s="559"/>
      <c r="K696" s="559"/>
      <c r="L696" s="560"/>
    </row>
    <row r="697" spans="1:12" ht="15.75" thickBot="1">
      <c r="A697" s="103"/>
      <c r="B697" s="73" t="s">
        <v>101</v>
      </c>
      <c r="C697" s="559" t="str">
        <f ca="1">OFFSET('Bateria indicadores proceso'!$J$3,(RIGHT(A694,3)),1)</f>
        <v>La Dirección de Asuntos Legislativos es la encargada de atender los cuestionarios de los debates de control político remitidos por el Congreso de la República. Para ello, debe acudir a las diferentes áreas del Ministerio con el fin de obtener los insumos necesarios para su adecuada atención. La orientación de este indicador es de mantenimiento.</v>
      </c>
      <c r="D697" s="559"/>
      <c r="E697" s="559"/>
      <c r="F697" s="559"/>
      <c r="G697" s="559"/>
      <c r="H697" s="559"/>
      <c r="I697" s="559"/>
      <c r="J697" s="559"/>
      <c r="K697" s="559"/>
      <c r="L697" s="560"/>
    </row>
    <row r="698" spans="1:12" ht="16.5" thickBot="1">
      <c r="A698" s="103"/>
      <c r="B698" s="572" t="s">
        <v>102</v>
      </c>
      <c r="C698" s="573"/>
      <c r="D698" s="573"/>
      <c r="E698" s="573"/>
      <c r="F698" s="573"/>
      <c r="G698" s="573"/>
      <c r="H698" s="573"/>
      <c r="I698" s="573"/>
      <c r="J698" s="573"/>
      <c r="K698" s="573"/>
      <c r="L698" s="574"/>
    </row>
    <row r="699" spans="1:12">
      <c r="A699" s="101"/>
      <c r="B699" s="71" t="s">
        <v>103</v>
      </c>
      <c r="C699" s="559" t="str">
        <f ca="1">OFFSET('Bateria indicadores proceso'!$O$3,(RIGHT(A694,3)),1)</f>
        <v>Porcentaje</v>
      </c>
      <c r="D699" s="559"/>
      <c r="E699" s="559"/>
      <c r="F699" s="559"/>
      <c r="G699" s="559"/>
      <c r="H699" s="559"/>
      <c r="I699" s="559"/>
      <c r="J699" s="559"/>
      <c r="K699" s="559"/>
      <c r="L699" s="560"/>
    </row>
    <row r="700" spans="1:12" ht="24">
      <c r="A700" s="101"/>
      <c r="B700" s="72" t="s">
        <v>104</v>
      </c>
      <c r="C700" s="559"/>
      <c r="D700" s="559"/>
      <c r="E700" s="559"/>
      <c r="F700" s="559"/>
      <c r="G700" s="559"/>
      <c r="H700" s="559"/>
      <c r="I700" s="559"/>
      <c r="J700" s="559"/>
      <c r="K700" s="559"/>
      <c r="L700" s="560"/>
    </row>
    <row r="701" spans="1:12">
      <c r="A701" s="101"/>
      <c r="B701" s="72" t="s">
        <v>105</v>
      </c>
      <c r="C701" s="559" t="str">
        <f ca="1">OFFSET('Bateria indicadores proceso'!$L$3,(RIGHT(A694,3)),1)</f>
        <v>(Número de insumos solicitados a las áreas / número de cuestionario de debate de control político allegados) * 100</v>
      </c>
      <c r="D701" s="559"/>
      <c r="E701" s="559"/>
      <c r="F701" s="559"/>
      <c r="G701" s="559"/>
      <c r="H701" s="559"/>
      <c r="I701" s="559"/>
      <c r="J701" s="559"/>
      <c r="K701" s="559"/>
      <c r="L701" s="560"/>
    </row>
    <row r="702" spans="1:12">
      <c r="A702" s="101"/>
      <c r="B702" s="72" t="s">
        <v>106</v>
      </c>
      <c r="C702" s="559" t="str">
        <f ca="1">OFFSET('Bateria indicadores proceso'!$Z$3,(RIGHT(A694,3)),1)</f>
        <v>Trimestral</v>
      </c>
      <c r="D702" s="559"/>
      <c r="E702" s="559"/>
      <c r="F702" s="559"/>
      <c r="G702" s="559"/>
      <c r="H702" s="559"/>
      <c r="I702" s="559"/>
      <c r="J702" s="559"/>
      <c r="K702" s="559"/>
      <c r="L702" s="560"/>
    </row>
    <row r="703" spans="1:12">
      <c r="A703" s="101"/>
      <c r="B703" s="72" t="s">
        <v>107</v>
      </c>
      <c r="C703" s="559" t="str">
        <f ca="1">OFFSET('Bateria indicadores proceso'!$X$3,(RIGHT(A694,3)),1)</f>
        <v xml:space="preserve">Matriz de seguimiento a debates de control político </v>
      </c>
      <c r="D703" s="559"/>
      <c r="E703" s="559"/>
      <c r="F703" s="559"/>
      <c r="G703" s="559"/>
      <c r="H703" s="559"/>
      <c r="I703" s="559"/>
      <c r="J703" s="559"/>
      <c r="K703" s="559"/>
      <c r="L703" s="560"/>
    </row>
    <row r="704" spans="1:12">
      <c r="A704" s="101"/>
      <c r="B704" s="72" t="s">
        <v>108</v>
      </c>
      <c r="C704" s="561">
        <f ca="1">OFFSET('Bateria indicadores proceso'!$P$3,(RIGHT(A694,3)),1)</f>
        <v>2024</v>
      </c>
      <c r="D704" s="561"/>
      <c r="E704" s="561"/>
      <c r="F704" s="561"/>
      <c r="G704" s="561"/>
      <c r="H704" s="561"/>
      <c r="I704" s="561"/>
      <c r="J704" s="561"/>
      <c r="K704" s="561"/>
      <c r="L704" s="566"/>
    </row>
    <row r="705" spans="1:12">
      <c r="A705" s="101"/>
      <c r="B705" s="72" t="s">
        <v>109</v>
      </c>
      <c r="C705" s="561" t="str">
        <f ca="1">IF(C699="Número",TEXT(OFFSET('Bateria indicadores proceso'!$Q$3,(RIGHT(A694,3)),1),"######"),TEXT(OFFSET('Bateria indicadores proceso'!$Q$3,(RIGHT(A694,3)),1),"0.0%"))</f>
        <v>100%</v>
      </c>
      <c r="D705" s="561"/>
      <c r="E705" s="561"/>
      <c r="F705" s="561"/>
      <c r="G705" s="561"/>
      <c r="H705" s="561"/>
      <c r="I705" s="561"/>
      <c r="J705" s="561"/>
      <c r="K705" s="561"/>
      <c r="L705" s="566"/>
    </row>
    <row r="706" spans="1:12">
      <c r="A706" s="101"/>
      <c r="B706" s="72" t="s">
        <v>110</v>
      </c>
      <c r="C706" s="593">
        <f ca="1">+OFFSET('Bateria indicadores proceso'!$R$3,(RIGHT(A694,3)),1)</f>
        <v>46022</v>
      </c>
      <c r="D706" s="593"/>
      <c r="E706" s="593"/>
      <c r="F706" s="593"/>
      <c r="G706" s="593"/>
      <c r="H706" s="593"/>
      <c r="I706" s="593"/>
      <c r="J706" s="593"/>
      <c r="K706" s="593"/>
      <c r="L706" s="594"/>
    </row>
    <row r="707" spans="1:12">
      <c r="A707" s="101"/>
      <c r="B707" s="72" t="s">
        <v>111</v>
      </c>
      <c r="C707" s="561" t="str">
        <f ca="1">OFFSET('Bateria indicadores proceso'!$M$3,(RIGHT(A694,3)),1)</f>
        <v>Mantener</v>
      </c>
      <c r="D707" s="561"/>
      <c r="E707" s="561"/>
      <c r="F707" s="561"/>
      <c r="G707" s="561"/>
      <c r="H707" s="561"/>
      <c r="I707" s="561"/>
      <c r="J707" s="561"/>
      <c r="K707" s="561"/>
      <c r="L707" s="566"/>
    </row>
    <row r="708" spans="1:12">
      <c r="A708" s="101"/>
      <c r="B708" s="72" t="s">
        <v>112</v>
      </c>
      <c r="C708" s="561" t="str">
        <f ca="1">OFFSET('Bateria indicadores proceso'!$N$3,(RIGHT(A694,3)),1)</f>
        <v>Stock</v>
      </c>
      <c r="D708" s="561"/>
      <c r="E708" s="561"/>
      <c r="F708" s="561"/>
      <c r="G708" s="561"/>
      <c r="H708" s="561"/>
      <c r="I708" s="561"/>
      <c r="J708" s="561"/>
      <c r="K708" s="561"/>
      <c r="L708" s="566"/>
    </row>
    <row r="709" spans="1:12">
      <c r="A709" s="101"/>
      <c r="B709" s="72" t="s">
        <v>113</v>
      </c>
      <c r="C709" s="561" t="str">
        <f ca="1">IF(C699="Número",TEXT(OFFSET('Bateria indicadores proceso'!$W$3,(RIGHT(A694,3)),1),"######"),TEXT(OFFSET('Bateria indicadores proceso'!$W$3,(RIGHT(A694,3)),1),"0.0%"))</f>
        <v>100%</v>
      </c>
      <c r="D709" s="561"/>
      <c r="E709" s="561"/>
      <c r="F709" s="561"/>
      <c r="G709" s="561"/>
      <c r="H709" s="561"/>
      <c r="I709" s="561"/>
      <c r="J709" s="561"/>
      <c r="K709" s="561"/>
      <c r="L709" s="566"/>
    </row>
    <row r="710" spans="1:12">
      <c r="A710" s="101"/>
      <c r="B710" s="595" t="s">
        <v>114</v>
      </c>
      <c r="C710" s="70" t="s">
        <v>115</v>
      </c>
      <c r="D710" s="70" t="s">
        <v>116</v>
      </c>
      <c r="E710" s="70" t="s">
        <v>117</v>
      </c>
      <c r="F710" s="70" t="s">
        <v>118</v>
      </c>
      <c r="J710" s="75"/>
      <c r="K710" s="75"/>
      <c r="L710" s="76"/>
    </row>
    <row r="711" spans="1:12">
      <c r="A711" s="101"/>
      <c r="B711" s="595"/>
      <c r="C711" s="70" t="str">
        <f ca="1">IF(C699="Número",TEXT(OFFSET('Bateria indicadores proceso'!$S$3,(RIGHT(A694,3)),1),"######"),TEXT(OFFSET('Bateria indicadores proceso'!$S$3,(RIGHT(A694,3)),1),"0.0%"))</f>
        <v>100%</v>
      </c>
      <c r="D711" s="70" t="str">
        <f ca="1">IF(C699="Número",TEXT(OFFSET('Bateria indicadores proceso'!$T$3,(RIGHT(A694,3)),1),"######"),TEXT(OFFSET('Bateria indicadores proceso'!$T$3,(RIGHT(A694,3)),1),"0.0%"))</f>
        <v>100%</v>
      </c>
      <c r="E711" s="70" t="str">
        <f ca="1">IF(C699="Número",TEXT(OFFSET('Bateria indicadores proceso'!$U$3,(RIGHT(A694,3)),1),"######"),TEXT(OFFSET('Bateria indicadores proceso'!$U$3,(RIGHT(A694,3)),1),"0.0%"))</f>
        <v>100%</v>
      </c>
      <c r="F711" s="70" t="str">
        <f ca="1">IF(C699="Número",TEXT(OFFSET('Bateria indicadores proceso'!$V$3,(RIGHT(A694,3)),1),"######"),TEXT(OFFSET('Bateria indicadores proceso'!$V$3,(RIGHT(A694,3)),1),"0.0%"))</f>
        <v>100%</v>
      </c>
      <c r="J711" s="77"/>
      <c r="K711" s="77"/>
      <c r="L711" s="78"/>
    </row>
    <row r="712" spans="1:12">
      <c r="A712" s="101"/>
      <c r="B712" s="600" t="s">
        <v>119</v>
      </c>
      <c r="C712" s="567" t="s">
        <v>120</v>
      </c>
      <c r="D712" s="568"/>
      <c r="E712" s="567" t="s">
        <v>121</v>
      </c>
      <c r="F712" s="568"/>
      <c r="G712" s="567" t="s">
        <v>122</v>
      </c>
      <c r="H712" s="568"/>
      <c r="I712" s="567" t="s">
        <v>123</v>
      </c>
      <c r="J712" s="568"/>
      <c r="K712" s="567" t="s">
        <v>124</v>
      </c>
      <c r="L712" s="569"/>
    </row>
    <row r="713" spans="1:12">
      <c r="A713" s="101"/>
      <c r="B713" s="601"/>
      <c r="C713" s="570" t="s">
        <v>125</v>
      </c>
      <c r="D713" s="571"/>
      <c r="E713" s="577" t="s">
        <v>126</v>
      </c>
      <c r="F713" s="578"/>
      <c r="G713" s="579" t="s">
        <v>127</v>
      </c>
      <c r="H713" s="580"/>
      <c r="I713" s="581" t="s">
        <v>128</v>
      </c>
      <c r="J713" s="582"/>
      <c r="K713" s="583" t="s">
        <v>129</v>
      </c>
      <c r="L713" s="584"/>
    </row>
    <row r="714" spans="1:12">
      <c r="A714" s="101"/>
      <c r="B714" s="602"/>
      <c r="C714" s="567" t="s">
        <v>130</v>
      </c>
      <c r="D714" s="568"/>
      <c r="E714" s="567" t="s">
        <v>131</v>
      </c>
      <c r="F714" s="568"/>
      <c r="G714" s="585" t="s">
        <v>132</v>
      </c>
      <c r="H714" s="568"/>
      <c r="I714" s="567" t="s">
        <v>133</v>
      </c>
      <c r="J714" s="568"/>
      <c r="K714" s="567" t="s">
        <v>134</v>
      </c>
      <c r="L714" s="569"/>
    </row>
    <row r="715" spans="1:12">
      <c r="A715" s="101"/>
      <c r="B715" s="72" t="s">
        <v>135</v>
      </c>
      <c r="C715" s="559" t="str">
        <f ca="1">OFFSET('Bateria indicadores proceso'!$Y$3,(RIGHT(A694,3)),1)</f>
        <v xml:space="preserve">Matriz de seguimiento a debates de control político </v>
      </c>
      <c r="D715" s="559"/>
      <c r="E715" s="559"/>
      <c r="F715" s="559"/>
      <c r="G715" s="559"/>
      <c r="H715" s="559"/>
      <c r="I715" s="559"/>
      <c r="J715" s="559"/>
      <c r="K715" s="559"/>
      <c r="L715" s="560"/>
    </row>
    <row r="716" spans="1:12">
      <c r="A716" s="101"/>
      <c r="B716" s="591" t="s">
        <v>136</v>
      </c>
      <c r="C716" s="561" t="s">
        <v>137</v>
      </c>
      <c r="D716" s="561"/>
      <c r="E716" s="561"/>
      <c r="F716" s="562" t="str">
        <f ca="1">OFFSET('Bateria indicadores proceso'!$B$3,(RIGHT(A694,3)),1)</f>
        <v>GESTIÓN POLÍTICA Y GOBIERNO</v>
      </c>
      <c r="G716" s="562"/>
      <c r="H716" s="562"/>
      <c r="I716" s="562"/>
      <c r="J716" s="562"/>
      <c r="K716" s="562"/>
      <c r="L716" s="563"/>
    </row>
    <row r="717" spans="1:12">
      <c r="A717" s="101"/>
      <c r="B717" s="592"/>
      <c r="C717" s="561" t="s">
        <v>138</v>
      </c>
      <c r="D717" s="561"/>
      <c r="E717" s="561"/>
      <c r="F717" s="564">
        <f ca="1">OFFSET('Bateria indicadores proceso'!$C$3,(RIGHT(A694,3)),1)</f>
        <v>0.33</v>
      </c>
      <c r="G717" s="564"/>
      <c r="H717" s="564"/>
      <c r="I717" s="564"/>
      <c r="J717" s="564"/>
      <c r="K717" s="564"/>
      <c r="L717" s="565"/>
    </row>
    <row r="718" spans="1:12" ht="15.75" thickBot="1">
      <c r="A718" s="101"/>
      <c r="B718" s="592"/>
      <c r="C718" s="561" t="s">
        <v>139</v>
      </c>
      <c r="D718" s="561"/>
      <c r="E718" s="561"/>
      <c r="F718" s="564">
        <f ca="1">OFFSET('Bateria indicadores proceso'!$E$3,(RIGHT(A694,3)),1)</f>
        <v>0.11</v>
      </c>
      <c r="G718" s="564"/>
      <c r="H718" s="564"/>
      <c r="I718" s="564"/>
      <c r="J718" s="564"/>
      <c r="K718" s="564"/>
      <c r="L718" s="565"/>
    </row>
    <row r="719" spans="1:12" ht="16.5" thickBot="1">
      <c r="A719" s="101"/>
      <c r="B719" s="572" t="s">
        <v>140</v>
      </c>
      <c r="C719" s="573"/>
      <c r="D719" s="573"/>
      <c r="E719" s="573"/>
      <c r="F719" s="573"/>
      <c r="G719" s="573"/>
      <c r="H719" s="573"/>
      <c r="I719" s="573"/>
      <c r="J719" s="573"/>
      <c r="K719" s="573"/>
      <c r="L719" s="574"/>
    </row>
    <row r="720" spans="1:12">
      <c r="A720" s="101"/>
      <c r="B720" s="72" t="s">
        <v>142</v>
      </c>
      <c r="C720" s="561" t="str">
        <f ca="1">OFFSET('Bateria indicadores proceso'!$G$3,(RIGHT(A694,3)),1)</f>
        <v>Director</v>
      </c>
      <c r="D720" s="561"/>
      <c r="E720" s="561"/>
      <c r="F720" s="561"/>
      <c r="G720" s="561"/>
      <c r="H720" s="561"/>
      <c r="I720" s="561"/>
      <c r="J720" s="561"/>
      <c r="K720" s="561"/>
      <c r="L720" s="566"/>
    </row>
    <row r="721" spans="1:12">
      <c r="A721" s="101"/>
      <c r="B721" s="72" t="s">
        <v>143</v>
      </c>
      <c r="C721" s="561" t="str">
        <f ca="1">OFFSET('Bateria indicadores proceso'!$F$3,(RIGHT(A694,3)),1)</f>
        <v>Dirección de Asuntos Legislativos</v>
      </c>
      <c r="D721" s="561"/>
      <c r="E721" s="561"/>
      <c r="F721" s="561"/>
      <c r="G721" s="561"/>
      <c r="H721" s="561"/>
      <c r="I721" s="561"/>
      <c r="J721" s="561"/>
      <c r="K721" s="561"/>
      <c r="L721" s="566"/>
    </row>
    <row r="722" spans="1:12">
      <c r="A722" s="101"/>
      <c r="B722" s="72" t="s">
        <v>144</v>
      </c>
      <c r="C722" s="598" t="str">
        <f ca="1">OFFSET('Bateria indicadores proceso'!$H$3,(RIGHT(A658,3)),1)</f>
        <v>henry.luna@mininterior.gov.co</v>
      </c>
      <c r="D722" s="598"/>
      <c r="E722" s="598"/>
      <c r="F722" s="598"/>
      <c r="G722" s="598"/>
      <c r="H722" s="598"/>
      <c r="I722" s="598"/>
      <c r="J722" s="598"/>
      <c r="K722" s="598"/>
      <c r="L722" s="599"/>
    </row>
    <row r="723" spans="1:12" ht="15.75" thickBot="1">
      <c r="A723" s="104"/>
      <c r="B723" s="74" t="s">
        <v>145</v>
      </c>
      <c r="C723" s="596" t="s">
        <v>146</v>
      </c>
      <c r="D723" s="596"/>
      <c r="E723" s="596"/>
      <c r="F723" s="596"/>
      <c r="G723" s="596"/>
      <c r="H723" s="596"/>
      <c r="I723" s="596"/>
      <c r="J723" s="596"/>
      <c r="K723" s="596"/>
      <c r="L723" s="597"/>
    </row>
    <row r="724" spans="1:12" ht="15.75" thickBot="1"/>
    <row r="725" spans="1:12" ht="21.75" thickBot="1">
      <c r="A725" s="586" t="s">
        <v>89</v>
      </c>
      <c r="B725" s="587"/>
      <c r="C725" s="587"/>
      <c r="D725" s="587"/>
      <c r="E725" s="587"/>
      <c r="F725" s="587"/>
      <c r="G725" s="587"/>
      <c r="H725" s="587"/>
      <c r="I725" s="587"/>
      <c r="J725" s="587"/>
      <c r="K725" s="587"/>
      <c r="L725" s="588"/>
    </row>
    <row r="726" spans="1:12" ht="32.25" thickBot="1">
      <c r="A726" s="69" t="s">
        <v>90</v>
      </c>
      <c r="B726" s="589" t="s">
        <v>91</v>
      </c>
      <c r="C726" s="589"/>
      <c r="D726" s="589"/>
      <c r="E726" s="589"/>
      <c r="F726" s="589"/>
      <c r="G726" s="589"/>
      <c r="H726" s="589"/>
      <c r="I726" s="589"/>
      <c r="J726" s="589"/>
      <c r="K726" s="589"/>
      <c r="L726" s="589"/>
    </row>
    <row r="727" spans="1:12" ht="16.5" thickBot="1">
      <c r="A727" s="100"/>
      <c r="B727" s="71" t="s">
        <v>92</v>
      </c>
      <c r="C727" s="575" t="s">
        <v>93</v>
      </c>
      <c r="D727" s="575"/>
      <c r="E727" s="575"/>
      <c r="F727" s="575"/>
      <c r="G727" s="575"/>
      <c r="H727" s="575"/>
      <c r="I727" s="575"/>
      <c r="J727" s="575"/>
      <c r="K727" s="575"/>
      <c r="L727" s="576"/>
    </row>
    <row r="728" spans="1:12" ht="16.5" thickBot="1">
      <c r="A728" s="101"/>
      <c r="B728" s="589" t="s">
        <v>94</v>
      </c>
      <c r="C728" s="590"/>
      <c r="D728" s="590"/>
      <c r="E728" s="590"/>
      <c r="F728" s="590"/>
      <c r="G728" s="590"/>
      <c r="H728" s="590"/>
      <c r="I728" s="590"/>
      <c r="J728" s="590"/>
      <c r="K728" s="590"/>
      <c r="L728" s="590"/>
    </row>
    <row r="729" spans="1:12">
      <c r="A729" s="101"/>
      <c r="B729" s="71" t="s">
        <v>95</v>
      </c>
      <c r="C729" s="559" t="s">
        <v>96</v>
      </c>
      <c r="D729" s="559"/>
      <c r="E729" s="559"/>
      <c r="F729" s="559"/>
      <c r="G729" s="559"/>
      <c r="H729" s="559"/>
      <c r="I729" s="559"/>
      <c r="J729" s="559"/>
      <c r="K729" s="559"/>
      <c r="L729" s="560"/>
    </row>
    <row r="730" spans="1:12">
      <c r="A730" s="102" t="s">
        <v>166</v>
      </c>
      <c r="B730" s="72" t="s">
        <v>98</v>
      </c>
      <c r="C730" s="559" t="str">
        <f ca="1">OFFSET('Bateria indicadores proceso'!$F$3,(RIGHT(A730,3)),1)</f>
        <v>Dirección de Asuntos Legislativos</v>
      </c>
      <c r="D730" s="559"/>
      <c r="E730" s="559"/>
      <c r="F730" s="559"/>
      <c r="G730" s="559"/>
      <c r="H730" s="559"/>
      <c r="I730" s="559"/>
      <c r="J730" s="559"/>
      <c r="K730" s="559"/>
      <c r="L730" s="560"/>
    </row>
    <row r="731" spans="1:12">
      <c r="A731" s="101"/>
      <c r="B731" s="72" t="s">
        <v>99</v>
      </c>
      <c r="C731" s="559" t="str">
        <f ca="1">OFFSET('Bateria indicadores proceso'!$K$3,(RIGHT(A730,3)),1)</f>
        <v xml:space="preserve">Reuniones realizadas con el fin establecer estrategias para los  proyectos priorizados del  Gobierno Nacional </v>
      </c>
      <c r="D731" s="559"/>
      <c r="E731" s="559"/>
      <c r="F731" s="559"/>
      <c r="G731" s="559"/>
      <c r="H731" s="559"/>
      <c r="I731" s="559"/>
      <c r="J731" s="559"/>
      <c r="K731" s="559"/>
      <c r="L731" s="560"/>
    </row>
    <row r="732" spans="1:12">
      <c r="A732" s="101"/>
      <c r="B732" s="72" t="s">
        <v>100</v>
      </c>
      <c r="C732" s="559" t="str">
        <f ca="1">OFFSET('Bateria indicadores proceso'!$I$3,(RIGHT(A730,3)),1)</f>
        <v>Eficacia</v>
      </c>
      <c r="D732" s="559"/>
      <c r="E732" s="559"/>
      <c r="F732" s="559"/>
      <c r="G732" s="559"/>
      <c r="H732" s="559"/>
      <c r="I732" s="559"/>
      <c r="J732" s="559"/>
      <c r="K732" s="559"/>
      <c r="L732" s="560"/>
    </row>
    <row r="733" spans="1:12" ht="15.75" thickBot="1">
      <c r="A733" s="103"/>
      <c r="B733" s="73" t="s">
        <v>101</v>
      </c>
      <c r="C733" s="559" t="str">
        <f ca="1">OFFSET('Bateria indicadores proceso'!$J$3,(RIGHT(A730,3)),1)</f>
        <v>En el marco de las funciones de la Dirección de Asuntos Legislativos, como coordinadora de la agenda legislativa de interés o de autoría del Gobierno Nacional, se llevan a cabo reuniones con los enlaces legislativos de las entidades gubernamentales, con el fin de establecer estrategias para los proyectos priorizados por cada una de las carteras, la orientación del indicador es incremental.</v>
      </c>
      <c r="D733" s="559"/>
      <c r="E733" s="559"/>
      <c r="F733" s="559"/>
      <c r="G733" s="559"/>
      <c r="H733" s="559"/>
      <c r="I733" s="559"/>
      <c r="J733" s="559"/>
      <c r="K733" s="559"/>
      <c r="L733" s="560"/>
    </row>
    <row r="734" spans="1:12" ht="16.5" thickBot="1">
      <c r="A734" s="103"/>
      <c r="B734" s="572" t="s">
        <v>102</v>
      </c>
      <c r="C734" s="573"/>
      <c r="D734" s="573"/>
      <c r="E734" s="573"/>
      <c r="F734" s="573"/>
      <c r="G734" s="573"/>
      <c r="H734" s="573"/>
      <c r="I734" s="573"/>
      <c r="J734" s="573"/>
      <c r="K734" s="573"/>
      <c r="L734" s="574"/>
    </row>
    <row r="735" spans="1:12">
      <c r="A735" s="101"/>
      <c r="B735" s="71" t="s">
        <v>103</v>
      </c>
      <c r="C735" s="559" t="str">
        <f ca="1">OFFSET('Bateria indicadores proceso'!$O$3,(RIGHT(A730,3)),1)</f>
        <v>Número</v>
      </c>
      <c r="D735" s="559"/>
      <c r="E735" s="559"/>
      <c r="F735" s="559"/>
      <c r="G735" s="559"/>
      <c r="H735" s="559"/>
      <c r="I735" s="559"/>
      <c r="J735" s="559"/>
      <c r="K735" s="559"/>
      <c r="L735" s="560"/>
    </row>
    <row r="736" spans="1:12" ht="24">
      <c r="A736" s="101"/>
      <c r="B736" s="72" t="s">
        <v>104</v>
      </c>
      <c r="C736" s="559"/>
      <c r="D736" s="559"/>
      <c r="E736" s="559"/>
      <c r="F736" s="559"/>
      <c r="G736" s="559"/>
      <c r="H736" s="559"/>
      <c r="I736" s="559"/>
      <c r="J736" s="559"/>
      <c r="K736" s="559"/>
      <c r="L736" s="560"/>
    </row>
    <row r="737" spans="1:12">
      <c r="A737" s="101"/>
      <c r="B737" s="72" t="s">
        <v>105</v>
      </c>
      <c r="C737" s="559" t="str">
        <f ca="1">OFFSET('Bateria indicadores proceso'!$L$3,(RIGHT(A730,3)),1)</f>
        <v>Sumatoria  de reuniones  con los enlaces legislativos del Gobierno Nacional realizadas</v>
      </c>
      <c r="D737" s="559"/>
      <c r="E737" s="559"/>
      <c r="F737" s="559"/>
      <c r="G737" s="559"/>
      <c r="H737" s="559"/>
      <c r="I737" s="559"/>
      <c r="J737" s="559"/>
      <c r="K737" s="559"/>
      <c r="L737" s="560"/>
    </row>
    <row r="738" spans="1:12">
      <c r="A738" s="101"/>
      <c r="B738" s="72" t="s">
        <v>106</v>
      </c>
      <c r="C738" s="559" t="str">
        <f ca="1">OFFSET('Bateria indicadores proceso'!$Z$3,(RIGHT(A730,3)),1)</f>
        <v>Trimestral</v>
      </c>
      <c r="D738" s="559"/>
      <c r="E738" s="559"/>
      <c r="F738" s="559"/>
      <c r="G738" s="559"/>
      <c r="H738" s="559"/>
      <c r="I738" s="559"/>
      <c r="J738" s="559"/>
      <c r="K738" s="559"/>
      <c r="L738" s="560"/>
    </row>
    <row r="739" spans="1:12">
      <c r="A739" s="101"/>
      <c r="B739" s="72" t="s">
        <v>107</v>
      </c>
      <c r="C739" s="559" t="str">
        <f ca="1">OFFSET('Bateria indicadores proceso'!$X$3,(RIGHT(A730,3)),1)</f>
        <v xml:space="preserve">Archivo de listas de asistencia a las reuniones </v>
      </c>
      <c r="D739" s="559"/>
      <c r="E739" s="559"/>
      <c r="F739" s="559"/>
      <c r="G739" s="559"/>
      <c r="H739" s="559"/>
      <c r="I739" s="559"/>
      <c r="J739" s="559"/>
      <c r="K739" s="559"/>
      <c r="L739" s="560"/>
    </row>
    <row r="740" spans="1:12">
      <c r="A740" s="101"/>
      <c r="B740" s="72" t="s">
        <v>108</v>
      </c>
      <c r="C740" s="561">
        <f ca="1">OFFSET('Bateria indicadores proceso'!$P$3,(RIGHT(A730,3)),1)</f>
        <v>2024</v>
      </c>
      <c r="D740" s="561"/>
      <c r="E740" s="561"/>
      <c r="F740" s="561"/>
      <c r="G740" s="561"/>
      <c r="H740" s="561"/>
      <c r="I740" s="561"/>
      <c r="J740" s="561"/>
      <c r="K740" s="561"/>
      <c r="L740" s="566"/>
    </row>
    <row r="741" spans="1:12">
      <c r="A741" s="101"/>
      <c r="B741" s="72" t="s">
        <v>109</v>
      </c>
      <c r="C741" s="561" t="str">
        <f ca="1">IF(C735="Número",TEXT(OFFSET('Bateria indicadores proceso'!$Q$3,(RIGHT(A730,3)),1),"######"),TEXT(OFFSET('Bateria indicadores proceso'!$Q$3,(RIGHT(A730,3)),1),"0.0%"))</f>
        <v>23</v>
      </c>
      <c r="D741" s="561"/>
      <c r="E741" s="561"/>
      <c r="F741" s="561"/>
      <c r="G741" s="561"/>
      <c r="H741" s="561"/>
      <c r="I741" s="561"/>
      <c r="J741" s="561"/>
      <c r="K741" s="561"/>
      <c r="L741" s="566"/>
    </row>
    <row r="742" spans="1:12">
      <c r="A742" s="101"/>
      <c r="B742" s="72" t="s">
        <v>110</v>
      </c>
      <c r="C742" s="593">
        <f ca="1">+OFFSET('Bateria indicadores proceso'!$R$3,(RIGHT(A730,3)),1)</f>
        <v>46022</v>
      </c>
      <c r="D742" s="593"/>
      <c r="E742" s="593"/>
      <c r="F742" s="593"/>
      <c r="G742" s="593"/>
      <c r="H742" s="593"/>
      <c r="I742" s="593"/>
      <c r="J742" s="593"/>
      <c r="K742" s="593"/>
      <c r="L742" s="594"/>
    </row>
    <row r="743" spans="1:12">
      <c r="A743" s="101"/>
      <c r="B743" s="72" t="s">
        <v>111</v>
      </c>
      <c r="C743" s="561" t="str">
        <f ca="1">OFFSET('Bateria indicadores proceso'!$M$3,(RIGHT(A730,3)),1)</f>
        <v>Incrementar</v>
      </c>
      <c r="D743" s="561"/>
      <c r="E743" s="561"/>
      <c r="F743" s="561"/>
      <c r="G743" s="561"/>
      <c r="H743" s="561"/>
      <c r="I743" s="561"/>
      <c r="J743" s="561"/>
      <c r="K743" s="561"/>
      <c r="L743" s="566"/>
    </row>
    <row r="744" spans="1:12">
      <c r="A744" s="101"/>
      <c r="B744" s="72" t="s">
        <v>112</v>
      </c>
      <c r="C744" s="561" t="str">
        <f ca="1">OFFSET('Bateria indicadores proceso'!$N$3,(RIGHT(A730,3)),1)</f>
        <v>Acumulado</v>
      </c>
      <c r="D744" s="561"/>
      <c r="E744" s="561"/>
      <c r="F744" s="561"/>
      <c r="G744" s="561"/>
      <c r="H744" s="561"/>
      <c r="I744" s="561"/>
      <c r="J744" s="561"/>
      <c r="K744" s="561"/>
      <c r="L744" s="566"/>
    </row>
    <row r="745" spans="1:12">
      <c r="A745" s="101"/>
      <c r="B745" s="72" t="s">
        <v>113</v>
      </c>
      <c r="C745" s="561" t="str">
        <f ca="1">IF(C735="Número",TEXT(OFFSET('Bateria indicadores proceso'!$W$3,(RIGHT(A730,3)),1),"######"),TEXT(OFFSET('Bateria indicadores proceso'!$W$3,(RIGHT(A730,3)),1),"0.0%"))</f>
        <v>23</v>
      </c>
      <c r="D745" s="561"/>
      <c r="E745" s="561"/>
      <c r="F745" s="561"/>
      <c r="G745" s="561"/>
      <c r="H745" s="561"/>
      <c r="I745" s="561"/>
      <c r="J745" s="561"/>
      <c r="K745" s="561"/>
      <c r="L745" s="566"/>
    </row>
    <row r="746" spans="1:12">
      <c r="A746" s="101"/>
      <c r="B746" s="595" t="s">
        <v>114</v>
      </c>
      <c r="C746" s="70" t="s">
        <v>115</v>
      </c>
      <c r="D746" s="70" t="s">
        <v>116</v>
      </c>
      <c r="E746" s="70" t="s">
        <v>117</v>
      </c>
      <c r="F746" s="70" t="s">
        <v>118</v>
      </c>
      <c r="J746" s="75"/>
      <c r="K746" s="75"/>
      <c r="L746" s="76"/>
    </row>
    <row r="747" spans="1:12">
      <c r="A747" s="101"/>
      <c r="B747" s="595"/>
      <c r="C747" s="70" t="str">
        <f ca="1">IF(C735="Número",TEXT(OFFSET('Bateria indicadores proceso'!$S$3,(RIGHT(A730,3)),1),"######"),TEXT(OFFSET('Bateria indicadores proceso'!$S$3,(RIGHT(A730,3)),1),"0.0%"))</f>
        <v>6</v>
      </c>
      <c r="D747" s="70" t="str">
        <f ca="1">IF(C735="Número",TEXT(OFFSET('Bateria indicadores proceso'!$T$3,(RIGHT(A730,3)),1),"######"),TEXT(OFFSET('Bateria indicadores proceso'!$T$3,(RIGHT(A730,3)),1),"0.0%"))</f>
        <v>5</v>
      </c>
      <c r="E747" s="70" t="str">
        <f ca="1">IF(C735="Número",TEXT(OFFSET('Bateria indicadores proceso'!$U$3,(RIGHT(A730,3)),1),"######"),TEXT(OFFSET('Bateria indicadores proceso'!$U$3,(RIGHT(A730,3)),1),"0.0%"))</f>
        <v>7</v>
      </c>
      <c r="F747" s="70" t="str">
        <f ca="1">IF(C735="Número",TEXT(OFFSET('Bateria indicadores proceso'!$V$3,(RIGHT(A730,3)),1),"######"),TEXT(OFFSET('Bateria indicadores proceso'!$V$3,(RIGHT(A730,3)),1),"0.0%"))</f>
        <v>5</v>
      </c>
      <c r="J747" s="77"/>
      <c r="K747" s="77"/>
      <c r="L747" s="78"/>
    </row>
    <row r="748" spans="1:12">
      <c r="A748" s="101"/>
      <c r="B748" s="600" t="s">
        <v>119</v>
      </c>
      <c r="C748" s="567" t="s">
        <v>120</v>
      </c>
      <c r="D748" s="568"/>
      <c r="E748" s="567" t="s">
        <v>121</v>
      </c>
      <c r="F748" s="568"/>
      <c r="G748" s="567" t="s">
        <v>122</v>
      </c>
      <c r="H748" s="568"/>
      <c r="I748" s="567" t="s">
        <v>123</v>
      </c>
      <c r="J748" s="568"/>
      <c r="K748" s="567" t="s">
        <v>124</v>
      </c>
      <c r="L748" s="569"/>
    </row>
    <row r="749" spans="1:12">
      <c r="A749" s="101"/>
      <c r="B749" s="601"/>
      <c r="C749" s="570" t="s">
        <v>125</v>
      </c>
      <c r="D749" s="571"/>
      <c r="E749" s="577" t="s">
        <v>126</v>
      </c>
      <c r="F749" s="578"/>
      <c r="G749" s="579" t="s">
        <v>127</v>
      </c>
      <c r="H749" s="580"/>
      <c r="I749" s="581" t="s">
        <v>128</v>
      </c>
      <c r="J749" s="582"/>
      <c r="K749" s="583" t="s">
        <v>129</v>
      </c>
      <c r="L749" s="584"/>
    </row>
    <row r="750" spans="1:12">
      <c r="A750" s="101"/>
      <c r="B750" s="602"/>
      <c r="C750" s="567" t="s">
        <v>130</v>
      </c>
      <c r="D750" s="568"/>
      <c r="E750" s="567" t="s">
        <v>131</v>
      </c>
      <c r="F750" s="568"/>
      <c r="G750" s="585" t="s">
        <v>132</v>
      </c>
      <c r="H750" s="568"/>
      <c r="I750" s="567" t="s">
        <v>133</v>
      </c>
      <c r="J750" s="568"/>
      <c r="K750" s="567" t="s">
        <v>134</v>
      </c>
      <c r="L750" s="569"/>
    </row>
    <row r="751" spans="1:12">
      <c r="A751" s="101"/>
      <c r="B751" s="72" t="s">
        <v>135</v>
      </c>
      <c r="C751" s="559" t="str">
        <f ca="1">OFFSET('Bateria indicadores proceso'!$Y$3,(RIGHT(A730,3)),1)</f>
        <v xml:space="preserve"> Listas de asistencia a las reuniones</v>
      </c>
      <c r="D751" s="559"/>
      <c r="E751" s="559"/>
      <c r="F751" s="559"/>
      <c r="G751" s="559"/>
      <c r="H751" s="559"/>
      <c r="I751" s="559"/>
      <c r="J751" s="559"/>
      <c r="K751" s="559"/>
      <c r="L751" s="560"/>
    </row>
    <row r="752" spans="1:12">
      <c r="A752" s="101"/>
      <c r="B752" s="591" t="s">
        <v>136</v>
      </c>
      <c r="C752" s="561" t="s">
        <v>137</v>
      </c>
      <c r="D752" s="561"/>
      <c r="E752" s="561"/>
      <c r="F752" s="562" t="str">
        <f ca="1">OFFSET('Bateria indicadores proceso'!$B$3,(RIGHT(A730,3)),1)</f>
        <v>GESTIÓN POLÍTICA Y GOBIERNO</v>
      </c>
      <c r="G752" s="562"/>
      <c r="H752" s="562"/>
      <c r="I752" s="562"/>
      <c r="J752" s="562"/>
      <c r="K752" s="562"/>
      <c r="L752" s="563"/>
    </row>
    <row r="753" spans="1:12">
      <c r="A753" s="101"/>
      <c r="B753" s="592"/>
      <c r="C753" s="561" t="s">
        <v>138</v>
      </c>
      <c r="D753" s="561"/>
      <c r="E753" s="561"/>
      <c r="F753" s="564">
        <f ca="1">OFFSET('Bateria indicadores proceso'!$C$3,(RIGHT(A730,3)),1)</f>
        <v>0.33</v>
      </c>
      <c r="G753" s="564"/>
      <c r="H753" s="564"/>
      <c r="I753" s="564"/>
      <c r="J753" s="564"/>
      <c r="K753" s="564"/>
      <c r="L753" s="565"/>
    </row>
    <row r="754" spans="1:12" ht="15.75" thickBot="1">
      <c r="A754" s="101"/>
      <c r="B754" s="592"/>
      <c r="C754" s="561" t="s">
        <v>139</v>
      </c>
      <c r="D754" s="561"/>
      <c r="E754" s="561"/>
      <c r="F754" s="564">
        <f ca="1">OFFSET('Bateria indicadores proceso'!$E$3,(RIGHT(A730,3)),1)</f>
        <v>0.11</v>
      </c>
      <c r="G754" s="564"/>
      <c r="H754" s="564"/>
      <c r="I754" s="564"/>
      <c r="J754" s="564"/>
      <c r="K754" s="564"/>
      <c r="L754" s="565"/>
    </row>
    <row r="755" spans="1:12" ht="16.5" thickBot="1">
      <c r="A755" s="101"/>
      <c r="B755" s="572" t="s">
        <v>140</v>
      </c>
      <c r="C755" s="573"/>
      <c r="D755" s="573"/>
      <c r="E755" s="573"/>
      <c r="F755" s="573"/>
      <c r="G755" s="573"/>
      <c r="H755" s="573"/>
      <c r="I755" s="573"/>
      <c r="J755" s="573"/>
      <c r="K755" s="573"/>
      <c r="L755" s="574"/>
    </row>
    <row r="756" spans="1:12">
      <c r="A756" s="101"/>
      <c r="B756" s="72" t="s">
        <v>142</v>
      </c>
      <c r="C756" s="561" t="str">
        <f ca="1">OFFSET('Bateria indicadores proceso'!$G$3,(RIGHT(A730,3)),1)</f>
        <v>Director</v>
      </c>
      <c r="D756" s="561"/>
      <c r="E756" s="561"/>
      <c r="F756" s="561"/>
      <c r="G756" s="561"/>
      <c r="H756" s="561"/>
      <c r="I756" s="561"/>
      <c r="J756" s="561"/>
      <c r="K756" s="561"/>
      <c r="L756" s="566"/>
    </row>
    <row r="757" spans="1:12">
      <c r="A757" s="101"/>
      <c r="B757" s="72" t="s">
        <v>143</v>
      </c>
      <c r="C757" s="561" t="str">
        <f ca="1">OFFSET('Bateria indicadores proceso'!$F$3,(RIGHT(A730,3)),1)</f>
        <v>Dirección de Asuntos Legislativos</v>
      </c>
      <c r="D757" s="561"/>
      <c r="E757" s="561"/>
      <c r="F757" s="561"/>
      <c r="G757" s="561"/>
      <c r="H757" s="561"/>
      <c r="I757" s="561"/>
      <c r="J757" s="561"/>
      <c r="K757" s="561"/>
      <c r="L757" s="566"/>
    </row>
    <row r="758" spans="1:12">
      <c r="A758" s="101"/>
      <c r="B758" s="72" t="s">
        <v>144</v>
      </c>
      <c r="C758" s="598" t="str">
        <f ca="1">OFFSET('Bateria indicadores proceso'!$H$3,(RIGHT(A730,3)),1)</f>
        <v>henry.luna@mininterior.gov.co</v>
      </c>
      <c r="D758" s="598"/>
      <c r="E758" s="598"/>
      <c r="F758" s="598"/>
      <c r="G758" s="598"/>
      <c r="H758" s="598"/>
      <c r="I758" s="598"/>
      <c r="J758" s="598"/>
      <c r="K758" s="598"/>
      <c r="L758" s="599"/>
    </row>
    <row r="759" spans="1:12" ht="15.75" thickBot="1">
      <c r="A759" s="104"/>
      <c r="B759" s="74" t="s">
        <v>145</v>
      </c>
      <c r="C759" s="596" t="s">
        <v>146</v>
      </c>
      <c r="D759" s="596"/>
      <c r="E759" s="596"/>
      <c r="F759" s="596"/>
      <c r="G759" s="596"/>
      <c r="H759" s="596"/>
      <c r="I759" s="596"/>
      <c r="J759" s="596"/>
      <c r="K759" s="596"/>
      <c r="L759" s="597"/>
    </row>
    <row r="760" spans="1:12" ht="15.75" thickBot="1"/>
    <row r="761" spans="1:12" ht="21.75" thickBot="1">
      <c r="A761" s="586" t="s">
        <v>89</v>
      </c>
      <c r="B761" s="587"/>
      <c r="C761" s="587"/>
      <c r="D761" s="587"/>
      <c r="E761" s="587"/>
      <c r="F761" s="587"/>
      <c r="G761" s="587"/>
      <c r="H761" s="587"/>
      <c r="I761" s="587"/>
      <c r="J761" s="587"/>
      <c r="K761" s="587"/>
      <c r="L761" s="588"/>
    </row>
    <row r="762" spans="1:12" ht="32.25" thickBot="1">
      <c r="A762" s="69" t="s">
        <v>90</v>
      </c>
      <c r="B762" s="589" t="s">
        <v>91</v>
      </c>
      <c r="C762" s="589"/>
      <c r="D762" s="589"/>
      <c r="E762" s="589"/>
      <c r="F762" s="589"/>
      <c r="G762" s="589"/>
      <c r="H762" s="589"/>
      <c r="I762" s="589"/>
      <c r="J762" s="589"/>
      <c r="K762" s="589"/>
      <c r="L762" s="589"/>
    </row>
    <row r="763" spans="1:12" ht="16.5" thickBot="1">
      <c r="A763" s="100"/>
      <c r="B763" s="71" t="s">
        <v>92</v>
      </c>
      <c r="C763" s="575" t="s">
        <v>93</v>
      </c>
      <c r="D763" s="575"/>
      <c r="E763" s="575"/>
      <c r="F763" s="575"/>
      <c r="G763" s="575"/>
      <c r="H763" s="575"/>
      <c r="I763" s="575"/>
      <c r="J763" s="575"/>
      <c r="K763" s="575"/>
      <c r="L763" s="576"/>
    </row>
    <row r="764" spans="1:12" ht="16.5" thickBot="1">
      <c r="A764" s="101"/>
      <c r="B764" s="589" t="s">
        <v>94</v>
      </c>
      <c r="C764" s="590"/>
      <c r="D764" s="590"/>
      <c r="E764" s="590"/>
      <c r="F764" s="590"/>
      <c r="G764" s="590"/>
      <c r="H764" s="590"/>
      <c r="I764" s="590"/>
      <c r="J764" s="590"/>
      <c r="K764" s="590"/>
      <c r="L764" s="590"/>
    </row>
    <row r="765" spans="1:12">
      <c r="A765" s="101"/>
      <c r="B765" s="71" t="s">
        <v>95</v>
      </c>
      <c r="C765" s="559" t="s">
        <v>96</v>
      </c>
      <c r="D765" s="559"/>
      <c r="E765" s="559"/>
      <c r="F765" s="559"/>
      <c r="G765" s="559"/>
      <c r="H765" s="559"/>
      <c r="I765" s="559"/>
      <c r="J765" s="559"/>
      <c r="K765" s="559"/>
      <c r="L765" s="560"/>
    </row>
    <row r="766" spans="1:12">
      <c r="A766" s="102" t="s">
        <v>167</v>
      </c>
      <c r="B766" s="72" t="s">
        <v>98</v>
      </c>
      <c r="C766" s="559" t="str">
        <f ca="1">OFFSET('Bateria indicadores proceso'!$F$3,(RIGHT(A766,3)),1)</f>
        <v>Subdirección de Gobierno, Gestión Territorial y Lucha contra la Trata</v>
      </c>
      <c r="D766" s="559"/>
      <c r="E766" s="559"/>
      <c r="F766" s="559"/>
      <c r="G766" s="559"/>
      <c r="H766" s="559"/>
      <c r="I766" s="559"/>
      <c r="J766" s="559"/>
      <c r="K766" s="559"/>
      <c r="L766" s="560"/>
    </row>
    <row r="767" spans="1:12">
      <c r="A767" s="101"/>
      <c r="B767" s="72" t="s">
        <v>99</v>
      </c>
      <c r="C767" s="559" t="str">
        <f ca="1">OFFSET('Bateria indicadores proceso'!$K$3,(RIGHT(A766,3)),1)</f>
        <v>Planes de Acción territorial PAT, realizados con los comités municipales y departamentales de la lucha contra la trata de personas.</v>
      </c>
      <c r="D767" s="559"/>
      <c r="E767" s="559"/>
      <c r="F767" s="559"/>
      <c r="G767" s="559"/>
      <c r="H767" s="559"/>
      <c r="I767" s="559"/>
      <c r="J767" s="559"/>
      <c r="K767" s="559"/>
      <c r="L767" s="560"/>
    </row>
    <row r="768" spans="1:12">
      <c r="A768" s="101"/>
      <c r="B768" s="72" t="s">
        <v>100</v>
      </c>
      <c r="C768" s="559" t="str">
        <f ca="1">OFFSET('Bateria indicadores proceso'!$I$3,(RIGHT(A766,3)),1)</f>
        <v>Eficacia</v>
      </c>
      <c r="D768" s="559"/>
      <c r="E768" s="559"/>
      <c r="F768" s="559"/>
      <c r="G768" s="559"/>
      <c r="H768" s="559"/>
      <c r="I768" s="559"/>
      <c r="J768" s="559"/>
      <c r="K768" s="559"/>
      <c r="L768" s="560"/>
    </row>
    <row r="769" spans="1:12" ht="15.75" thickBot="1">
      <c r="A769" s="103"/>
      <c r="B769" s="73" t="s">
        <v>101</v>
      </c>
      <c r="C769" s="559" t="str">
        <f ca="1">OFFSET('Bateria indicadores proceso'!$J$3,(RIGHT(A766,3)),1)</f>
        <v>La Subdirección de Gobierno, Gestión Territorial y Lucha contra la Trata (SGT) realiza acompañamiento mediante asistencias técnicas a las Entidades Territoriales para la formulación, implementación y/o seguimiento de los Planes de Acción Territorial (PAT). Este acompañamiento es fundamental porque permite que las Entidades Territoriales formulen, ejecuten y evalúen sus PAT bajo criterios técnicos, normativos y metodológicos unificados, garantizando la alineación con la Estrategia Nacional de Lucha contra la Trata de Personas. La orientación del indicador corresponde a un comportamiento de incremento con tipo de medición acumulado.</v>
      </c>
      <c r="D769" s="559"/>
      <c r="E769" s="559"/>
      <c r="F769" s="559"/>
      <c r="G769" s="559"/>
      <c r="H769" s="559"/>
      <c r="I769" s="559"/>
      <c r="J769" s="559"/>
      <c r="K769" s="559"/>
      <c r="L769" s="560"/>
    </row>
    <row r="770" spans="1:12" ht="16.5" thickBot="1">
      <c r="A770" s="103"/>
      <c r="B770" s="572" t="s">
        <v>102</v>
      </c>
      <c r="C770" s="573"/>
      <c r="D770" s="573"/>
      <c r="E770" s="573"/>
      <c r="F770" s="573"/>
      <c r="G770" s="573"/>
      <c r="H770" s="573"/>
      <c r="I770" s="573"/>
      <c r="J770" s="573"/>
      <c r="K770" s="573"/>
      <c r="L770" s="574"/>
    </row>
    <row r="771" spans="1:12">
      <c r="A771" s="101"/>
      <c r="B771" s="71" t="s">
        <v>103</v>
      </c>
      <c r="C771" s="559" t="str">
        <f ca="1">OFFSET('Bateria indicadores proceso'!$O$3,(RIGHT(A766,3)),1)</f>
        <v>Número</v>
      </c>
      <c r="D771" s="559"/>
      <c r="E771" s="559"/>
      <c r="F771" s="559"/>
      <c r="G771" s="559"/>
      <c r="H771" s="559"/>
      <c r="I771" s="559"/>
      <c r="J771" s="559"/>
      <c r="K771" s="559"/>
      <c r="L771" s="560"/>
    </row>
    <row r="772" spans="1:12" ht="24">
      <c r="A772" s="101"/>
      <c r="B772" s="72" t="s">
        <v>104</v>
      </c>
      <c r="C772" s="559"/>
      <c r="D772" s="559"/>
      <c r="E772" s="559"/>
      <c r="F772" s="559"/>
      <c r="G772" s="559"/>
      <c r="H772" s="559"/>
      <c r="I772" s="559"/>
      <c r="J772" s="559"/>
      <c r="K772" s="559"/>
      <c r="L772" s="560"/>
    </row>
    <row r="773" spans="1:12">
      <c r="A773" s="101"/>
      <c r="B773" s="72" t="s">
        <v>105</v>
      </c>
      <c r="C773" s="559" t="str">
        <f ca="1">OFFSET('Bateria indicadores proceso'!$L$3,(RIGHT(A766,3)),1)</f>
        <v xml:space="preserve">Sumatoria de asistencias técnicas de formulación, implementación y/o seguimientos realizados </v>
      </c>
      <c r="D773" s="559"/>
      <c r="E773" s="559"/>
      <c r="F773" s="559"/>
      <c r="G773" s="559"/>
      <c r="H773" s="559"/>
      <c r="I773" s="559"/>
      <c r="J773" s="559"/>
      <c r="K773" s="559"/>
      <c r="L773" s="560"/>
    </row>
    <row r="774" spans="1:12">
      <c r="A774" s="101"/>
      <c r="B774" s="72" t="s">
        <v>106</v>
      </c>
      <c r="C774" s="559" t="str">
        <f ca="1">OFFSET('Bateria indicadores proceso'!$Z$3,(RIGHT(A766,3)),1)</f>
        <v>Trimestral</v>
      </c>
      <c r="D774" s="559"/>
      <c r="E774" s="559"/>
      <c r="F774" s="559"/>
      <c r="G774" s="559"/>
      <c r="H774" s="559"/>
      <c r="I774" s="559"/>
      <c r="J774" s="559"/>
      <c r="K774" s="559"/>
      <c r="L774" s="560"/>
    </row>
    <row r="775" spans="1:12">
      <c r="A775" s="101"/>
      <c r="B775" s="72" t="s">
        <v>107</v>
      </c>
      <c r="C775" s="559" t="str">
        <f ca="1">OFFSET('Bateria indicadores proceso'!$X$3,(RIGHT(A766,3)),1)</f>
        <v>Informes de ejeccución, Actas y listados de asistencia</v>
      </c>
      <c r="D775" s="559"/>
      <c r="E775" s="559"/>
      <c r="F775" s="559"/>
      <c r="G775" s="559"/>
      <c r="H775" s="559"/>
      <c r="I775" s="559"/>
      <c r="J775" s="559"/>
      <c r="K775" s="559"/>
      <c r="L775" s="560"/>
    </row>
    <row r="776" spans="1:12">
      <c r="A776" s="101"/>
      <c r="B776" s="72" t="s">
        <v>108</v>
      </c>
      <c r="C776" s="561">
        <f ca="1">OFFSET('Bateria indicadores proceso'!$P$3,(RIGHT(A766,3)),1)</f>
        <v>2024</v>
      </c>
      <c r="D776" s="561"/>
      <c r="E776" s="561"/>
      <c r="F776" s="561"/>
      <c r="G776" s="561"/>
      <c r="H776" s="561"/>
      <c r="I776" s="561"/>
      <c r="J776" s="561"/>
      <c r="K776" s="561"/>
      <c r="L776" s="566"/>
    </row>
    <row r="777" spans="1:12">
      <c r="A777" s="101"/>
      <c r="B777" s="72" t="s">
        <v>109</v>
      </c>
      <c r="C777" s="561" t="str">
        <f ca="1">IF(C771="Número",TEXT(OFFSET('Bateria indicadores proceso'!$Q$3,(RIGHT(A766,3)),1),"######"),TEXT(OFFSET('Bateria indicadores proceso'!$Q$3,(RIGHT(A766,3)),1),"0.0%"))</f>
        <v>400</v>
      </c>
      <c r="D777" s="561"/>
      <c r="E777" s="561"/>
      <c r="F777" s="561"/>
      <c r="G777" s="561"/>
      <c r="H777" s="561"/>
      <c r="I777" s="561"/>
      <c r="J777" s="561"/>
      <c r="K777" s="561"/>
      <c r="L777" s="566"/>
    </row>
    <row r="778" spans="1:12">
      <c r="A778" s="101"/>
      <c r="B778" s="72" t="s">
        <v>110</v>
      </c>
      <c r="C778" s="593">
        <f ca="1">+OFFSET('Bateria indicadores proceso'!$R$3,(RIGHT(A766,3)),1)</f>
        <v>46022</v>
      </c>
      <c r="D778" s="593"/>
      <c r="E778" s="593"/>
      <c r="F778" s="593"/>
      <c r="G778" s="593"/>
      <c r="H778" s="593"/>
      <c r="I778" s="593"/>
      <c r="J778" s="593"/>
      <c r="K778" s="593"/>
      <c r="L778" s="594"/>
    </row>
    <row r="779" spans="1:12">
      <c r="A779" s="101"/>
      <c r="B779" s="72" t="s">
        <v>111</v>
      </c>
      <c r="C779" s="561" t="str">
        <f ca="1">OFFSET('Bateria indicadores proceso'!$M$3,(RIGHT(A766,3)),1)</f>
        <v>Incrementar</v>
      </c>
      <c r="D779" s="561"/>
      <c r="E779" s="561"/>
      <c r="F779" s="561"/>
      <c r="G779" s="561"/>
      <c r="H779" s="561"/>
      <c r="I779" s="561"/>
      <c r="J779" s="561"/>
      <c r="K779" s="561"/>
      <c r="L779" s="566"/>
    </row>
    <row r="780" spans="1:12">
      <c r="A780" s="101"/>
      <c r="B780" s="72" t="s">
        <v>112</v>
      </c>
      <c r="C780" s="561" t="str">
        <f ca="1">OFFSET('Bateria indicadores proceso'!$N$3,(RIGHT(A766,3)),1)</f>
        <v>Acumulado</v>
      </c>
      <c r="D780" s="561"/>
      <c r="E780" s="561"/>
      <c r="F780" s="561"/>
      <c r="G780" s="561"/>
      <c r="H780" s="561"/>
      <c r="I780" s="561"/>
      <c r="J780" s="561"/>
      <c r="K780" s="561"/>
      <c r="L780" s="566"/>
    </row>
    <row r="781" spans="1:12">
      <c r="A781" s="101"/>
      <c r="B781" s="72" t="s">
        <v>113</v>
      </c>
      <c r="C781" s="561" t="str">
        <f ca="1">IF(C771="Número",TEXT(OFFSET('Bateria indicadores proceso'!$W$3,(RIGHT(A766,3)),1),"######"),TEXT(OFFSET('Bateria indicadores proceso'!$W$3,(RIGHT(A766,3)),1),"0.0%"))</f>
        <v>410</v>
      </c>
      <c r="D781" s="561"/>
      <c r="E781" s="561"/>
      <c r="F781" s="561"/>
      <c r="G781" s="561"/>
      <c r="H781" s="561"/>
      <c r="I781" s="561"/>
      <c r="J781" s="561"/>
      <c r="K781" s="561"/>
      <c r="L781" s="566"/>
    </row>
    <row r="782" spans="1:12">
      <c r="A782" s="101"/>
      <c r="B782" s="595" t="s">
        <v>114</v>
      </c>
      <c r="C782" s="70" t="s">
        <v>115</v>
      </c>
      <c r="D782" s="70" t="s">
        <v>116</v>
      </c>
      <c r="E782" s="70" t="s">
        <v>117</v>
      </c>
      <c r="F782" s="70" t="s">
        <v>118</v>
      </c>
      <c r="J782" s="75"/>
      <c r="K782" s="75"/>
      <c r="L782" s="76"/>
    </row>
    <row r="783" spans="1:12">
      <c r="A783" s="101"/>
      <c r="B783" s="595"/>
      <c r="C783" s="70" t="str">
        <f ca="1">IF(C771="Número",TEXT(OFFSET('Bateria indicadores proceso'!$S$3,(RIGHT(A766,3)),1),"######"),TEXT(OFFSET('Bateria indicadores proceso'!$S$3,(RIGHT(A766,3)),1),"0.0%"))</f>
        <v>30</v>
      </c>
      <c r="D783" s="70" t="str">
        <f ca="1">IF(C771="Número",TEXT(OFFSET('Bateria indicadores proceso'!$T$3,(RIGHT(A766,3)),1),"######"),TEXT(OFFSET('Bateria indicadores proceso'!$T$3,(RIGHT(A766,3)),1),"0.0%"))</f>
        <v>150</v>
      </c>
      <c r="E783" s="70" t="str">
        <f ca="1">IF(C771="Número",TEXT(OFFSET('Bateria indicadores proceso'!$U$3,(RIGHT(A766,3)),1),"######"),TEXT(OFFSET('Bateria indicadores proceso'!$U$3,(RIGHT(A766,3)),1),"0.0%"))</f>
        <v>150</v>
      </c>
      <c r="F783" s="70" t="str">
        <f ca="1">IF(C771="Número",TEXT(OFFSET('Bateria indicadores proceso'!$V$3,(RIGHT(A766,3)),1),"######"),TEXT(OFFSET('Bateria indicadores proceso'!$V$3,(RIGHT(A766,3)),1),"0.0%"))</f>
        <v>80</v>
      </c>
      <c r="J783" s="77"/>
      <c r="K783" s="77"/>
      <c r="L783" s="78"/>
    </row>
    <row r="784" spans="1:12">
      <c r="A784" s="101"/>
      <c r="B784" s="600" t="s">
        <v>119</v>
      </c>
      <c r="C784" s="567" t="s">
        <v>120</v>
      </c>
      <c r="D784" s="568"/>
      <c r="E784" s="567" t="s">
        <v>121</v>
      </c>
      <c r="F784" s="568"/>
      <c r="G784" s="567" t="s">
        <v>122</v>
      </c>
      <c r="H784" s="568"/>
      <c r="I784" s="567" t="s">
        <v>123</v>
      </c>
      <c r="J784" s="568"/>
      <c r="K784" s="567" t="s">
        <v>124</v>
      </c>
      <c r="L784" s="569"/>
    </row>
    <row r="785" spans="1:12">
      <c r="A785" s="101"/>
      <c r="B785" s="601"/>
      <c r="C785" s="570" t="s">
        <v>125</v>
      </c>
      <c r="D785" s="571"/>
      <c r="E785" s="577" t="s">
        <v>126</v>
      </c>
      <c r="F785" s="578"/>
      <c r="G785" s="579" t="s">
        <v>127</v>
      </c>
      <c r="H785" s="580"/>
      <c r="I785" s="581" t="s">
        <v>128</v>
      </c>
      <c r="J785" s="582"/>
      <c r="K785" s="583" t="s">
        <v>129</v>
      </c>
      <c r="L785" s="584"/>
    </row>
    <row r="786" spans="1:12">
      <c r="A786" s="101"/>
      <c r="B786" s="602"/>
      <c r="C786" s="567" t="s">
        <v>130</v>
      </c>
      <c r="D786" s="568"/>
      <c r="E786" s="567" t="s">
        <v>131</v>
      </c>
      <c r="F786" s="568"/>
      <c r="G786" s="585" t="s">
        <v>132</v>
      </c>
      <c r="H786" s="568"/>
      <c r="I786" s="567" t="s">
        <v>133</v>
      </c>
      <c r="J786" s="568"/>
      <c r="K786" s="567" t="s">
        <v>134</v>
      </c>
      <c r="L786" s="569"/>
    </row>
    <row r="787" spans="1:12">
      <c r="A787" s="101"/>
      <c r="B787" s="72" t="s">
        <v>135</v>
      </c>
      <c r="C787" s="559" t="str">
        <f ca="1">OFFSET('Bateria indicadores proceso'!$Y$3,(RIGHT(A766,3)),1)</f>
        <v>Informes de ejeccución, Actas y listados de asistencia</v>
      </c>
      <c r="D787" s="559"/>
      <c r="E787" s="559"/>
      <c r="F787" s="559"/>
      <c r="G787" s="559"/>
      <c r="H787" s="559"/>
      <c r="I787" s="559"/>
      <c r="J787" s="559"/>
      <c r="K787" s="559"/>
      <c r="L787" s="560"/>
    </row>
    <row r="788" spans="1:12">
      <c r="A788" s="101"/>
      <c r="B788" s="591" t="s">
        <v>136</v>
      </c>
      <c r="C788" s="561" t="s">
        <v>137</v>
      </c>
      <c r="D788" s="561"/>
      <c r="E788" s="561"/>
      <c r="F788" s="562" t="str">
        <f ca="1">OFFSET('Bateria indicadores proceso'!$B$3,(RIGHT(A766,3)),1)</f>
        <v>GESTIÓN POLÍTICA Y GOBIERNO</v>
      </c>
      <c r="G788" s="562"/>
      <c r="H788" s="562"/>
      <c r="I788" s="562"/>
      <c r="J788" s="562"/>
      <c r="K788" s="562"/>
      <c r="L788" s="563"/>
    </row>
    <row r="789" spans="1:12">
      <c r="A789" s="101"/>
      <c r="B789" s="592"/>
      <c r="C789" s="561" t="s">
        <v>138</v>
      </c>
      <c r="D789" s="561"/>
      <c r="E789" s="561"/>
      <c r="F789" s="564">
        <f ca="1">OFFSET('Bateria indicadores proceso'!$C$3,(RIGHT(A766,3)),1)</f>
        <v>0.33</v>
      </c>
      <c r="G789" s="564"/>
      <c r="H789" s="564"/>
      <c r="I789" s="564"/>
      <c r="J789" s="564"/>
      <c r="K789" s="564"/>
      <c r="L789" s="565"/>
    </row>
    <row r="790" spans="1:12" ht="15.75" thickBot="1">
      <c r="A790" s="101"/>
      <c r="B790" s="592"/>
      <c r="C790" s="561" t="s">
        <v>139</v>
      </c>
      <c r="D790" s="561"/>
      <c r="E790" s="561"/>
      <c r="F790" s="564">
        <f ca="1">OFFSET('Bateria indicadores proceso'!$E$3,(RIGHT(A766,3)),1)</f>
        <v>0.11</v>
      </c>
      <c r="G790" s="564"/>
      <c r="H790" s="564"/>
      <c r="I790" s="564"/>
      <c r="J790" s="564"/>
      <c r="K790" s="564"/>
      <c r="L790" s="565"/>
    </row>
    <row r="791" spans="1:12" ht="16.5" thickBot="1">
      <c r="A791" s="101"/>
      <c r="B791" s="572" t="s">
        <v>140</v>
      </c>
      <c r="C791" s="573"/>
      <c r="D791" s="573"/>
      <c r="E791" s="573"/>
      <c r="F791" s="573"/>
      <c r="G791" s="573"/>
      <c r="H791" s="573"/>
      <c r="I791" s="573"/>
      <c r="J791" s="573"/>
      <c r="K791" s="573"/>
      <c r="L791" s="574"/>
    </row>
    <row r="792" spans="1:12">
      <c r="A792" s="101"/>
      <c r="B792" s="72" t="s">
        <v>142</v>
      </c>
      <c r="C792" s="561" t="str">
        <f ca="1">OFFSET('Bateria indicadores proceso'!$G$3,(RIGHT(A766,3)),1)</f>
        <v xml:space="preserve">Subdirector </v>
      </c>
      <c r="D792" s="561"/>
      <c r="E792" s="561"/>
      <c r="F792" s="561"/>
      <c r="G792" s="561"/>
      <c r="H792" s="561"/>
      <c r="I792" s="561"/>
      <c r="J792" s="561"/>
      <c r="K792" s="561"/>
      <c r="L792" s="566"/>
    </row>
    <row r="793" spans="1:12">
      <c r="A793" s="101"/>
      <c r="B793" s="72" t="s">
        <v>143</v>
      </c>
      <c r="C793" s="561" t="str">
        <f ca="1">OFFSET('Bateria indicadores proceso'!$F$3,(RIGHT(A766,3)),1)</f>
        <v>Subdirección de Gobierno, Gestión Territorial y Lucha contra la Trata</v>
      </c>
      <c r="D793" s="561"/>
      <c r="E793" s="561"/>
      <c r="F793" s="561"/>
      <c r="G793" s="561"/>
      <c r="H793" s="561"/>
      <c r="I793" s="561"/>
      <c r="J793" s="561"/>
      <c r="K793" s="561"/>
      <c r="L793" s="566"/>
    </row>
    <row r="794" spans="1:12">
      <c r="A794" s="101"/>
      <c r="B794" s="72" t="s">
        <v>144</v>
      </c>
      <c r="C794" s="598" t="str">
        <f ca="1">OFFSET('Bateria indicadores proceso'!$H$3,(RIGHT(A730,3)),1)</f>
        <v>henry.luna@mininterior.gov.co</v>
      </c>
      <c r="D794" s="598"/>
      <c r="E794" s="598"/>
      <c r="F794" s="598"/>
      <c r="G794" s="598"/>
      <c r="H794" s="598"/>
      <c r="I794" s="598"/>
      <c r="J794" s="598"/>
      <c r="K794" s="598"/>
      <c r="L794" s="599"/>
    </row>
    <row r="795" spans="1:12" ht="15.75" thickBot="1">
      <c r="A795" s="104"/>
      <c r="B795" s="74" t="s">
        <v>145</v>
      </c>
      <c r="C795" s="596" t="s">
        <v>146</v>
      </c>
      <c r="D795" s="596"/>
      <c r="E795" s="596"/>
      <c r="F795" s="596"/>
      <c r="G795" s="596"/>
      <c r="H795" s="596"/>
      <c r="I795" s="596"/>
      <c r="J795" s="596"/>
      <c r="K795" s="596"/>
      <c r="L795" s="597"/>
    </row>
    <row r="796" spans="1:12" ht="15.75" thickBot="1"/>
    <row r="797" spans="1:12" ht="21.75" thickBot="1">
      <c r="A797" s="586" t="s">
        <v>89</v>
      </c>
      <c r="B797" s="587"/>
      <c r="C797" s="587"/>
      <c r="D797" s="587"/>
      <c r="E797" s="587"/>
      <c r="F797" s="587"/>
      <c r="G797" s="587"/>
      <c r="H797" s="587"/>
      <c r="I797" s="587"/>
      <c r="J797" s="587"/>
      <c r="K797" s="587"/>
      <c r="L797" s="588"/>
    </row>
    <row r="798" spans="1:12" ht="32.25" thickBot="1">
      <c r="A798" s="69" t="s">
        <v>90</v>
      </c>
      <c r="B798" s="589" t="s">
        <v>91</v>
      </c>
      <c r="C798" s="589"/>
      <c r="D798" s="589"/>
      <c r="E798" s="589"/>
      <c r="F798" s="589"/>
      <c r="G798" s="589"/>
      <c r="H798" s="589"/>
      <c r="I798" s="589"/>
      <c r="J798" s="589"/>
      <c r="K798" s="589"/>
      <c r="L798" s="589"/>
    </row>
    <row r="799" spans="1:12" ht="16.5" thickBot="1">
      <c r="A799" s="100"/>
      <c r="B799" s="71" t="s">
        <v>92</v>
      </c>
      <c r="C799" s="575" t="s">
        <v>93</v>
      </c>
      <c r="D799" s="575"/>
      <c r="E799" s="575"/>
      <c r="F799" s="575"/>
      <c r="G799" s="575"/>
      <c r="H799" s="575"/>
      <c r="I799" s="575"/>
      <c r="J799" s="575"/>
      <c r="K799" s="575"/>
      <c r="L799" s="576"/>
    </row>
    <row r="800" spans="1:12" ht="16.5" thickBot="1">
      <c r="A800" s="101"/>
      <c r="B800" s="589" t="s">
        <v>94</v>
      </c>
      <c r="C800" s="590"/>
      <c r="D800" s="590"/>
      <c r="E800" s="590"/>
      <c r="F800" s="590"/>
      <c r="G800" s="590"/>
      <c r="H800" s="590"/>
      <c r="I800" s="590"/>
      <c r="J800" s="590"/>
      <c r="K800" s="590"/>
      <c r="L800" s="590"/>
    </row>
    <row r="801" spans="1:12">
      <c r="A801" s="101"/>
      <c r="B801" s="71" t="s">
        <v>95</v>
      </c>
      <c r="C801" s="559" t="s">
        <v>96</v>
      </c>
      <c r="D801" s="559"/>
      <c r="E801" s="559"/>
      <c r="F801" s="559"/>
      <c r="G801" s="559"/>
      <c r="H801" s="559"/>
      <c r="I801" s="559"/>
      <c r="J801" s="559"/>
      <c r="K801" s="559"/>
      <c r="L801" s="560"/>
    </row>
    <row r="802" spans="1:12">
      <c r="A802" s="102" t="s">
        <v>168</v>
      </c>
      <c r="B802" s="72" t="s">
        <v>98</v>
      </c>
      <c r="C802" s="559" t="str">
        <f ca="1">OFFSET('Bateria indicadores proceso'!$F$3,(RIGHT(A802,3)),1)</f>
        <v>Subdirección de Gobierno, Gestión Territorial y Lucha contra la Trata</v>
      </c>
      <c r="D802" s="559"/>
      <c r="E802" s="559"/>
      <c r="F802" s="559"/>
      <c r="G802" s="559"/>
      <c r="H802" s="559"/>
      <c r="I802" s="559"/>
      <c r="J802" s="559"/>
      <c r="K802" s="559"/>
      <c r="L802" s="560"/>
    </row>
    <row r="803" spans="1:12">
      <c r="A803" s="101"/>
      <c r="B803" s="72" t="s">
        <v>99</v>
      </c>
      <c r="C803" s="559" t="str">
        <f ca="1">OFFSET('Bateria indicadores proceso'!$K$3,(RIGHT(A802,3)),1)</f>
        <v>Corporaciones Públicas, instancias de participación ciudadana, entidades territoriales fortalecidas</v>
      </c>
      <c r="D803" s="559"/>
      <c r="E803" s="559"/>
      <c r="F803" s="559"/>
      <c r="G803" s="559"/>
      <c r="H803" s="559"/>
      <c r="I803" s="559"/>
      <c r="J803" s="559"/>
      <c r="K803" s="559"/>
      <c r="L803" s="560"/>
    </row>
    <row r="804" spans="1:12">
      <c r="A804" s="101"/>
      <c r="B804" s="72" t="s">
        <v>100</v>
      </c>
      <c r="C804" s="559" t="str">
        <f ca="1">OFFSET('Bateria indicadores proceso'!$I$3,(RIGHT(A802,3)),1)</f>
        <v>Eficiencia</v>
      </c>
      <c r="D804" s="559"/>
      <c r="E804" s="559"/>
      <c r="F804" s="559"/>
      <c r="G804" s="559"/>
      <c r="H804" s="559"/>
      <c r="I804" s="559"/>
      <c r="J804" s="559"/>
      <c r="K804" s="559"/>
      <c r="L804" s="560"/>
    </row>
    <row r="805" spans="1:12" ht="15.75" thickBot="1">
      <c r="A805" s="103"/>
      <c r="B805" s="73" t="s">
        <v>101</v>
      </c>
      <c r="C805" s="559" t="str">
        <f ca="1">OFFSET('Bateria indicadores proceso'!$J$3,(RIGHT(A802,3)),1)</f>
        <v>La Subdirección de Gobierno, Gestión Territorial y Lucha contra la Trata (SGT) participa en el fortalecimiento de la gestión de las corporaciones públicas de elección popular, las instancias de participación ciudadana y las entidades territoriales en la aplicabilidad de los instrumentos de gobernanza, porque esto garantiza que dichas instituciones cuenten con capacidades técnicas, operativas y metodológicas para ejercer de manera efectiva sus funciones constitucionales y legales. Este acompañamiento es fundamental para mejorar la toma de decisiones públicas, promover y fortalecer los mecanismos de control y participación social. La orientación del indicador corresponde a un comportamiento de incremento con tipo de medición acumulado.</v>
      </c>
      <c r="D805" s="559"/>
      <c r="E805" s="559"/>
      <c r="F805" s="559"/>
      <c r="G805" s="559"/>
      <c r="H805" s="559"/>
      <c r="I805" s="559"/>
      <c r="J805" s="559"/>
      <c r="K805" s="559"/>
      <c r="L805" s="560"/>
    </row>
    <row r="806" spans="1:12" ht="16.5" thickBot="1">
      <c r="A806" s="103"/>
      <c r="B806" s="572" t="s">
        <v>102</v>
      </c>
      <c r="C806" s="573"/>
      <c r="D806" s="573"/>
      <c r="E806" s="573"/>
      <c r="F806" s="573"/>
      <c r="G806" s="573"/>
      <c r="H806" s="573"/>
      <c r="I806" s="573"/>
      <c r="J806" s="573"/>
      <c r="K806" s="573"/>
      <c r="L806" s="574"/>
    </row>
    <row r="807" spans="1:12">
      <c r="A807" s="101"/>
      <c r="B807" s="71" t="s">
        <v>103</v>
      </c>
      <c r="C807" s="559" t="str">
        <f ca="1">OFFSET('Bateria indicadores proceso'!$O$3,(RIGHT(A802,3)),1)</f>
        <v>Número</v>
      </c>
      <c r="D807" s="559"/>
      <c r="E807" s="559"/>
      <c r="F807" s="559"/>
      <c r="G807" s="559"/>
      <c r="H807" s="559"/>
      <c r="I807" s="559"/>
      <c r="J807" s="559"/>
      <c r="K807" s="559"/>
      <c r="L807" s="560"/>
    </row>
    <row r="808" spans="1:12" ht="24">
      <c r="A808" s="101"/>
      <c r="B808" s="72" t="s">
        <v>104</v>
      </c>
      <c r="C808" s="559"/>
      <c r="D808" s="559"/>
      <c r="E808" s="559"/>
      <c r="F808" s="559"/>
      <c r="G808" s="559"/>
      <c r="H808" s="559"/>
      <c r="I808" s="559"/>
      <c r="J808" s="559"/>
      <c r="K808" s="559"/>
      <c r="L808" s="560"/>
    </row>
    <row r="809" spans="1:12">
      <c r="A809" s="101"/>
      <c r="B809" s="72" t="s">
        <v>105</v>
      </c>
      <c r="C809" s="559" t="str">
        <f ca="1">OFFSET('Bateria indicadores proceso'!$L$3,(RIGHT(A802,3)),1)</f>
        <v>Sumatoria de corporaciones, instancias de participación y entidades territoriales fortalecidas</v>
      </c>
      <c r="D809" s="559"/>
      <c r="E809" s="559"/>
      <c r="F809" s="559"/>
      <c r="G809" s="559"/>
      <c r="H809" s="559"/>
      <c r="I809" s="559"/>
      <c r="J809" s="559"/>
      <c r="K809" s="559"/>
      <c r="L809" s="560"/>
    </row>
    <row r="810" spans="1:12">
      <c r="A810" s="101"/>
      <c r="B810" s="72" t="s">
        <v>106</v>
      </c>
      <c r="C810" s="559" t="str">
        <f ca="1">OFFSET('Bateria indicadores proceso'!$Z$3,(RIGHT(A802,3)),1)</f>
        <v>Anual</v>
      </c>
      <c r="D810" s="559"/>
      <c r="E810" s="559"/>
      <c r="F810" s="559"/>
      <c r="G810" s="559"/>
      <c r="H810" s="559"/>
      <c r="I810" s="559"/>
      <c r="J810" s="559"/>
      <c r="K810" s="559"/>
      <c r="L810" s="560"/>
    </row>
    <row r="811" spans="1:12">
      <c r="A811" s="101"/>
      <c r="B811" s="72" t="s">
        <v>107</v>
      </c>
      <c r="C811" s="559" t="str">
        <f ca="1">OFFSET('Bateria indicadores proceso'!$X$3,(RIGHT(A802,3)),1)</f>
        <v>Documentos Tecnicos-Actas y Planillas de asistencia</v>
      </c>
      <c r="D811" s="559"/>
      <c r="E811" s="559"/>
      <c r="F811" s="559"/>
      <c r="G811" s="559"/>
      <c r="H811" s="559"/>
      <c r="I811" s="559"/>
      <c r="J811" s="559"/>
      <c r="K811" s="559"/>
      <c r="L811" s="560"/>
    </row>
    <row r="812" spans="1:12">
      <c r="A812" s="101"/>
      <c r="B812" s="72" t="s">
        <v>108</v>
      </c>
      <c r="C812" s="561">
        <f ca="1">OFFSET('Bateria indicadores proceso'!$P$3,(RIGHT(A802,3)),1)</f>
        <v>2024</v>
      </c>
      <c r="D812" s="561"/>
      <c r="E812" s="561"/>
      <c r="F812" s="561"/>
      <c r="G812" s="561"/>
      <c r="H812" s="561"/>
      <c r="I812" s="561"/>
      <c r="J812" s="561"/>
      <c r="K812" s="561"/>
      <c r="L812" s="566"/>
    </row>
    <row r="813" spans="1:12">
      <c r="A813" s="101"/>
      <c r="B813" s="72" t="s">
        <v>109</v>
      </c>
      <c r="C813" s="561" t="str">
        <f ca="1">IF(C807="Número",TEXT(OFFSET('Bateria indicadores proceso'!$Q$3,(RIGHT(A802,3)),1),"######"),TEXT(OFFSET('Bateria indicadores proceso'!$Q$3,(RIGHT(A802,3)),1),"0.0%"))</f>
        <v>250</v>
      </c>
      <c r="D813" s="561"/>
      <c r="E813" s="561"/>
      <c r="F813" s="561"/>
      <c r="G813" s="561"/>
      <c r="H813" s="561"/>
      <c r="I813" s="561"/>
      <c r="J813" s="561"/>
      <c r="K813" s="561"/>
      <c r="L813" s="566"/>
    </row>
    <row r="814" spans="1:12">
      <c r="A814" s="101"/>
      <c r="B814" s="72" t="s">
        <v>110</v>
      </c>
      <c r="C814" s="593">
        <f ca="1">+OFFSET('Bateria indicadores proceso'!$R$3,(RIGHT(A802,3)),1)</f>
        <v>46022</v>
      </c>
      <c r="D814" s="593"/>
      <c r="E814" s="593"/>
      <c r="F814" s="593"/>
      <c r="G814" s="593"/>
      <c r="H814" s="593"/>
      <c r="I814" s="593"/>
      <c r="J814" s="593"/>
      <c r="K814" s="593"/>
      <c r="L814" s="594"/>
    </row>
    <row r="815" spans="1:12">
      <c r="A815" s="101"/>
      <c r="B815" s="72" t="s">
        <v>111</v>
      </c>
      <c r="C815" s="561" t="str">
        <f ca="1">OFFSET('Bateria indicadores proceso'!$M$3,(RIGHT(A802,3)),1)</f>
        <v>Incrementar</v>
      </c>
      <c r="D815" s="561"/>
      <c r="E815" s="561"/>
      <c r="F815" s="561"/>
      <c r="G815" s="561"/>
      <c r="H815" s="561"/>
      <c r="I815" s="561"/>
      <c r="J815" s="561"/>
      <c r="K815" s="561"/>
      <c r="L815" s="566"/>
    </row>
    <row r="816" spans="1:12">
      <c r="A816" s="101"/>
      <c r="B816" s="72" t="s">
        <v>112</v>
      </c>
      <c r="C816" s="561" t="str">
        <f ca="1">OFFSET('Bateria indicadores proceso'!$N$3,(RIGHT(A802,3)),1)</f>
        <v>Acumulado</v>
      </c>
      <c r="D816" s="561"/>
      <c r="E816" s="561"/>
      <c r="F816" s="561"/>
      <c r="G816" s="561"/>
      <c r="H816" s="561"/>
      <c r="I816" s="561"/>
      <c r="J816" s="561"/>
      <c r="K816" s="561"/>
      <c r="L816" s="566"/>
    </row>
    <row r="817" spans="1:12">
      <c r="A817" s="101"/>
      <c r="B817" s="72" t="s">
        <v>113</v>
      </c>
      <c r="C817" s="561" t="str">
        <f ca="1">IF(C807="Número",TEXT(OFFSET('Bateria indicadores proceso'!$W$3,(RIGHT(A802,3)),1),"######"),TEXT(OFFSET('Bateria indicadores proceso'!$W$3,(RIGHT(A802,3)),1),"0.0%"))</f>
        <v>50</v>
      </c>
      <c r="D817" s="561"/>
      <c r="E817" s="561"/>
      <c r="F817" s="561"/>
      <c r="G817" s="561"/>
      <c r="H817" s="561"/>
      <c r="I817" s="561"/>
      <c r="J817" s="561"/>
      <c r="K817" s="561"/>
      <c r="L817" s="566"/>
    </row>
    <row r="818" spans="1:12">
      <c r="A818" s="101"/>
      <c r="B818" s="595" t="s">
        <v>114</v>
      </c>
      <c r="C818" s="70" t="s">
        <v>115</v>
      </c>
      <c r="D818" s="70" t="s">
        <v>116</v>
      </c>
      <c r="E818" s="70" t="s">
        <v>117</v>
      </c>
      <c r="F818" s="70" t="s">
        <v>118</v>
      </c>
      <c r="J818" s="75"/>
      <c r="K818" s="75"/>
      <c r="L818" s="76"/>
    </row>
    <row r="819" spans="1:12">
      <c r="A819" s="101"/>
      <c r="B819" s="595"/>
      <c r="C819" s="70" t="str">
        <f ca="1">IF(C807="Número",TEXT(OFFSET('Bateria indicadores proceso'!$S$3,(RIGHT(A802,3)),1),"######"),TEXT(OFFSET('Bateria indicadores proceso'!$S$3,(RIGHT(A802,3)),1),"0.0%"))</f>
        <v/>
      </c>
      <c r="D819" s="70" t="str">
        <f ca="1">IF(C807="Número",TEXT(OFFSET('Bateria indicadores proceso'!$T$3,(RIGHT(A802,3)),1),"######"),TEXT(OFFSET('Bateria indicadores proceso'!$T$3,(RIGHT(A802,3)),1),"0.0%"))</f>
        <v>20</v>
      </c>
      <c r="E819" s="70" t="str">
        <f ca="1">IF(C807="Número",TEXT(OFFSET('Bateria indicadores proceso'!$U$3,(RIGHT(A802,3)),1),"######"),TEXT(OFFSET('Bateria indicadores proceso'!$U$3,(RIGHT(A802,3)),1),"0.0%"))</f>
        <v>20</v>
      </c>
      <c r="F819" s="70" t="str">
        <f ca="1">IF(C807="Número",TEXT(OFFSET('Bateria indicadores proceso'!$V$3,(RIGHT(A802,3)),1),"######"),TEXT(OFFSET('Bateria indicadores proceso'!$V$3,(RIGHT(A802,3)),1),"0.0%"))</f>
        <v>10</v>
      </c>
      <c r="J819" s="77"/>
      <c r="K819" s="77"/>
      <c r="L819" s="78"/>
    </row>
    <row r="820" spans="1:12">
      <c r="A820" s="101"/>
      <c r="B820" s="600" t="s">
        <v>119</v>
      </c>
      <c r="C820" s="567" t="s">
        <v>120</v>
      </c>
      <c r="D820" s="568"/>
      <c r="E820" s="567" t="s">
        <v>121</v>
      </c>
      <c r="F820" s="568"/>
      <c r="G820" s="567" t="s">
        <v>122</v>
      </c>
      <c r="H820" s="568"/>
      <c r="I820" s="567" t="s">
        <v>123</v>
      </c>
      <c r="J820" s="568"/>
      <c r="K820" s="567" t="s">
        <v>124</v>
      </c>
      <c r="L820" s="569"/>
    </row>
    <row r="821" spans="1:12">
      <c r="A821" s="101"/>
      <c r="B821" s="601"/>
      <c r="C821" s="570" t="s">
        <v>125</v>
      </c>
      <c r="D821" s="571"/>
      <c r="E821" s="577" t="s">
        <v>126</v>
      </c>
      <c r="F821" s="578"/>
      <c r="G821" s="579" t="s">
        <v>127</v>
      </c>
      <c r="H821" s="580"/>
      <c r="I821" s="581" t="s">
        <v>128</v>
      </c>
      <c r="J821" s="582"/>
      <c r="K821" s="583" t="s">
        <v>129</v>
      </c>
      <c r="L821" s="584"/>
    </row>
    <row r="822" spans="1:12">
      <c r="A822" s="101"/>
      <c r="B822" s="602"/>
      <c r="C822" s="567" t="s">
        <v>130</v>
      </c>
      <c r="D822" s="568"/>
      <c r="E822" s="567" t="s">
        <v>131</v>
      </c>
      <c r="F822" s="568"/>
      <c r="G822" s="585" t="s">
        <v>132</v>
      </c>
      <c r="H822" s="568"/>
      <c r="I822" s="567" t="s">
        <v>133</v>
      </c>
      <c r="J822" s="568"/>
      <c r="K822" s="567" t="s">
        <v>134</v>
      </c>
      <c r="L822" s="569"/>
    </row>
    <row r="823" spans="1:12">
      <c r="A823" s="101"/>
      <c r="B823" s="72" t="s">
        <v>135</v>
      </c>
      <c r="C823" s="559" t="str">
        <f ca="1">OFFSET('Bateria indicadores proceso'!$Y$3,(RIGHT(A802,3)),1)</f>
        <v>Documentos Tecnicos-Actas y Planillas de asistencia</v>
      </c>
      <c r="D823" s="559"/>
      <c r="E823" s="559"/>
      <c r="F823" s="559"/>
      <c r="G823" s="559"/>
      <c r="H823" s="559"/>
      <c r="I823" s="559"/>
      <c r="J823" s="559"/>
      <c r="K823" s="559"/>
      <c r="L823" s="560"/>
    </row>
    <row r="824" spans="1:12">
      <c r="A824" s="101"/>
      <c r="B824" s="591" t="s">
        <v>136</v>
      </c>
      <c r="C824" s="561" t="s">
        <v>137</v>
      </c>
      <c r="D824" s="561"/>
      <c r="E824" s="561"/>
      <c r="F824" s="562" t="str">
        <f ca="1">OFFSET('Bateria indicadores proceso'!$B$3,(RIGHT(A802,3)),1)</f>
        <v>GESTIÓN POLÍTICA Y GOBIERNO</v>
      </c>
      <c r="G824" s="562"/>
      <c r="H824" s="562"/>
      <c r="I824" s="562"/>
      <c r="J824" s="562"/>
      <c r="K824" s="562"/>
      <c r="L824" s="563"/>
    </row>
    <row r="825" spans="1:12">
      <c r="A825" s="101"/>
      <c r="B825" s="592"/>
      <c r="C825" s="561" t="s">
        <v>138</v>
      </c>
      <c r="D825" s="561"/>
      <c r="E825" s="561"/>
      <c r="F825" s="564">
        <f ca="1">OFFSET('Bateria indicadores proceso'!$C$3,(RIGHT(A802,3)),1)</f>
        <v>0.33</v>
      </c>
      <c r="G825" s="564"/>
      <c r="H825" s="564"/>
      <c r="I825" s="564"/>
      <c r="J825" s="564"/>
      <c r="K825" s="564"/>
      <c r="L825" s="565"/>
    </row>
    <row r="826" spans="1:12" ht="15.75" thickBot="1">
      <c r="A826" s="101"/>
      <c r="B826" s="592"/>
      <c r="C826" s="561" t="s">
        <v>139</v>
      </c>
      <c r="D826" s="561"/>
      <c r="E826" s="561"/>
      <c r="F826" s="564">
        <f ca="1">OFFSET('Bateria indicadores proceso'!$E$3,(RIGHT(A802,3)),1)</f>
        <v>0.11</v>
      </c>
      <c r="G826" s="564"/>
      <c r="H826" s="564"/>
      <c r="I826" s="564"/>
      <c r="J826" s="564"/>
      <c r="K826" s="564"/>
      <c r="L826" s="565"/>
    </row>
    <row r="827" spans="1:12" ht="16.5" thickBot="1">
      <c r="A827" s="101"/>
      <c r="B827" s="572" t="s">
        <v>140</v>
      </c>
      <c r="C827" s="573"/>
      <c r="D827" s="573"/>
      <c r="E827" s="573"/>
      <c r="F827" s="573"/>
      <c r="G827" s="573"/>
      <c r="H827" s="573"/>
      <c r="I827" s="573"/>
      <c r="J827" s="573"/>
      <c r="K827" s="573"/>
      <c r="L827" s="574"/>
    </row>
    <row r="828" spans="1:12">
      <c r="A828" s="101"/>
      <c r="B828" s="72" t="s">
        <v>142</v>
      </c>
      <c r="C828" s="561" t="str">
        <f ca="1">OFFSET('Bateria indicadores proceso'!$G$3,(RIGHT(A802,3)),1)</f>
        <v xml:space="preserve">Subdirector </v>
      </c>
      <c r="D828" s="561"/>
      <c r="E828" s="561"/>
      <c r="F828" s="561"/>
      <c r="G828" s="561"/>
      <c r="H828" s="561"/>
      <c r="I828" s="561"/>
      <c r="J828" s="561"/>
      <c r="K828" s="561"/>
      <c r="L828" s="566"/>
    </row>
    <row r="829" spans="1:12">
      <c r="A829" s="101"/>
      <c r="B829" s="72" t="s">
        <v>143</v>
      </c>
      <c r="C829" s="561" t="str">
        <f ca="1">OFFSET('Bateria indicadores proceso'!$F$3,(RIGHT(A802,3)),1)</f>
        <v>Subdirección de Gobierno, Gestión Territorial y Lucha contra la Trata</v>
      </c>
      <c r="D829" s="561"/>
      <c r="E829" s="561"/>
      <c r="F829" s="561"/>
      <c r="G829" s="561"/>
      <c r="H829" s="561"/>
      <c r="I829" s="561"/>
      <c r="J829" s="561"/>
      <c r="K829" s="561"/>
      <c r="L829" s="566"/>
    </row>
    <row r="830" spans="1:12">
      <c r="A830" s="101"/>
      <c r="B830" s="72" t="s">
        <v>144</v>
      </c>
      <c r="C830" s="598" t="str">
        <f ca="1">OFFSET('Bateria indicadores proceso'!$H$3,(RIGHT(A802,3)),1)</f>
        <v>angelica.palacios@mininterior.gov.co</v>
      </c>
      <c r="D830" s="598"/>
      <c r="E830" s="598"/>
      <c r="F830" s="598"/>
      <c r="G830" s="598"/>
      <c r="H830" s="598"/>
      <c r="I830" s="598"/>
      <c r="J830" s="598"/>
      <c r="K830" s="598"/>
      <c r="L830" s="599"/>
    </row>
    <row r="831" spans="1:12" ht="15.75" thickBot="1">
      <c r="A831" s="104"/>
      <c r="B831" s="74" t="s">
        <v>145</v>
      </c>
      <c r="C831" s="596" t="s">
        <v>146</v>
      </c>
      <c r="D831" s="596"/>
      <c r="E831" s="596"/>
      <c r="F831" s="596"/>
      <c r="G831" s="596"/>
      <c r="H831" s="596"/>
      <c r="I831" s="596"/>
      <c r="J831" s="596"/>
      <c r="K831" s="596"/>
      <c r="L831" s="597"/>
    </row>
    <row r="832" spans="1:12" ht="15.75" thickBot="1"/>
    <row r="833" spans="1:12" ht="21.75" thickBot="1">
      <c r="A833" s="586" t="s">
        <v>89</v>
      </c>
      <c r="B833" s="587"/>
      <c r="C833" s="587"/>
      <c r="D833" s="587"/>
      <c r="E833" s="587"/>
      <c r="F833" s="587"/>
      <c r="G833" s="587"/>
      <c r="H833" s="587"/>
      <c r="I833" s="587"/>
      <c r="J833" s="587"/>
      <c r="K833" s="587"/>
      <c r="L833" s="588"/>
    </row>
    <row r="834" spans="1:12" ht="32.25" thickBot="1">
      <c r="A834" s="69" t="s">
        <v>90</v>
      </c>
      <c r="B834" s="589" t="s">
        <v>91</v>
      </c>
      <c r="C834" s="589"/>
      <c r="D834" s="589"/>
      <c r="E834" s="589"/>
      <c r="F834" s="589"/>
      <c r="G834" s="589"/>
      <c r="H834" s="589"/>
      <c r="I834" s="589"/>
      <c r="J834" s="589"/>
      <c r="K834" s="589"/>
      <c r="L834" s="589"/>
    </row>
    <row r="835" spans="1:12" ht="16.5" thickBot="1">
      <c r="A835" s="100"/>
      <c r="B835" s="71" t="s">
        <v>92</v>
      </c>
      <c r="C835" s="575" t="s">
        <v>93</v>
      </c>
      <c r="D835" s="575"/>
      <c r="E835" s="575"/>
      <c r="F835" s="575"/>
      <c r="G835" s="575"/>
      <c r="H835" s="575"/>
      <c r="I835" s="575"/>
      <c r="J835" s="575"/>
      <c r="K835" s="575"/>
      <c r="L835" s="576"/>
    </row>
    <row r="836" spans="1:12" ht="16.5" thickBot="1">
      <c r="A836" s="101"/>
      <c r="B836" s="589" t="s">
        <v>94</v>
      </c>
      <c r="C836" s="590"/>
      <c r="D836" s="590"/>
      <c r="E836" s="590"/>
      <c r="F836" s="590"/>
      <c r="G836" s="590"/>
      <c r="H836" s="590"/>
      <c r="I836" s="590"/>
      <c r="J836" s="590"/>
      <c r="K836" s="590"/>
      <c r="L836" s="590"/>
    </row>
    <row r="837" spans="1:12">
      <c r="A837" s="101"/>
      <c r="B837" s="71" t="s">
        <v>95</v>
      </c>
      <c r="C837" s="559" t="s">
        <v>96</v>
      </c>
      <c r="D837" s="559"/>
      <c r="E837" s="559"/>
      <c r="F837" s="559"/>
      <c r="G837" s="559"/>
      <c r="H837" s="559"/>
      <c r="I837" s="559"/>
      <c r="J837" s="559"/>
      <c r="K837" s="559"/>
      <c r="L837" s="560"/>
    </row>
    <row r="838" spans="1:12">
      <c r="A838" s="102" t="s">
        <v>169</v>
      </c>
      <c r="B838" s="72" t="s">
        <v>98</v>
      </c>
      <c r="C838" s="559" t="str">
        <f ca="1">OFFSET('Bateria indicadores proceso'!$F$3,(RIGHT(A838,3)),1)</f>
        <v>Subdirección de Gobierno, Gestión Territorial y Lucha contra la Trata</v>
      </c>
      <c r="D838" s="559"/>
      <c r="E838" s="559"/>
      <c r="F838" s="559"/>
      <c r="G838" s="559"/>
      <c r="H838" s="559"/>
      <c r="I838" s="559"/>
      <c r="J838" s="559"/>
      <c r="K838" s="559"/>
      <c r="L838" s="560"/>
    </row>
    <row r="839" spans="1:12">
      <c r="A839" s="101"/>
      <c r="B839" s="72" t="s">
        <v>99</v>
      </c>
      <c r="C839" s="559" t="str">
        <f ca="1">OFFSET('Bateria indicadores proceso'!$K$3,(RIGHT(A838,3)),1)</f>
        <v>Asistencias tecnicas evaluadas y resueltas satisfactoriamente</v>
      </c>
      <c r="D839" s="559"/>
      <c r="E839" s="559"/>
      <c r="F839" s="559"/>
      <c r="G839" s="559"/>
      <c r="H839" s="559"/>
      <c r="I839" s="559"/>
      <c r="J839" s="559"/>
      <c r="K839" s="559"/>
      <c r="L839" s="560"/>
    </row>
    <row r="840" spans="1:12">
      <c r="A840" s="101"/>
      <c r="B840" s="72" t="s">
        <v>100</v>
      </c>
      <c r="C840" s="559" t="str">
        <f ca="1">OFFSET('Bateria indicadores proceso'!$I$3,(RIGHT(A838,3)),1)</f>
        <v>Efectividad</v>
      </c>
      <c r="D840" s="559"/>
      <c r="E840" s="559"/>
      <c r="F840" s="559"/>
      <c r="G840" s="559"/>
      <c r="H840" s="559"/>
      <c r="I840" s="559"/>
      <c r="J840" s="559"/>
      <c r="K840" s="559"/>
      <c r="L840" s="560"/>
    </row>
    <row r="841" spans="1:12" ht="15.75" thickBot="1">
      <c r="A841" s="103"/>
      <c r="B841" s="73" t="s">
        <v>101</v>
      </c>
      <c r="C841" s="559" t="str">
        <f ca="1">OFFSET('Bateria indicadores proceso'!$J$3,(RIGHT(A838,3)),1)</f>
        <v>La Subdirección de Gobierno, Gestión Territorial y Lucha contra la Trata (SGT) realiza articulaciones y asistencias técnicas en el abordaje de la lucha contra el delito de trata de personas, garantizando la aplicabilidad de los protocolos  para identificar, proteger y asistir a las víctimas del delito de trata de personas. La orientación del indicador corresponde a un comportamiento de mantenimiento en el porcentaje (100%) de satisfacción y sirve para mostrar la calidad de las asistencias realizadas, este indicador puede mostrar oportunidades de mejora en la implementación de asistencias técnicas.</v>
      </c>
      <c r="D841" s="559"/>
      <c r="E841" s="559"/>
      <c r="F841" s="559"/>
      <c r="G841" s="559"/>
      <c r="H841" s="559"/>
      <c r="I841" s="559"/>
      <c r="J841" s="559"/>
      <c r="K841" s="559"/>
      <c r="L841" s="560"/>
    </row>
    <row r="842" spans="1:12" ht="16.5" thickBot="1">
      <c r="A842" s="103"/>
      <c r="B842" s="572" t="s">
        <v>102</v>
      </c>
      <c r="C842" s="573"/>
      <c r="D842" s="573"/>
      <c r="E842" s="573"/>
      <c r="F842" s="573"/>
      <c r="G842" s="573"/>
      <c r="H842" s="573"/>
      <c r="I842" s="573"/>
      <c r="J842" s="573"/>
      <c r="K842" s="573"/>
      <c r="L842" s="574"/>
    </row>
    <row r="843" spans="1:12">
      <c r="A843" s="101"/>
      <c r="B843" s="71" t="s">
        <v>103</v>
      </c>
      <c r="C843" s="559" t="str">
        <f ca="1">OFFSET('Bateria indicadores proceso'!$O$3,(RIGHT(A838,3)),1)</f>
        <v>Porcentaje</v>
      </c>
      <c r="D843" s="559"/>
      <c r="E843" s="559"/>
      <c r="F843" s="559"/>
      <c r="G843" s="559"/>
      <c r="H843" s="559"/>
      <c r="I843" s="559"/>
      <c r="J843" s="559"/>
      <c r="K843" s="559"/>
      <c r="L843" s="560"/>
    </row>
    <row r="844" spans="1:12" ht="24">
      <c r="A844" s="101"/>
      <c r="B844" s="72" t="s">
        <v>104</v>
      </c>
      <c r="C844" s="559"/>
      <c r="D844" s="559"/>
      <c r="E844" s="559"/>
      <c r="F844" s="559"/>
      <c r="G844" s="559"/>
      <c r="H844" s="559"/>
      <c r="I844" s="559"/>
      <c r="J844" s="559"/>
      <c r="K844" s="559"/>
      <c r="L844" s="560"/>
    </row>
    <row r="845" spans="1:12">
      <c r="A845" s="101"/>
      <c r="B845" s="72" t="s">
        <v>105</v>
      </c>
      <c r="C845" s="559" t="str">
        <f ca="1">OFFSET('Bateria indicadores proceso'!$L$3,(RIGHT(A838,3)),1)</f>
        <v>(Sumatoria de asistencias técnicas evaluadas y resueltas satisfactoriamente / total de asistencias tecnicas realizadas)*100</v>
      </c>
      <c r="D845" s="559"/>
      <c r="E845" s="559"/>
      <c r="F845" s="559"/>
      <c r="G845" s="559"/>
      <c r="H845" s="559"/>
      <c r="I845" s="559"/>
      <c r="J845" s="559"/>
      <c r="K845" s="559"/>
      <c r="L845" s="560"/>
    </row>
    <row r="846" spans="1:12">
      <c r="A846" s="101"/>
      <c r="B846" s="72" t="s">
        <v>106</v>
      </c>
      <c r="C846" s="559" t="str">
        <f ca="1">OFFSET('Bateria indicadores proceso'!$Z$3,(RIGHT(A838,3)),1)</f>
        <v>Trimestral</v>
      </c>
      <c r="D846" s="559"/>
      <c r="E846" s="559"/>
      <c r="F846" s="559"/>
      <c r="G846" s="559"/>
      <c r="H846" s="559"/>
      <c r="I846" s="559"/>
      <c r="J846" s="559"/>
      <c r="K846" s="559"/>
      <c r="L846" s="560"/>
    </row>
    <row r="847" spans="1:12">
      <c r="A847" s="101"/>
      <c r="B847" s="72" t="s">
        <v>107</v>
      </c>
      <c r="C847" s="559" t="str">
        <f ca="1">OFFSET('Bateria indicadores proceso'!$X$3,(RIGHT(A838,3)),1)</f>
        <v>Evaluaciones de las asistencias técnicas realizadas</v>
      </c>
      <c r="D847" s="559"/>
      <c r="E847" s="559"/>
      <c r="F847" s="559"/>
      <c r="G847" s="559"/>
      <c r="H847" s="559"/>
      <c r="I847" s="559"/>
      <c r="J847" s="559"/>
      <c r="K847" s="559"/>
      <c r="L847" s="560"/>
    </row>
    <row r="848" spans="1:12">
      <c r="A848" s="101"/>
      <c r="B848" s="72" t="s">
        <v>108</v>
      </c>
      <c r="C848" s="561">
        <f ca="1">OFFSET('Bateria indicadores proceso'!$P$3,(RIGHT(A838,3)),1)</f>
        <v>2024</v>
      </c>
      <c r="D848" s="561"/>
      <c r="E848" s="561"/>
      <c r="F848" s="561"/>
      <c r="G848" s="561"/>
      <c r="H848" s="561"/>
      <c r="I848" s="561"/>
      <c r="J848" s="561"/>
      <c r="K848" s="561"/>
      <c r="L848" s="566"/>
    </row>
    <row r="849" spans="1:12">
      <c r="A849" s="101"/>
      <c r="B849" s="72" t="s">
        <v>109</v>
      </c>
      <c r="C849" s="561" t="str">
        <f ca="1">IF(C843="Número",TEXT(OFFSET('Bateria indicadores proceso'!$Q$3,(RIGHT(A838,3)),1),"######"),TEXT(OFFSET('Bateria indicadores proceso'!$Q$3,(RIGHT(A838,3)),1),"0.0%"))</f>
        <v>100%</v>
      </c>
      <c r="D849" s="561"/>
      <c r="E849" s="561"/>
      <c r="F849" s="561"/>
      <c r="G849" s="561"/>
      <c r="H849" s="561"/>
      <c r="I849" s="561"/>
      <c r="J849" s="561"/>
      <c r="K849" s="561"/>
      <c r="L849" s="566"/>
    </row>
    <row r="850" spans="1:12">
      <c r="A850" s="101"/>
      <c r="B850" s="72" t="s">
        <v>110</v>
      </c>
      <c r="C850" s="593">
        <f ca="1">+OFFSET('Bateria indicadores proceso'!$R$3,(RIGHT(A838,3)),1)</f>
        <v>46022</v>
      </c>
      <c r="D850" s="593"/>
      <c r="E850" s="593"/>
      <c r="F850" s="593"/>
      <c r="G850" s="593"/>
      <c r="H850" s="593"/>
      <c r="I850" s="593"/>
      <c r="J850" s="593"/>
      <c r="K850" s="593"/>
      <c r="L850" s="594"/>
    </row>
    <row r="851" spans="1:12">
      <c r="A851" s="101"/>
      <c r="B851" s="72" t="s">
        <v>111</v>
      </c>
      <c r="C851" s="561" t="str">
        <f ca="1">OFFSET('Bateria indicadores proceso'!$M$3,(RIGHT(A838,3)),1)</f>
        <v>Mantener</v>
      </c>
      <c r="D851" s="561"/>
      <c r="E851" s="561"/>
      <c r="F851" s="561"/>
      <c r="G851" s="561"/>
      <c r="H851" s="561"/>
      <c r="I851" s="561"/>
      <c r="J851" s="561"/>
      <c r="K851" s="561"/>
      <c r="L851" s="566"/>
    </row>
    <row r="852" spans="1:12">
      <c r="A852" s="101"/>
      <c r="B852" s="72" t="s">
        <v>112</v>
      </c>
      <c r="C852" s="561" t="str">
        <f ca="1">OFFSET('Bateria indicadores proceso'!$N$3,(RIGHT(A838,3)),1)</f>
        <v>Stock</v>
      </c>
      <c r="D852" s="561"/>
      <c r="E852" s="561"/>
      <c r="F852" s="561"/>
      <c r="G852" s="561"/>
      <c r="H852" s="561"/>
      <c r="I852" s="561"/>
      <c r="J852" s="561"/>
      <c r="K852" s="561"/>
      <c r="L852" s="566"/>
    </row>
    <row r="853" spans="1:12">
      <c r="A853" s="101"/>
      <c r="B853" s="72" t="s">
        <v>113</v>
      </c>
      <c r="C853" s="561" t="str">
        <f ca="1">IF(C843="Número",TEXT(OFFSET('Bateria indicadores proceso'!$W$3,(RIGHT(A838,3)),1),"######"),TEXT(OFFSET('Bateria indicadores proceso'!$W$3,(RIGHT(A838,3)),1),"0.0%"))</f>
        <v>100%</v>
      </c>
      <c r="D853" s="561"/>
      <c r="E853" s="561"/>
      <c r="F853" s="561"/>
      <c r="G853" s="561"/>
      <c r="H853" s="561"/>
      <c r="I853" s="561"/>
      <c r="J853" s="561"/>
      <c r="K853" s="561"/>
      <c r="L853" s="566"/>
    </row>
    <row r="854" spans="1:12">
      <c r="A854" s="101"/>
      <c r="B854" s="595" t="s">
        <v>114</v>
      </c>
      <c r="C854" s="70" t="s">
        <v>115</v>
      </c>
      <c r="D854" s="70" t="s">
        <v>116</v>
      </c>
      <c r="E854" s="70" t="s">
        <v>117</v>
      </c>
      <c r="F854" s="70" t="s">
        <v>118</v>
      </c>
      <c r="J854" s="75"/>
      <c r="K854" s="75"/>
      <c r="L854" s="76"/>
    </row>
    <row r="855" spans="1:12">
      <c r="A855" s="101"/>
      <c r="B855" s="595"/>
      <c r="C855" s="70" t="str">
        <f ca="1">IF(C843="Número",TEXT(OFFSET('Bateria indicadores proceso'!$S$3,(RIGHT(A838,3)),1),"######"),TEXT(OFFSET('Bateria indicadores proceso'!$S$3,(RIGHT(A838,3)),1),"0.0%"))</f>
        <v>100%</v>
      </c>
      <c r="D855" s="70" t="str">
        <f ca="1">IF(C843="Número",TEXT(OFFSET('Bateria indicadores proceso'!$T$3,(RIGHT(A838,3)),1),"######"),TEXT(OFFSET('Bateria indicadores proceso'!$T$3,(RIGHT(A838,3)),1),"0.0%"))</f>
        <v>100%</v>
      </c>
      <c r="E855" s="70" t="str">
        <f ca="1">IF(C843="Número",TEXT(OFFSET('Bateria indicadores proceso'!$U$3,(RIGHT(A838,3)),1),"######"),TEXT(OFFSET('Bateria indicadores proceso'!$U$3,(RIGHT(A838,3)),1),"0.0%"))</f>
        <v>100%</v>
      </c>
      <c r="F855" s="70" t="str">
        <f ca="1">IF(C843="Número",TEXT(OFFSET('Bateria indicadores proceso'!$V$3,(RIGHT(A838,3)),1),"######"),TEXT(OFFSET('Bateria indicadores proceso'!$V$3,(RIGHT(A838,3)),1),"0.0%"))</f>
        <v>100%</v>
      </c>
      <c r="J855" s="77"/>
      <c r="K855" s="77"/>
      <c r="L855" s="78"/>
    </row>
    <row r="856" spans="1:12">
      <c r="A856" s="101"/>
      <c r="B856" s="600" t="s">
        <v>119</v>
      </c>
      <c r="C856" s="567" t="s">
        <v>120</v>
      </c>
      <c r="D856" s="568"/>
      <c r="E856" s="567" t="s">
        <v>121</v>
      </c>
      <c r="F856" s="568"/>
      <c r="G856" s="567" t="s">
        <v>122</v>
      </c>
      <c r="H856" s="568"/>
      <c r="I856" s="567" t="s">
        <v>123</v>
      </c>
      <c r="J856" s="568"/>
      <c r="K856" s="567" t="s">
        <v>124</v>
      </c>
      <c r="L856" s="569"/>
    </row>
    <row r="857" spans="1:12">
      <c r="A857" s="101"/>
      <c r="B857" s="601"/>
      <c r="C857" s="570" t="s">
        <v>125</v>
      </c>
      <c r="D857" s="571"/>
      <c r="E857" s="577" t="s">
        <v>126</v>
      </c>
      <c r="F857" s="578"/>
      <c r="G857" s="579" t="s">
        <v>127</v>
      </c>
      <c r="H857" s="580"/>
      <c r="I857" s="581" t="s">
        <v>128</v>
      </c>
      <c r="J857" s="582"/>
      <c r="K857" s="583" t="s">
        <v>129</v>
      </c>
      <c r="L857" s="584"/>
    </row>
    <row r="858" spans="1:12">
      <c r="A858" s="101"/>
      <c r="B858" s="602"/>
      <c r="C858" s="567" t="s">
        <v>130</v>
      </c>
      <c r="D858" s="568"/>
      <c r="E858" s="567" t="s">
        <v>131</v>
      </c>
      <c r="F858" s="568"/>
      <c r="G858" s="585" t="s">
        <v>132</v>
      </c>
      <c r="H858" s="568"/>
      <c r="I858" s="567" t="s">
        <v>133</v>
      </c>
      <c r="J858" s="568"/>
      <c r="K858" s="567" t="s">
        <v>134</v>
      </c>
      <c r="L858" s="569"/>
    </row>
    <row r="859" spans="1:12">
      <c r="A859" s="101"/>
      <c r="B859" s="72" t="s">
        <v>135</v>
      </c>
      <c r="C859" s="559" t="str">
        <f ca="1">OFFSET('Bateria indicadores proceso'!$Y$3,(RIGHT(A838,3)),1)</f>
        <v>Evaluaciones de las asistencias técnicas realizadas</v>
      </c>
      <c r="D859" s="559"/>
      <c r="E859" s="559"/>
      <c r="F859" s="559"/>
      <c r="G859" s="559"/>
      <c r="H859" s="559"/>
      <c r="I859" s="559"/>
      <c r="J859" s="559"/>
      <c r="K859" s="559"/>
      <c r="L859" s="560"/>
    </row>
    <row r="860" spans="1:12">
      <c r="A860" s="101"/>
      <c r="B860" s="591" t="s">
        <v>136</v>
      </c>
      <c r="C860" s="561" t="s">
        <v>137</v>
      </c>
      <c r="D860" s="561"/>
      <c r="E860" s="561"/>
      <c r="F860" s="562" t="str">
        <f ca="1">OFFSET('Bateria indicadores proceso'!$B$3,(RIGHT(A838,3)),1)</f>
        <v>GESTIÓN POLÍTICA Y GOBIERNO</v>
      </c>
      <c r="G860" s="562"/>
      <c r="H860" s="562"/>
      <c r="I860" s="562"/>
      <c r="J860" s="562"/>
      <c r="K860" s="562"/>
      <c r="L860" s="563"/>
    </row>
    <row r="861" spans="1:12">
      <c r="A861" s="101"/>
      <c r="B861" s="592"/>
      <c r="C861" s="561" t="s">
        <v>138</v>
      </c>
      <c r="D861" s="561"/>
      <c r="E861" s="561"/>
      <c r="F861" s="564">
        <f ca="1">OFFSET('Bateria indicadores proceso'!$C$3,(RIGHT(A838,3)),1)</f>
        <v>0.33</v>
      </c>
      <c r="G861" s="564"/>
      <c r="H861" s="564"/>
      <c r="I861" s="564"/>
      <c r="J861" s="564"/>
      <c r="K861" s="564"/>
      <c r="L861" s="565"/>
    </row>
    <row r="862" spans="1:12" ht="15.75" thickBot="1">
      <c r="A862" s="101"/>
      <c r="B862" s="592"/>
      <c r="C862" s="561" t="s">
        <v>139</v>
      </c>
      <c r="D862" s="561"/>
      <c r="E862" s="561"/>
      <c r="F862" s="564">
        <f ca="1">OFFSET('Bateria indicadores proceso'!$E$3,(RIGHT(A838,3)),1)</f>
        <v>0.11</v>
      </c>
      <c r="G862" s="564"/>
      <c r="H862" s="564"/>
      <c r="I862" s="564"/>
      <c r="J862" s="564"/>
      <c r="K862" s="564"/>
      <c r="L862" s="565"/>
    </row>
    <row r="863" spans="1:12" ht="16.5" thickBot="1">
      <c r="A863" s="101"/>
      <c r="B863" s="572" t="s">
        <v>140</v>
      </c>
      <c r="C863" s="573"/>
      <c r="D863" s="573"/>
      <c r="E863" s="573"/>
      <c r="F863" s="573"/>
      <c r="G863" s="573"/>
      <c r="H863" s="573"/>
      <c r="I863" s="573"/>
      <c r="J863" s="573"/>
      <c r="K863" s="573"/>
      <c r="L863" s="574"/>
    </row>
    <row r="864" spans="1:12">
      <c r="A864" s="101"/>
      <c r="B864" s="72" t="s">
        <v>142</v>
      </c>
      <c r="C864" s="561" t="str">
        <f ca="1">OFFSET('Bateria indicadores proceso'!$G$3,(RIGHT(A838,3)),1)</f>
        <v xml:space="preserve">Subdirector </v>
      </c>
      <c r="D864" s="561"/>
      <c r="E864" s="561"/>
      <c r="F864" s="561"/>
      <c r="G864" s="561"/>
      <c r="H864" s="561"/>
      <c r="I864" s="561"/>
      <c r="J864" s="561"/>
      <c r="K864" s="561"/>
      <c r="L864" s="566"/>
    </row>
    <row r="865" spans="1:12">
      <c r="A865" s="101"/>
      <c r="B865" s="72" t="s">
        <v>143</v>
      </c>
      <c r="C865" s="561" t="str">
        <f ca="1">OFFSET('Bateria indicadores proceso'!$F$3,(RIGHT(A838,3)),1)</f>
        <v>Subdirección de Gobierno, Gestión Territorial y Lucha contra la Trata</v>
      </c>
      <c r="D865" s="561"/>
      <c r="E865" s="561"/>
      <c r="F865" s="561"/>
      <c r="G865" s="561"/>
      <c r="H865" s="561"/>
      <c r="I865" s="561"/>
      <c r="J865" s="561"/>
      <c r="K865" s="561"/>
      <c r="L865" s="566"/>
    </row>
    <row r="866" spans="1:12">
      <c r="A866" s="101"/>
      <c r="B866" s="72" t="s">
        <v>144</v>
      </c>
      <c r="C866" s="598" t="str">
        <f ca="1">OFFSET('Bateria indicadores proceso'!$H$3,(RIGHT(A802,3)),1)</f>
        <v>angelica.palacios@mininterior.gov.co</v>
      </c>
      <c r="D866" s="598"/>
      <c r="E866" s="598"/>
      <c r="F866" s="598"/>
      <c r="G866" s="598"/>
      <c r="H866" s="598"/>
      <c r="I866" s="598"/>
      <c r="J866" s="598"/>
      <c r="K866" s="598"/>
      <c r="L866" s="599"/>
    </row>
    <row r="867" spans="1:12" ht="15.75" thickBot="1">
      <c r="A867" s="104"/>
      <c r="B867" s="74" t="s">
        <v>145</v>
      </c>
      <c r="C867" s="596" t="s">
        <v>146</v>
      </c>
      <c r="D867" s="596"/>
      <c r="E867" s="596"/>
      <c r="F867" s="596"/>
      <c r="G867" s="596"/>
      <c r="H867" s="596"/>
      <c r="I867" s="596"/>
      <c r="J867" s="596"/>
      <c r="K867" s="596"/>
      <c r="L867" s="597"/>
    </row>
    <row r="868" spans="1:12" ht="15.75" thickBot="1"/>
    <row r="869" spans="1:12" ht="21.75" thickBot="1">
      <c r="A869" s="586" t="s">
        <v>89</v>
      </c>
      <c r="B869" s="587"/>
      <c r="C869" s="587"/>
      <c r="D869" s="587"/>
      <c r="E869" s="587"/>
      <c r="F869" s="587"/>
      <c r="G869" s="587"/>
      <c r="H869" s="587"/>
      <c r="I869" s="587"/>
      <c r="J869" s="587"/>
      <c r="K869" s="587"/>
      <c r="L869" s="588"/>
    </row>
    <row r="870" spans="1:12" ht="32.25" thickBot="1">
      <c r="A870" s="69" t="s">
        <v>90</v>
      </c>
      <c r="B870" s="589" t="s">
        <v>91</v>
      </c>
      <c r="C870" s="589"/>
      <c r="D870" s="589"/>
      <c r="E870" s="589"/>
      <c r="F870" s="589"/>
      <c r="G870" s="589"/>
      <c r="H870" s="589"/>
      <c r="I870" s="589"/>
      <c r="J870" s="589"/>
      <c r="K870" s="589"/>
      <c r="L870" s="589"/>
    </row>
    <row r="871" spans="1:12" ht="16.5" thickBot="1">
      <c r="A871" s="100"/>
      <c r="B871" s="71" t="s">
        <v>92</v>
      </c>
      <c r="C871" s="575" t="s">
        <v>93</v>
      </c>
      <c r="D871" s="575"/>
      <c r="E871" s="575"/>
      <c r="F871" s="575"/>
      <c r="G871" s="575"/>
      <c r="H871" s="575"/>
      <c r="I871" s="575"/>
      <c r="J871" s="575"/>
      <c r="K871" s="575"/>
      <c r="L871" s="576"/>
    </row>
    <row r="872" spans="1:12" ht="16.5" thickBot="1">
      <c r="A872" s="101"/>
      <c r="B872" s="589" t="s">
        <v>94</v>
      </c>
      <c r="C872" s="590"/>
      <c r="D872" s="590"/>
      <c r="E872" s="590"/>
      <c r="F872" s="590"/>
      <c r="G872" s="590"/>
      <c r="H872" s="590"/>
      <c r="I872" s="590"/>
      <c r="J872" s="590"/>
      <c r="K872" s="590"/>
      <c r="L872" s="590"/>
    </row>
    <row r="873" spans="1:12">
      <c r="A873" s="101"/>
      <c r="B873" s="71" t="s">
        <v>95</v>
      </c>
      <c r="C873" s="559" t="s">
        <v>96</v>
      </c>
      <c r="D873" s="559"/>
      <c r="E873" s="559"/>
      <c r="F873" s="559"/>
      <c r="G873" s="559"/>
      <c r="H873" s="559"/>
      <c r="I873" s="559"/>
      <c r="J873" s="559"/>
      <c r="K873" s="559"/>
      <c r="L873" s="560"/>
    </row>
    <row r="874" spans="1:12">
      <c r="A874" s="102" t="s">
        <v>170</v>
      </c>
      <c r="B874" s="72" t="s">
        <v>98</v>
      </c>
      <c r="C874" s="559" t="str">
        <f ca="1">OFFSET('Bateria indicadores proceso'!$F$3,(RIGHT(A874,3)),1)</f>
        <v>Dirección para la Democracia, la Participación Ciudadana y la Acción Comunal</v>
      </c>
      <c r="D874" s="559"/>
      <c r="E874" s="559"/>
      <c r="F874" s="559"/>
      <c r="G874" s="559"/>
      <c r="H874" s="559"/>
      <c r="I874" s="559"/>
      <c r="J874" s="559"/>
      <c r="K874" s="559"/>
      <c r="L874" s="560"/>
    </row>
    <row r="875" spans="1:12">
      <c r="A875" s="101"/>
      <c r="B875" s="72" t="s">
        <v>99</v>
      </c>
      <c r="C875" s="559" t="str">
        <f ca="1">OFFSET('Bateria indicadores proceso'!$K$3,(RIGHT(A874,3)),1)</f>
        <v>Visitas de asistencia técnica y jurídica a entidades de segundo nivel realizadas</v>
      </c>
      <c r="D875" s="559"/>
      <c r="E875" s="559"/>
      <c r="F875" s="559"/>
      <c r="G875" s="559"/>
      <c r="H875" s="559"/>
      <c r="I875" s="559"/>
      <c r="J875" s="559"/>
      <c r="K875" s="559"/>
      <c r="L875" s="560"/>
    </row>
    <row r="876" spans="1:12">
      <c r="A876" s="101"/>
      <c r="B876" s="72" t="s">
        <v>100</v>
      </c>
      <c r="C876" s="559" t="str">
        <f ca="1">OFFSET('Bateria indicadores proceso'!$I$3,(RIGHT(A874,3)),1)</f>
        <v>Eficacia</v>
      </c>
      <c r="D876" s="559"/>
      <c r="E876" s="559"/>
      <c r="F876" s="559"/>
      <c r="G876" s="559"/>
      <c r="H876" s="559"/>
      <c r="I876" s="559"/>
      <c r="J876" s="559"/>
      <c r="K876" s="559"/>
      <c r="L876" s="560"/>
    </row>
    <row r="877" spans="1:12" ht="15.75" thickBot="1">
      <c r="A877" s="103"/>
      <c r="B877" s="73" t="s">
        <v>101</v>
      </c>
      <c r="C877" s="559" t="str">
        <f ca="1">OFFSET('Bateria indicadores proceso'!$J$3,(RIGHT(A874,3)),1)</f>
        <v xml:space="preserve">Realizar visitas de asistencia técnica y jurídica a las entidades de segundo nivel (Gobernaciones y Alcaldías delegadas) de conformidad con el Art. 74 y 75 de la Ley 2166 de 2021. Lo anterior, en cumplimiento de las competencias que la Ley otorga a la Dirección para la Democracia, la participación ciudadana y la acción comunal en el Capítulo XII de la mencionada Ley, para ejercer inspección, vigilancia y control). 									</v>
      </c>
      <c r="D877" s="559"/>
      <c r="E877" s="559"/>
      <c r="F877" s="559"/>
      <c r="G877" s="559"/>
      <c r="H877" s="559"/>
      <c r="I877" s="559"/>
      <c r="J877" s="559"/>
      <c r="K877" s="559"/>
      <c r="L877" s="560"/>
    </row>
    <row r="878" spans="1:12" ht="16.5" thickBot="1">
      <c r="A878" s="103"/>
      <c r="B878" s="572" t="s">
        <v>102</v>
      </c>
      <c r="C878" s="573"/>
      <c r="D878" s="573"/>
      <c r="E878" s="573"/>
      <c r="F878" s="573"/>
      <c r="G878" s="573"/>
      <c r="H878" s="573"/>
      <c r="I878" s="573"/>
      <c r="J878" s="573"/>
      <c r="K878" s="573"/>
      <c r="L878" s="574"/>
    </row>
    <row r="879" spans="1:12">
      <c r="A879" s="101"/>
      <c r="B879" s="71" t="s">
        <v>103</v>
      </c>
      <c r="C879" s="559" t="str">
        <f ca="1">OFFSET('Bateria indicadores proceso'!$O$3,(RIGHT(A874,3)),1)</f>
        <v>Número</v>
      </c>
      <c r="D879" s="559"/>
      <c r="E879" s="559"/>
      <c r="F879" s="559"/>
      <c r="G879" s="559"/>
      <c r="H879" s="559"/>
      <c r="I879" s="559"/>
      <c r="J879" s="559"/>
      <c r="K879" s="559"/>
      <c r="L879" s="560"/>
    </row>
    <row r="880" spans="1:12" ht="24">
      <c r="A880" s="101"/>
      <c r="B880" s="72" t="s">
        <v>104</v>
      </c>
      <c r="C880" s="559"/>
      <c r="D880" s="559"/>
      <c r="E880" s="559"/>
      <c r="F880" s="559"/>
      <c r="G880" s="559"/>
      <c r="H880" s="559"/>
      <c r="I880" s="559"/>
      <c r="J880" s="559"/>
      <c r="K880" s="559"/>
      <c r="L880" s="560"/>
    </row>
    <row r="881" spans="1:12">
      <c r="A881" s="101"/>
      <c r="B881" s="72" t="s">
        <v>105</v>
      </c>
      <c r="C881" s="559" t="str">
        <f ca="1">OFFSET('Bateria indicadores proceso'!$L$3,(RIGHT(A874,3)),1)</f>
        <v>Sumatoria de número de visitas de asistencia técnica y jurídica a entidades de segundo nivel realizadas</v>
      </c>
      <c r="D881" s="559"/>
      <c r="E881" s="559"/>
      <c r="F881" s="559"/>
      <c r="G881" s="559"/>
      <c r="H881" s="559"/>
      <c r="I881" s="559"/>
      <c r="J881" s="559"/>
      <c r="K881" s="559"/>
      <c r="L881" s="560"/>
    </row>
    <row r="882" spans="1:12">
      <c r="A882" s="101"/>
      <c r="B882" s="72" t="s">
        <v>106</v>
      </c>
      <c r="C882" s="559" t="str">
        <f ca="1">OFFSET('Bateria indicadores proceso'!$Z$3,(RIGHT(A874,3)),1)</f>
        <v>Trimestral</v>
      </c>
      <c r="D882" s="559"/>
      <c r="E882" s="559"/>
      <c r="F882" s="559"/>
      <c r="G882" s="559"/>
      <c r="H882" s="559"/>
      <c r="I882" s="559"/>
      <c r="J882" s="559"/>
      <c r="K882" s="559"/>
      <c r="L882" s="560"/>
    </row>
    <row r="883" spans="1:12">
      <c r="A883" s="101"/>
      <c r="B883" s="72" t="s">
        <v>107</v>
      </c>
      <c r="C883" s="559" t="str">
        <f ca="1">OFFSET('Bateria indicadores proceso'!$X$3,(RIGHT(A874,3)),1)</f>
        <v>Actas de las visitas de asistencia técnica y jurídica realizadas por el equipo y reportadas por el enlace del Grupo de Acción Comunal durante el trimestre.</v>
      </c>
      <c r="D883" s="559"/>
      <c r="E883" s="559"/>
      <c r="F883" s="559"/>
      <c r="G883" s="559"/>
      <c r="H883" s="559"/>
      <c r="I883" s="559"/>
      <c r="J883" s="559"/>
      <c r="K883" s="559"/>
      <c r="L883" s="560"/>
    </row>
    <row r="884" spans="1:12">
      <c r="A884" s="101"/>
      <c r="B884" s="72" t="s">
        <v>108</v>
      </c>
      <c r="C884" s="561">
        <f ca="1">OFFSET('Bateria indicadores proceso'!$P$3,(RIGHT(A874,3)),1)</f>
        <v>2024</v>
      </c>
      <c r="D884" s="561"/>
      <c r="E884" s="561"/>
      <c r="F884" s="561"/>
      <c r="G884" s="561"/>
      <c r="H884" s="561"/>
      <c r="I884" s="561"/>
      <c r="J884" s="561"/>
      <c r="K884" s="561"/>
      <c r="L884" s="566"/>
    </row>
    <row r="885" spans="1:12">
      <c r="A885" s="101"/>
      <c r="B885" s="72" t="s">
        <v>109</v>
      </c>
      <c r="C885" s="561" t="str">
        <f ca="1">IF(C879="Número",TEXT(OFFSET('Bateria indicadores proceso'!$Q$3,(RIGHT(A874,3)),1),"######"),TEXT(OFFSET('Bateria indicadores proceso'!$Q$3,(RIGHT(A874,3)),1),"0.0%"))</f>
        <v>114</v>
      </c>
      <c r="D885" s="561"/>
      <c r="E885" s="561"/>
      <c r="F885" s="561"/>
      <c r="G885" s="561"/>
      <c r="H885" s="561"/>
      <c r="I885" s="561"/>
      <c r="J885" s="561"/>
      <c r="K885" s="561"/>
      <c r="L885" s="566"/>
    </row>
    <row r="886" spans="1:12">
      <c r="A886" s="101"/>
      <c r="B886" s="72" t="s">
        <v>110</v>
      </c>
      <c r="C886" s="593">
        <f ca="1">+OFFSET('Bateria indicadores proceso'!$R$3,(RIGHT(A874,3)),1)</f>
        <v>46022</v>
      </c>
      <c r="D886" s="593"/>
      <c r="E886" s="593"/>
      <c r="F886" s="593"/>
      <c r="G886" s="593"/>
      <c r="H886" s="593"/>
      <c r="I886" s="593"/>
      <c r="J886" s="593"/>
      <c r="K886" s="593"/>
      <c r="L886" s="594"/>
    </row>
    <row r="887" spans="1:12">
      <c r="A887" s="101"/>
      <c r="B887" s="72" t="s">
        <v>111</v>
      </c>
      <c r="C887" s="561" t="str">
        <f ca="1">OFFSET('Bateria indicadores proceso'!$M$3,(RIGHT(A874,3)),1)</f>
        <v>Mantener</v>
      </c>
      <c r="D887" s="561"/>
      <c r="E887" s="561"/>
      <c r="F887" s="561"/>
      <c r="G887" s="561"/>
      <c r="H887" s="561"/>
      <c r="I887" s="561"/>
      <c r="J887" s="561"/>
      <c r="K887" s="561"/>
      <c r="L887" s="566"/>
    </row>
    <row r="888" spans="1:12">
      <c r="A888" s="101"/>
      <c r="B888" s="72" t="s">
        <v>112</v>
      </c>
      <c r="C888" s="561" t="str">
        <f ca="1">OFFSET('Bateria indicadores proceso'!$N$3,(RIGHT(A874,3)),1)</f>
        <v>Acumulado</v>
      </c>
      <c r="D888" s="561"/>
      <c r="E888" s="561"/>
      <c r="F888" s="561"/>
      <c r="G888" s="561"/>
      <c r="H888" s="561"/>
      <c r="I888" s="561"/>
      <c r="J888" s="561"/>
      <c r="K888" s="561"/>
      <c r="L888" s="566"/>
    </row>
    <row r="889" spans="1:12">
      <c r="A889" s="101"/>
      <c r="B889" s="72" t="s">
        <v>113</v>
      </c>
      <c r="C889" s="561" t="str">
        <f ca="1">IF(C879="Número",TEXT(OFFSET('Bateria indicadores proceso'!$W$3,(RIGHT(A874,3)),1),"######"),TEXT(OFFSET('Bateria indicadores proceso'!$W$3,(RIGHT(A874,3)),1),"0.0%"))</f>
        <v>120</v>
      </c>
      <c r="D889" s="561"/>
      <c r="E889" s="561"/>
      <c r="F889" s="561"/>
      <c r="G889" s="561"/>
      <c r="H889" s="561"/>
      <c r="I889" s="561"/>
      <c r="J889" s="561"/>
      <c r="K889" s="561"/>
      <c r="L889" s="566"/>
    </row>
    <row r="890" spans="1:12">
      <c r="A890" s="101"/>
      <c r="B890" s="595" t="s">
        <v>114</v>
      </c>
      <c r="C890" s="70" t="s">
        <v>115</v>
      </c>
      <c r="D890" s="70" t="s">
        <v>116</v>
      </c>
      <c r="E890" s="70" t="s">
        <v>117</v>
      </c>
      <c r="F890" s="70" t="s">
        <v>118</v>
      </c>
      <c r="J890" s="75"/>
      <c r="K890" s="75"/>
      <c r="L890" s="76"/>
    </row>
    <row r="891" spans="1:12">
      <c r="A891" s="101"/>
      <c r="B891" s="595"/>
      <c r="C891" s="70" t="str">
        <f ca="1">IF(C879="Número",TEXT(OFFSET('Bateria indicadores proceso'!$S$3,(RIGHT(A874,3)),1),"######"),TEXT(OFFSET('Bateria indicadores proceso'!$S$3,(RIGHT(A874,3)),1),"0.0%"))</f>
        <v>20</v>
      </c>
      <c r="D891" s="70" t="str">
        <f ca="1">IF(C879="Número",TEXT(OFFSET('Bateria indicadores proceso'!$T$3,(RIGHT(A874,3)),1),"######"),TEXT(OFFSET('Bateria indicadores proceso'!$T$3,(RIGHT(A874,3)),1),"0.0%"))</f>
        <v>40</v>
      </c>
      <c r="E891" s="70" t="str">
        <f ca="1">IF(C879="Número",TEXT(OFFSET('Bateria indicadores proceso'!$U$3,(RIGHT(A874,3)),1),"######"),TEXT(OFFSET('Bateria indicadores proceso'!$U$3,(RIGHT(A874,3)),1),"0.0%"))</f>
        <v>40</v>
      </c>
      <c r="F891" s="70" t="str">
        <f ca="1">IF(C879="Número",TEXT(OFFSET('Bateria indicadores proceso'!$V$3,(RIGHT(A874,3)),1),"######"),TEXT(OFFSET('Bateria indicadores proceso'!$V$3,(RIGHT(A874,3)),1),"0.0%"))</f>
        <v>20</v>
      </c>
      <c r="J891" s="77"/>
      <c r="K891" s="77"/>
      <c r="L891" s="78"/>
    </row>
    <row r="892" spans="1:12">
      <c r="A892" s="101"/>
      <c r="B892" s="600" t="s">
        <v>119</v>
      </c>
      <c r="C892" s="567" t="s">
        <v>120</v>
      </c>
      <c r="D892" s="568"/>
      <c r="E892" s="567" t="s">
        <v>121</v>
      </c>
      <c r="F892" s="568"/>
      <c r="G892" s="567" t="s">
        <v>122</v>
      </c>
      <c r="H892" s="568"/>
      <c r="I892" s="567" t="s">
        <v>123</v>
      </c>
      <c r="J892" s="568"/>
      <c r="K892" s="567" t="s">
        <v>124</v>
      </c>
      <c r="L892" s="569"/>
    </row>
    <row r="893" spans="1:12">
      <c r="A893" s="101"/>
      <c r="B893" s="601"/>
      <c r="C893" s="570" t="s">
        <v>125</v>
      </c>
      <c r="D893" s="571"/>
      <c r="E893" s="577" t="s">
        <v>126</v>
      </c>
      <c r="F893" s="578"/>
      <c r="G893" s="579" t="s">
        <v>127</v>
      </c>
      <c r="H893" s="580"/>
      <c r="I893" s="581" t="s">
        <v>128</v>
      </c>
      <c r="J893" s="582"/>
      <c r="K893" s="583" t="s">
        <v>129</v>
      </c>
      <c r="L893" s="584"/>
    </row>
    <row r="894" spans="1:12">
      <c r="A894" s="101"/>
      <c r="B894" s="602"/>
      <c r="C894" s="567" t="s">
        <v>130</v>
      </c>
      <c r="D894" s="568"/>
      <c r="E894" s="567" t="s">
        <v>131</v>
      </c>
      <c r="F894" s="568"/>
      <c r="G894" s="585" t="s">
        <v>132</v>
      </c>
      <c r="H894" s="568"/>
      <c r="I894" s="567" t="s">
        <v>133</v>
      </c>
      <c r="J894" s="568"/>
      <c r="K894" s="567" t="s">
        <v>134</v>
      </c>
      <c r="L894" s="569"/>
    </row>
    <row r="895" spans="1:12">
      <c r="A895" s="101"/>
      <c r="B895" s="72" t="s">
        <v>135</v>
      </c>
      <c r="C895" s="559" t="str">
        <f ca="1">OFFSET('Bateria indicadores proceso'!$Y$3,(RIGHT(A874,3)),1)</f>
        <v>Actas o informes de visitas</v>
      </c>
      <c r="D895" s="559"/>
      <c r="E895" s="559"/>
      <c r="F895" s="559"/>
      <c r="G895" s="559"/>
      <c r="H895" s="559"/>
      <c r="I895" s="559"/>
      <c r="J895" s="559"/>
      <c r="K895" s="559"/>
      <c r="L895" s="560"/>
    </row>
    <row r="896" spans="1:12">
      <c r="A896" s="101"/>
      <c r="B896" s="591" t="s">
        <v>136</v>
      </c>
      <c r="C896" s="561" t="s">
        <v>137</v>
      </c>
      <c r="D896" s="561"/>
      <c r="E896" s="561"/>
      <c r="F896" s="562" t="str">
        <f ca="1">OFFSET('Bateria indicadores proceso'!$B$3,(RIGHT(A874,3)),1)</f>
        <v>GESTIÓN POLÍTICA Y GOBIERNO</v>
      </c>
      <c r="G896" s="562"/>
      <c r="H896" s="562"/>
      <c r="I896" s="562"/>
      <c r="J896" s="562"/>
      <c r="K896" s="562"/>
      <c r="L896" s="563"/>
    </row>
    <row r="897" spans="1:12">
      <c r="A897" s="101"/>
      <c r="B897" s="592"/>
      <c r="C897" s="561" t="s">
        <v>138</v>
      </c>
      <c r="D897" s="561"/>
      <c r="E897" s="561"/>
      <c r="F897" s="564">
        <f ca="1">OFFSET('Bateria indicadores proceso'!$C$3,(RIGHT(A874,3)),1)</f>
        <v>0.33</v>
      </c>
      <c r="G897" s="564"/>
      <c r="H897" s="564"/>
      <c r="I897" s="564"/>
      <c r="J897" s="564"/>
      <c r="K897" s="564"/>
      <c r="L897" s="565"/>
    </row>
    <row r="898" spans="1:12" ht="15.75" thickBot="1">
      <c r="A898" s="101"/>
      <c r="B898" s="592"/>
      <c r="C898" s="561" t="s">
        <v>139</v>
      </c>
      <c r="D898" s="561"/>
      <c r="E898" s="561"/>
      <c r="F898" s="564">
        <f ca="1">OFFSET('Bateria indicadores proceso'!$E$3,(RIGHT(A874,3)),1)</f>
        <v>0.11</v>
      </c>
      <c r="G898" s="564"/>
      <c r="H898" s="564"/>
      <c r="I898" s="564"/>
      <c r="J898" s="564"/>
      <c r="K898" s="564"/>
      <c r="L898" s="565"/>
    </row>
    <row r="899" spans="1:12" ht="16.5" thickBot="1">
      <c r="A899" s="101"/>
      <c r="B899" s="572" t="s">
        <v>140</v>
      </c>
      <c r="C899" s="573"/>
      <c r="D899" s="573"/>
      <c r="E899" s="573"/>
      <c r="F899" s="573"/>
      <c r="G899" s="573"/>
      <c r="H899" s="573"/>
      <c r="I899" s="573"/>
      <c r="J899" s="573"/>
      <c r="K899" s="573"/>
      <c r="L899" s="574"/>
    </row>
    <row r="900" spans="1:12">
      <c r="A900" s="101"/>
      <c r="B900" s="72" t="s">
        <v>142</v>
      </c>
      <c r="C900" s="561" t="str">
        <f ca="1">OFFSET('Bateria indicadores proceso'!$G$3,(RIGHT(A874,3)),1)</f>
        <v>Director</v>
      </c>
      <c r="D900" s="561"/>
      <c r="E900" s="561"/>
      <c r="F900" s="561"/>
      <c r="G900" s="561"/>
      <c r="H900" s="561"/>
      <c r="I900" s="561"/>
      <c r="J900" s="561"/>
      <c r="K900" s="561"/>
      <c r="L900" s="566"/>
    </row>
    <row r="901" spans="1:12">
      <c r="A901" s="101"/>
      <c r="B901" s="72" t="s">
        <v>143</v>
      </c>
      <c r="C901" s="561" t="str">
        <f ca="1">OFFSET('Bateria indicadores proceso'!$F$3,(RIGHT(A874,3)),1)</f>
        <v>Dirección para la Democracia, la Participación Ciudadana y la Acción Comunal</v>
      </c>
      <c r="D901" s="561"/>
      <c r="E901" s="561"/>
      <c r="F901" s="561"/>
      <c r="G901" s="561"/>
      <c r="H901" s="561"/>
      <c r="I901" s="561"/>
      <c r="J901" s="561"/>
      <c r="K901" s="561"/>
      <c r="L901" s="566"/>
    </row>
    <row r="902" spans="1:12">
      <c r="A902" s="101"/>
      <c r="B902" s="72" t="s">
        <v>144</v>
      </c>
      <c r="C902" s="598" t="str">
        <f ca="1">OFFSET('Bateria indicadores proceso'!$H$3,(RIGHT(A874,3)),1)</f>
        <v xml:space="preserve">paula.sierra@mininterior.gov.co									</v>
      </c>
      <c r="D902" s="598"/>
      <c r="E902" s="598"/>
      <c r="F902" s="598"/>
      <c r="G902" s="598"/>
      <c r="H902" s="598"/>
      <c r="I902" s="598"/>
      <c r="J902" s="598"/>
      <c r="K902" s="598"/>
      <c r="L902" s="599"/>
    </row>
    <row r="903" spans="1:12" ht="15.75" thickBot="1">
      <c r="A903" s="104"/>
      <c r="B903" s="74" t="s">
        <v>145</v>
      </c>
      <c r="C903" s="596" t="s">
        <v>146</v>
      </c>
      <c r="D903" s="596"/>
      <c r="E903" s="596"/>
      <c r="F903" s="596"/>
      <c r="G903" s="596"/>
      <c r="H903" s="596"/>
      <c r="I903" s="596"/>
      <c r="J903" s="596"/>
      <c r="K903" s="596"/>
      <c r="L903" s="597"/>
    </row>
    <row r="904" spans="1:12" ht="15.75" thickBot="1"/>
    <row r="905" spans="1:12" ht="21.75" thickBot="1">
      <c r="A905" s="586" t="s">
        <v>89</v>
      </c>
      <c r="B905" s="587"/>
      <c r="C905" s="587"/>
      <c r="D905" s="587"/>
      <c r="E905" s="587"/>
      <c r="F905" s="587"/>
      <c r="G905" s="587"/>
      <c r="H905" s="587"/>
      <c r="I905" s="587"/>
      <c r="J905" s="587"/>
      <c r="K905" s="587"/>
      <c r="L905" s="588"/>
    </row>
    <row r="906" spans="1:12" ht="32.25" thickBot="1">
      <c r="A906" s="69" t="s">
        <v>90</v>
      </c>
      <c r="B906" s="589" t="s">
        <v>91</v>
      </c>
      <c r="C906" s="589"/>
      <c r="D906" s="589"/>
      <c r="E906" s="589"/>
      <c r="F906" s="589"/>
      <c r="G906" s="589"/>
      <c r="H906" s="589"/>
      <c r="I906" s="589"/>
      <c r="J906" s="589"/>
      <c r="K906" s="589"/>
      <c r="L906" s="589"/>
    </row>
    <row r="907" spans="1:12" ht="16.5" thickBot="1">
      <c r="A907" s="100"/>
      <c r="B907" s="71" t="s">
        <v>92</v>
      </c>
      <c r="C907" s="575" t="s">
        <v>93</v>
      </c>
      <c r="D907" s="575"/>
      <c r="E907" s="575"/>
      <c r="F907" s="575"/>
      <c r="G907" s="575"/>
      <c r="H907" s="575"/>
      <c r="I907" s="575"/>
      <c r="J907" s="575"/>
      <c r="K907" s="575"/>
      <c r="L907" s="576"/>
    </row>
    <row r="908" spans="1:12" ht="16.5" thickBot="1">
      <c r="A908" s="101"/>
      <c r="B908" s="589" t="s">
        <v>94</v>
      </c>
      <c r="C908" s="590"/>
      <c r="D908" s="590"/>
      <c r="E908" s="590"/>
      <c r="F908" s="590"/>
      <c r="G908" s="590"/>
      <c r="H908" s="590"/>
      <c r="I908" s="590"/>
      <c r="J908" s="590"/>
      <c r="K908" s="590"/>
      <c r="L908" s="590"/>
    </row>
    <row r="909" spans="1:12">
      <c r="A909" s="101"/>
      <c r="B909" s="71" t="s">
        <v>95</v>
      </c>
      <c r="C909" s="559" t="s">
        <v>96</v>
      </c>
      <c r="D909" s="559"/>
      <c r="E909" s="559"/>
      <c r="F909" s="559"/>
      <c r="G909" s="559"/>
      <c r="H909" s="559"/>
      <c r="I909" s="559"/>
      <c r="J909" s="559"/>
      <c r="K909" s="559"/>
      <c r="L909" s="560"/>
    </row>
    <row r="910" spans="1:12">
      <c r="A910" s="102" t="s">
        <v>171</v>
      </c>
      <c r="B910" s="72" t="s">
        <v>98</v>
      </c>
      <c r="C910" s="559" t="str">
        <f ca="1">OFFSET('Bateria indicadores proceso'!$F$3,(RIGHT(A910,3)),1)</f>
        <v>Dirección para la Democracia, la Participación Ciudadana y la Acción Comunal</v>
      </c>
      <c r="D910" s="559"/>
      <c r="E910" s="559"/>
      <c r="F910" s="559"/>
      <c r="G910" s="559"/>
      <c r="H910" s="559"/>
      <c r="I910" s="559"/>
      <c r="J910" s="559"/>
      <c r="K910" s="559"/>
      <c r="L910" s="560"/>
    </row>
    <row r="911" spans="1:12">
      <c r="A911" s="101"/>
      <c r="B911" s="72" t="s">
        <v>99</v>
      </c>
      <c r="C911" s="559" t="str">
        <f ca="1">OFFSET('Bateria indicadores proceso'!$K$3,(RIGHT(A910,3)),1)</f>
        <v xml:space="preserve">Visitas de inspección, vigilancia y control a organizaciones de tercer y cuarto grado realizadas									</v>
      </c>
      <c r="D911" s="559"/>
      <c r="E911" s="559"/>
      <c r="F911" s="559"/>
      <c r="G911" s="559"/>
      <c r="H911" s="559"/>
      <c r="I911" s="559"/>
      <c r="J911" s="559"/>
      <c r="K911" s="559"/>
      <c r="L911" s="560"/>
    </row>
    <row r="912" spans="1:12">
      <c r="A912" s="101"/>
      <c r="B912" s="72" t="s">
        <v>100</v>
      </c>
      <c r="C912" s="559" t="str">
        <f ca="1">OFFSET('Bateria indicadores proceso'!$I$3,(RIGHT(A910,3)),1)</f>
        <v>Eficacia</v>
      </c>
      <c r="D912" s="559"/>
      <c r="E912" s="559"/>
      <c r="F912" s="559"/>
      <c r="G912" s="559"/>
      <c r="H912" s="559"/>
      <c r="I912" s="559"/>
      <c r="J912" s="559"/>
      <c r="K912" s="559"/>
      <c r="L912" s="560"/>
    </row>
    <row r="913" spans="1:12" ht="15.75" thickBot="1">
      <c r="A913" s="103"/>
      <c r="B913" s="73" t="s">
        <v>101</v>
      </c>
      <c r="C913" s="559" t="str">
        <f ca="1">OFFSET('Bateria indicadores proceso'!$J$3,(RIGHT(A910,3)),1)</f>
        <v xml:space="preserve">Realizar visitas de inspección, vigilancia y control a las organizaciones de tercer y cuarto grado, de conformidad con el Art. 74 y 75 de la Ley 2166 de 2021. Lo anterior, en cumplimiento de las competencias que la Ley otorga a la Dirección para la Democracia, la participación ciudadana y la acción comunal en el Capítulo XII de la mencionada Ley, para ejercer inspección, vigilancia y control. 									</v>
      </c>
      <c r="D913" s="559"/>
      <c r="E913" s="559"/>
      <c r="F913" s="559"/>
      <c r="G913" s="559"/>
      <c r="H913" s="559"/>
      <c r="I913" s="559"/>
      <c r="J913" s="559"/>
      <c r="K913" s="559"/>
      <c r="L913" s="560"/>
    </row>
    <row r="914" spans="1:12" ht="16.5" thickBot="1">
      <c r="A914" s="103"/>
      <c r="B914" s="572" t="s">
        <v>102</v>
      </c>
      <c r="C914" s="573"/>
      <c r="D914" s="573"/>
      <c r="E914" s="573"/>
      <c r="F914" s="573"/>
      <c r="G914" s="573"/>
      <c r="H914" s="573"/>
      <c r="I914" s="573"/>
      <c r="J914" s="573"/>
      <c r="K914" s="573"/>
      <c r="L914" s="574"/>
    </row>
    <row r="915" spans="1:12">
      <c r="A915" s="101"/>
      <c r="B915" s="71" t="s">
        <v>103</v>
      </c>
      <c r="C915" s="559" t="str">
        <f ca="1">OFFSET('Bateria indicadores proceso'!$O$3,(RIGHT(A910,3)),1)</f>
        <v>Número</v>
      </c>
      <c r="D915" s="559"/>
      <c r="E915" s="559"/>
      <c r="F915" s="559"/>
      <c r="G915" s="559"/>
      <c r="H915" s="559"/>
      <c r="I915" s="559"/>
      <c r="J915" s="559"/>
      <c r="K915" s="559"/>
      <c r="L915" s="560"/>
    </row>
    <row r="916" spans="1:12" ht="24">
      <c r="A916" s="101"/>
      <c r="B916" s="72" t="s">
        <v>104</v>
      </c>
      <c r="C916" s="559"/>
      <c r="D916" s="559"/>
      <c r="E916" s="559"/>
      <c r="F916" s="559"/>
      <c r="G916" s="559"/>
      <c r="H916" s="559"/>
      <c r="I916" s="559"/>
      <c r="J916" s="559"/>
      <c r="K916" s="559"/>
      <c r="L916" s="560"/>
    </row>
    <row r="917" spans="1:12">
      <c r="A917" s="101"/>
      <c r="B917" s="72" t="s">
        <v>105</v>
      </c>
      <c r="C917" s="559" t="str">
        <f ca="1">OFFSET('Bateria indicadores proceso'!$L$3,(RIGHT(A910,3)),1)</f>
        <v xml:space="preserve">Sumatoria de número de visitas de inspección, vigilancia y control a organizaciones de tercer y cuarto grado realizadas									</v>
      </c>
      <c r="D917" s="559"/>
      <c r="E917" s="559"/>
      <c r="F917" s="559"/>
      <c r="G917" s="559"/>
      <c r="H917" s="559"/>
      <c r="I917" s="559"/>
      <c r="J917" s="559"/>
      <c r="K917" s="559"/>
      <c r="L917" s="560"/>
    </row>
    <row r="918" spans="1:12">
      <c r="A918" s="101"/>
      <c r="B918" s="72" t="s">
        <v>106</v>
      </c>
      <c r="C918" s="559" t="str">
        <f ca="1">OFFSET('Bateria indicadores proceso'!$Z$3,(RIGHT(A910,3)),1)</f>
        <v>Trimestral</v>
      </c>
      <c r="D918" s="559"/>
      <c r="E918" s="559"/>
      <c r="F918" s="559"/>
      <c r="G918" s="559"/>
      <c r="H918" s="559"/>
      <c r="I918" s="559"/>
      <c r="J918" s="559"/>
      <c r="K918" s="559"/>
      <c r="L918" s="560"/>
    </row>
    <row r="919" spans="1:12">
      <c r="A919" s="101"/>
      <c r="B919" s="72" t="s">
        <v>107</v>
      </c>
      <c r="C919" s="559" t="str">
        <f ca="1">OFFSET('Bateria indicadores proceso'!$X$3,(RIGHT(A910,3)),1)</f>
        <v>Actas de las visitas de IVC realizadas por el equipo y reportadas por el enlace del Grupo de Acción Comunal durante el trimestre.</v>
      </c>
      <c r="D919" s="559"/>
      <c r="E919" s="559"/>
      <c r="F919" s="559"/>
      <c r="G919" s="559"/>
      <c r="H919" s="559"/>
      <c r="I919" s="559"/>
      <c r="J919" s="559"/>
      <c r="K919" s="559"/>
      <c r="L919" s="560"/>
    </row>
    <row r="920" spans="1:12">
      <c r="A920" s="101"/>
      <c r="B920" s="72" t="s">
        <v>108</v>
      </c>
      <c r="C920" s="561">
        <f ca="1">OFFSET('Bateria indicadores proceso'!$P$3,(RIGHT(A910,3)),1)</f>
        <v>2024</v>
      </c>
      <c r="D920" s="561"/>
      <c r="E920" s="561"/>
      <c r="F920" s="561"/>
      <c r="G920" s="561"/>
      <c r="H920" s="561"/>
      <c r="I920" s="561"/>
      <c r="J920" s="561"/>
      <c r="K920" s="561"/>
      <c r="L920" s="566"/>
    </row>
    <row r="921" spans="1:12">
      <c r="A921" s="101"/>
      <c r="B921" s="72" t="s">
        <v>109</v>
      </c>
      <c r="C921" s="561" t="str">
        <f ca="1">IF(C915="Número",TEXT(OFFSET('Bateria indicadores proceso'!$Q$3,(RIGHT(A910,3)),1),"######"),TEXT(OFFSET('Bateria indicadores proceso'!$Q$3,(RIGHT(A910,3)),1),"0.0%"))</f>
        <v>43</v>
      </c>
      <c r="D921" s="561"/>
      <c r="E921" s="561"/>
      <c r="F921" s="561"/>
      <c r="G921" s="561"/>
      <c r="H921" s="561"/>
      <c r="I921" s="561"/>
      <c r="J921" s="561"/>
      <c r="K921" s="561"/>
      <c r="L921" s="566"/>
    </row>
    <row r="922" spans="1:12">
      <c r="A922" s="101"/>
      <c r="B922" s="72" t="s">
        <v>110</v>
      </c>
      <c r="C922" s="593">
        <f ca="1">+OFFSET('Bateria indicadores proceso'!$R$3,(RIGHT(A910,3)),1)</f>
        <v>46022</v>
      </c>
      <c r="D922" s="593"/>
      <c r="E922" s="593"/>
      <c r="F922" s="593"/>
      <c r="G922" s="593"/>
      <c r="H922" s="593"/>
      <c r="I922" s="593"/>
      <c r="J922" s="593"/>
      <c r="K922" s="593"/>
      <c r="L922" s="594"/>
    </row>
    <row r="923" spans="1:12">
      <c r="A923" s="101"/>
      <c r="B923" s="72" t="s">
        <v>111</v>
      </c>
      <c r="C923" s="561" t="str">
        <f ca="1">OFFSET('Bateria indicadores proceso'!$M$3,(RIGHT(A910,3)),1)</f>
        <v>Mantener</v>
      </c>
      <c r="D923" s="561"/>
      <c r="E923" s="561"/>
      <c r="F923" s="561"/>
      <c r="G923" s="561"/>
      <c r="H923" s="561"/>
      <c r="I923" s="561"/>
      <c r="J923" s="561"/>
      <c r="K923" s="561"/>
      <c r="L923" s="566"/>
    </row>
    <row r="924" spans="1:12">
      <c r="A924" s="101"/>
      <c r="B924" s="72" t="s">
        <v>112</v>
      </c>
      <c r="C924" s="561" t="str">
        <f ca="1">OFFSET('Bateria indicadores proceso'!$N$3,(RIGHT(A910,3)),1)</f>
        <v>Acumulado</v>
      </c>
      <c r="D924" s="561"/>
      <c r="E924" s="561"/>
      <c r="F924" s="561"/>
      <c r="G924" s="561"/>
      <c r="H924" s="561"/>
      <c r="I924" s="561"/>
      <c r="J924" s="561"/>
      <c r="K924" s="561"/>
      <c r="L924" s="566"/>
    </row>
    <row r="925" spans="1:12">
      <c r="A925" s="101"/>
      <c r="B925" s="72" t="s">
        <v>113</v>
      </c>
      <c r="C925" s="561" t="str">
        <f ca="1">IF(C915="Número",TEXT(OFFSET('Bateria indicadores proceso'!$W$3,(RIGHT(A910,3)),1),"######"),TEXT(OFFSET('Bateria indicadores proceso'!$W$3,(RIGHT(A910,3)),1),"0.0%"))</f>
        <v>43</v>
      </c>
      <c r="D925" s="561"/>
      <c r="E925" s="561"/>
      <c r="F925" s="561"/>
      <c r="G925" s="561"/>
      <c r="H925" s="561"/>
      <c r="I925" s="561"/>
      <c r="J925" s="561"/>
      <c r="K925" s="561"/>
      <c r="L925" s="566"/>
    </row>
    <row r="926" spans="1:12">
      <c r="A926" s="101"/>
      <c r="B926" s="595" t="s">
        <v>114</v>
      </c>
      <c r="C926" s="70" t="s">
        <v>115</v>
      </c>
      <c r="D926" s="70" t="s">
        <v>116</v>
      </c>
      <c r="E926" s="70" t="s">
        <v>117</v>
      </c>
      <c r="F926" s="70" t="s">
        <v>118</v>
      </c>
      <c r="J926" s="75"/>
      <c r="K926" s="75"/>
      <c r="L926" s="76"/>
    </row>
    <row r="927" spans="1:12">
      <c r="A927" s="101"/>
      <c r="B927" s="595"/>
      <c r="C927" s="70" t="str">
        <f ca="1">IF(C915="Número",TEXT(OFFSET('Bateria indicadores proceso'!$S$3,(RIGHT(A910,3)),1),"######"),TEXT(OFFSET('Bateria indicadores proceso'!$S$3,(RIGHT(A910,3)),1),"0.0%"))</f>
        <v>10</v>
      </c>
      <c r="D927" s="70" t="str">
        <f ca="1">IF(C915="Número",TEXT(OFFSET('Bateria indicadores proceso'!$T$3,(RIGHT(A910,3)),1),"######"),TEXT(OFFSET('Bateria indicadores proceso'!$T$3,(RIGHT(A910,3)),1),"0.0%"))</f>
        <v>20</v>
      </c>
      <c r="E927" s="70" t="str">
        <f ca="1">IF(C915="Número",TEXT(OFFSET('Bateria indicadores proceso'!$U$3,(RIGHT(A910,3)),1),"######"),TEXT(OFFSET('Bateria indicadores proceso'!$U$3,(RIGHT(A910,3)),1),"0.0%"))</f>
        <v>10</v>
      </c>
      <c r="F927" s="70" t="str">
        <f ca="1">IF(C915="Número",TEXT(OFFSET('Bateria indicadores proceso'!$V$3,(RIGHT(A910,3)),1),"######"),TEXT(OFFSET('Bateria indicadores proceso'!$V$3,(RIGHT(A910,3)),1),"0.0%"))</f>
        <v>3</v>
      </c>
      <c r="J927" s="77"/>
      <c r="K927" s="77"/>
      <c r="L927" s="78"/>
    </row>
    <row r="928" spans="1:12">
      <c r="A928" s="101"/>
      <c r="B928" s="600" t="s">
        <v>119</v>
      </c>
      <c r="C928" s="567" t="s">
        <v>120</v>
      </c>
      <c r="D928" s="568"/>
      <c r="E928" s="567" t="s">
        <v>121</v>
      </c>
      <c r="F928" s="568"/>
      <c r="G928" s="567" t="s">
        <v>122</v>
      </c>
      <c r="H928" s="568"/>
      <c r="I928" s="567" t="s">
        <v>123</v>
      </c>
      <c r="J928" s="568"/>
      <c r="K928" s="567" t="s">
        <v>124</v>
      </c>
      <c r="L928" s="569"/>
    </row>
    <row r="929" spans="1:12">
      <c r="A929" s="101"/>
      <c r="B929" s="601"/>
      <c r="C929" s="570" t="s">
        <v>125</v>
      </c>
      <c r="D929" s="571"/>
      <c r="E929" s="577" t="s">
        <v>126</v>
      </c>
      <c r="F929" s="578"/>
      <c r="G929" s="579" t="s">
        <v>127</v>
      </c>
      <c r="H929" s="580"/>
      <c r="I929" s="581" t="s">
        <v>128</v>
      </c>
      <c r="J929" s="582"/>
      <c r="K929" s="583" t="s">
        <v>129</v>
      </c>
      <c r="L929" s="584"/>
    </row>
    <row r="930" spans="1:12">
      <c r="A930" s="101"/>
      <c r="B930" s="602"/>
      <c r="C930" s="567" t="s">
        <v>130</v>
      </c>
      <c r="D930" s="568"/>
      <c r="E930" s="567" t="s">
        <v>131</v>
      </c>
      <c r="F930" s="568"/>
      <c r="G930" s="585" t="s">
        <v>132</v>
      </c>
      <c r="H930" s="568"/>
      <c r="I930" s="567" t="s">
        <v>133</v>
      </c>
      <c r="J930" s="568"/>
      <c r="K930" s="567" t="s">
        <v>134</v>
      </c>
      <c r="L930" s="569"/>
    </row>
    <row r="931" spans="1:12">
      <c r="A931" s="101"/>
      <c r="B931" s="72" t="s">
        <v>135</v>
      </c>
      <c r="C931" s="559" t="str">
        <f ca="1">OFFSET('Bateria indicadores proceso'!$Y$3,(RIGHT(A910,3)),1)</f>
        <v>Actas o informes de visitas</v>
      </c>
      <c r="D931" s="559"/>
      <c r="E931" s="559"/>
      <c r="F931" s="559"/>
      <c r="G931" s="559"/>
      <c r="H931" s="559"/>
      <c r="I931" s="559"/>
      <c r="J931" s="559"/>
      <c r="K931" s="559"/>
      <c r="L931" s="560"/>
    </row>
    <row r="932" spans="1:12">
      <c r="A932" s="101"/>
      <c r="B932" s="591" t="s">
        <v>136</v>
      </c>
      <c r="C932" s="561" t="s">
        <v>137</v>
      </c>
      <c r="D932" s="561"/>
      <c r="E932" s="561"/>
      <c r="F932" s="562" t="str">
        <f ca="1">OFFSET('Bateria indicadores proceso'!$B$3,(RIGHT(A910,3)),1)</f>
        <v>GESTIÓN POLÍTICA Y GOBIERNO</v>
      </c>
      <c r="G932" s="562"/>
      <c r="H932" s="562"/>
      <c r="I932" s="562"/>
      <c r="J932" s="562"/>
      <c r="K932" s="562"/>
      <c r="L932" s="563"/>
    </row>
    <row r="933" spans="1:12">
      <c r="A933" s="101"/>
      <c r="B933" s="592"/>
      <c r="C933" s="561" t="s">
        <v>138</v>
      </c>
      <c r="D933" s="561"/>
      <c r="E933" s="561"/>
      <c r="F933" s="564">
        <f ca="1">OFFSET('Bateria indicadores proceso'!$C$3,(RIGHT(A910,3)),1)</f>
        <v>0.33</v>
      </c>
      <c r="G933" s="564"/>
      <c r="H933" s="564"/>
      <c r="I933" s="564"/>
      <c r="J933" s="564"/>
      <c r="K933" s="564"/>
      <c r="L933" s="565"/>
    </row>
    <row r="934" spans="1:12" ht="15.75" thickBot="1">
      <c r="A934" s="101"/>
      <c r="B934" s="592"/>
      <c r="C934" s="561" t="s">
        <v>139</v>
      </c>
      <c r="D934" s="561"/>
      <c r="E934" s="561"/>
      <c r="F934" s="564">
        <f ca="1">OFFSET('Bateria indicadores proceso'!$E$3,(RIGHT(A910,3)),1)</f>
        <v>0.11</v>
      </c>
      <c r="G934" s="564"/>
      <c r="H934" s="564"/>
      <c r="I934" s="564"/>
      <c r="J934" s="564"/>
      <c r="K934" s="564"/>
      <c r="L934" s="565"/>
    </row>
    <row r="935" spans="1:12" ht="16.5" thickBot="1">
      <c r="A935" s="101"/>
      <c r="B935" s="572" t="s">
        <v>140</v>
      </c>
      <c r="C935" s="573"/>
      <c r="D935" s="573"/>
      <c r="E935" s="573"/>
      <c r="F935" s="573"/>
      <c r="G935" s="573"/>
      <c r="H935" s="573"/>
      <c r="I935" s="573"/>
      <c r="J935" s="573"/>
      <c r="K935" s="573"/>
      <c r="L935" s="574"/>
    </row>
    <row r="936" spans="1:12">
      <c r="A936" s="101"/>
      <c r="B936" s="72" t="s">
        <v>142</v>
      </c>
      <c r="C936" s="561" t="str">
        <f ca="1">OFFSET('Bateria indicadores proceso'!$G$3,(RIGHT(A910,3)),1)</f>
        <v>Director</v>
      </c>
      <c r="D936" s="561"/>
      <c r="E936" s="561"/>
      <c r="F936" s="561"/>
      <c r="G936" s="561"/>
      <c r="H936" s="561"/>
      <c r="I936" s="561"/>
      <c r="J936" s="561"/>
      <c r="K936" s="561"/>
      <c r="L936" s="566"/>
    </row>
    <row r="937" spans="1:12">
      <c r="A937" s="101"/>
      <c r="B937" s="72" t="s">
        <v>143</v>
      </c>
      <c r="C937" s="561" t="str">
        <f ca="1">OFFSET('Bateria indicadores proceso'!$F$3,(RIGHT(A910,3)),1)</f>
        <v>Dirección para la Democracia, la Participación Ciudadana y la Acción Comunal</v>
      </c>
      <c r="D937" s="561"/>
      <c r="E937" s="561"/>
      <c r="F937" s="561"/>
      <c r="G937" s="561"/>
      <c r="H937" s="561"/>
      <c r="I937" s="561"/>
      <c r="J937" s="561"/>
      <c r="K937" s="561"/>
      <c r="L937" s="566"/>
    </row>
    <row r="938" spans="1:12">
      <c r="A938" s="101"/>
      <c r="B938" s="72" t="s">
        <v>144</v>
      </c>
      <c r="C938" s="598" t="str">
        <f ca="1">OFFSET('Bateria indicadores proceso'!$H$3,(RIGHT(A874,3)),1)</f>
        <v xml:space="preserve">paula.sierra@mininterior.gov.co									</v>
      </c>
      <c r="D938" s="598"/>
      <c r="E938" s="598"/>
      <c r="F938" s="598"/>
      <c r="G938" s="598"/>
      <c r="H938" s="598"/>
      <c r="I938" s="598"/>
      <c r="J938" s="598"/>
      <c r="K938" s="598"/>
      <c r="L938" s="599"/>
    </row>
    <row r="939" spans="1:12" ht="15.75" thickBot="1">
      <c r="A939" s="104"/>
      <c r="B939" s="74" t="s">
        <v>145</v>
      </c>
      <c r="C939" s="596" t="s">
        <v>146</v>
      </c>
      <c r="D939" s="596"/>
      <c r="E939" s="596"/>
      <c r="F939" s="596"/>
      <c r="G939" s="596"/>
      <c r="H939" s="596"/>
      <c r="I939" s="596"/>
      <c r="J939" s="596"/>
      <c r="K939" s="596"/>
      <c r="L939" s="597"/>
    </row>
    <row r="940" spans="1:12" ht="15.75" thickBot="1"/>
    <row r="941" spans="1:12" ht="21.75" thickBot="1">
      <c r="A941" s="586" t="s">
        <v>89</v>
      </c>
      <c r="B941" s="587"/>
      <c r="C941" s="587"/>
      <c r="D941" s="587"/>
      <c r="E941" s="587"/>
      <c r="F941" s="587"/>
      <c r="G941" s="587"/>
      <c r="H941" s="587"/>
      <c r="I941" s="587"/>
      <c r="J941" s="587"/>
      <c r="K941" s="587"/>
      <c r="L941" s="588"/>
    </row>
    <row r="942" spans="1:12" ht="32.25" thickBot="1">
      <c r="A942" s="69" t="s">
        <v>90</v>
      </c>
      <c r="B942" s="589" t="s">
        <v>91</v>
      </c>
      <c r="C942" s="589"/>
      <c r="D942" s="589"/>
      <c r="E942" s="589"/>
      <c r="F942" s="589"/>
      <c r="G942" s="589"/>
      <c r="H942" s="589"/>
      <c r="I942" s="589"/>
      <c r="J942" s="589"/>
      <c r="K942" s="589"/>
      <c r="L942" s="589"/>
    </row>
    <row r="943" spans="1:12" ht="16.5" thickBot="1">
      <c r="A943" s="100"/>
      <c r="B943" s="71" t="s">
        <v>92</v>
      </c>
      <c r="C943" s="575" t="s">
        <v>93</v>
      </c>
      <c r="D943" s="575"/>
      <c r="E943" s="575"/>
      <c r="F943" s="575"/>
      <c r="G943" s="575"/>
      <c r="H943" s="575"/>
      <c r="I943" s="575"/>
      <c r="J943" s="575"/>
      <c r="K943" s="575"/>
      <c r="L943" s="576"/>
    </row>
    <row r="944" spans="1:12" ht="16.5" thickBot="1">
      <c r="A944" s="101"/>
      <c r="B944" s="589" t="s">
        <v>94</v>
      </c>
      <c r="C944" s="590"/>
      <c r="D944" s="590"/>
      <c r="E944" s="590"/>
      <c r="F944" s="590"/>
      <c r="G944" s="590"/>
      <c r="H944" s="590"/>
      <c r="I944" s="590"/>
      <c r="J944" s="590"/>
      <c r="K944" s="590"/>
      <c r="L944" s="590"/>
    </row>
    <row r="945" spans="1:12">
      <c r="A945" s="101"/>
      <c r="B945" s="71" t="s">
        <v>95</v>
      </c>
      <c r="C945" s="559" t="s">
        <v>96</v>
      </c>
      <c r="D945" s="559"/>
      <c r="E945" s="559"/>
      <c r="F945" s="559"/>
      <c r="G945" s="559"/>
      <c r="H945" s="559"/>
      <c r="I945" s="559"/>
      <c r="J945" s="559"/>
      <c r="K945" s="559"/>
      <c r="L945" s="560"/>
    </row>
    <row r="946" spans="1:12">
      <c r="A946" s="102" t="s">
        <v>172</v>
      </c>
      <c r="B946" s="72" t="s">
        <v>98</v>
      </c>
      <c r="C946" s="559" t="str">
        <f ca="1">OFFSET('Bateria indicadores proceso'!$F$3,(RIGHT(A946,3)),1)</f>
        <v>Dirección para la Democracia, la Participación Ciudadana y la Acción Comunal</v>
      </c>
      <c r="D946" s="559"/>
      <c r="E946" s="559"/>
      <c r="F946" s="559"/>
      <c r="G946" s="559"/>
      <c r="H946" s="559"/>
      <c r="I946" s="559"/>
      <c r="J946" s="559"/>
      <c r="K946" s="559"/>
      <c r="L946" s="560"/>
    </row>
    <row r="947" spans="1:12">
      <c r="A947" s="101"/>
      <c r="B947" s="72" t="s">
        <v>99</v>
      </c>
      <c r="C947" s="559" t="str">
        <f ca="1">OFFSET('Bateria indicadores proceso'!$K$3,(RIGHT(A946,3)),1)</f>
        <v>Acciones de fortalecimiento de la política pública de participación ciudadana y electoral - PPPCyE realizadas</v>
      </c>
      <c r="D947" s="559"/>
      <c r="E947" s="559"/>
      <c r="F947" s="559"/>
      <c r="G947" s="559"/>
      <c r="H947" s="559"/>
      <c r="I947" s="559"/>
      <c r="J947" s="559"/>
      <c r="K947" s="559"/>
      <c r="L947" s="560"/>
    </row>
    <row r="948" spans="1:12">
      <c r="A948" s="101"/>
      <c r="B948" s="72" t="s">
        <v>100</v>
      </c>
      <c r="C948" s="559" t="str">
        <f ca="1">OFFSET('Bateria indicadores proceso'!$I$3,(RIGHT(A946,3)),1)</f>
        <v>Eficacia</v>
      </c>
      <c r="D948" s="559"/>
      <c r="E948" s="559"/>
      <c r="F948" s="559"/>
      <c r="G948" s="559"/>
      <c r="H948" s="559"/>
      <c r="I948" s="559"/>
      <c r="J948" s="559"/>
      <c r="K948" s="559"/>
      <c r="L948" s="560"/>
    </row>
    <row r="949" spans="1:12" ht="15.75" thickBot="1">
      <c r="A949" s="103"/>
      <c r="B949" s="73" t="s">
        <v>101</v>
      </c>
      <c r="C949" s="559" t="str">
        <f ca="1">OFFSET('Bateria indicadores proceso'!$J$3,(RIGHT(A946,3)),1)</f>
        <v>Realizar acciones de fortalecimiento de la política pública de participación ciudadana y electoral en su fase de implementación, mediante la divulgacion y socialización en los 32 departamentos del Pais.</v>
      </c>
      <c r="D949" s="559"/>
      <c r="E949" s="559"/>
      <c r="F949" s="559"/>
      <c r="G949" s="559"/>
      <c r="H949" s="559"/>
      <c r="I949" s="559"/>
      <c r="J949" s="559"/>
      <c r="K949" s="559"/>
      <c r="L949" s="560"/>
    </row>
    <row r="950" spans="1:12" ht="16.5" thickBot="1">
      <c r="A950" s="103"/>
      <c r="B950" s="572" t="s">
        <v>102</v>
      </c>
      <c r="C950" s="573"/>
      <c r="D950" s="573"/>
      <c r="E950" s="573"/>
      <c r="F950" s="573"/>
      <c r="G950" s="573"/>
      <c r="H950" s="573"/>
      <c r="I950" s="573"/>
      <c r="J950" s="573"/>
      <c r="K950" s="573"/>
      <c r="L950" s="574"/>
    </row>
    <row r="951" spans="1:12">
      <c r="A951" s="101"/>
      <c r="B951" s="71" t="s">
        <v>103</v>
      </c>
      <c r="C951" s="559" t="str">
        <f ca="1">OFFSET('Bateria indicadores proceso'!$O$3,(RIGHT(A946,3)),1)</f>
        <v>Número</v>
      </c>
      <c r="D951" s="559"/>
      <c r="E951" s="559"/>
      <c r="F951" s="559"/>
      <c r="G951" s="559"/>
      <c r="H951" s="559"/>
      <c r="I951" s="559"/>
      <c r="J951" s="559"/>
      <c r="K951" s="559"/>
      <c r="L951" s="560"/>
    </row>
    <row r="952" spans="1:12" ht="24">
      <c r="A952" s="101"/>
      <c r="B952" s="72" t="s">
        <v>104</v>
      </c>
      <c r="C952" s="559"/>
      <c r="D952" s="559"/>
      <c r="E952" s="559"/>
      <c r="F952" s="559"/>
      <c r="G952" s="559"/>
      <c r="H952" s="559"/>
      <c r="I952" s="559"/>
      <c r="J952" s="559"/>
      <c r="K952" s="559"/>
      <c r="L952" s="560"/>
    </row>
    <row r="953" spans="1:12">
      <c r="A953" s="101"/>
      <c r="B953" s="72" t="s">
        <v>105</v>
      </c>
      <c r="C953" s="559" t="str">
        <f ca="1">OFFSET('Bateria indicadores proceso'!$L$3,(RIGHT(A946,3)),1)</f>
        <v>Sumatoria de acciones de fortalecimiento de la política pública de participación ciudadana y electoral - PPPCyE realizadas</v>
      </c>
      <c r="D953" s="559"/>
      <c r="E953" s="559"/>
      <c r="F953" s="559"/>
      <c r="G953" s="559"/>
      <c r="H953" s="559"/>
      <c r="I953" s="559"/>
      <c r="J953" s="559"/>
      <c r="K953" s="559"/>
      <c r="L953" s="560"/>
    </row>
    <row r="954" spans="1:12">
      <c r="A954" s="101"/>
      <c r="B954" s="72" t="s">
        <v>106</v>
      </c>
      <c r="C954" s="559" t="str">
        <f ca="1">OFFSET('Bateria indicadores proceso'!$Z$3,(RIGHT(A946,3)),1)</f>
        <v>Trimestral</v>
      </c>
      <c r="D954" s="559"/>
      <c r="E954" s="559"/>
      <c r="F954" s="559"/>
      <c r="G954" s="559"/>
      <c r="H954" s="559"/>
      <c r="I954" s="559"/>
      <c r="J954" s="559"/>
      <c r="K954" s="559"/>
      <c r="L954" s="560"/>
    </row>
    <row r="955" spans="1:12">
      <c r="A955" s="101"/>
      <c r="B955" s="72" t="s">
        <v>107</v>
      </c>
      <c r="C955" s="559" t="str">
        <f ca="1">OFFSET('Bateria indicadores proceso'!$X$3,(RIGHT(A946,3)),1)</f>
        <v>Actas o informes de las acciones realizadas por el equipo y reportadas por el enlace del Grupo de Participación Ciudadana durante el trimestre.</v>
      </c>
      <c r="D955" s="559"/>
      <c r="E955" s="559"/>
      <c r="F955" s="559"/>
      <c r="G955" s="559"/>
      <c r="H955" s="559"/>
      <c r="I955" s="559"/>
      <c r="J955" s="559"/>
      <c r="K955" s="559"/>
      <c r="L955" s="560"/>
    </row>
    <row r="956" spans="1:12">
      <c r="A956" s="101"/>
      <c r="B956" s="72" t="s">
        <v>108</v>
      </c>
      <c r="C956" s="561" t="str">
        <f ca="1">OFFSET('Bateria indicadores proceso'!$P$3,(RIGHT(A946,3)),1)</f>
        <v>No aplica</v>
      </c>
      <c r="D956" s="561"/>
      <c r="E956" s="561"/>
      <c r="F956" s="561"/>
      <c r="G956" s="561"/>
      <c r="H956" s="561"/>
      <c r="I956" s="561"/>
      <c r="J956" s="561"/>
      <c r="K956" s="561"/>
      <c r="L956" s="566"/>
    </row>
    <row r="957" spans="1:12">
      <c r="A957" s="101"/>
      <c r="B957" s="72" t="s">
        <v>109</v>
      </c>
      <c r="C957" s="561" t="str">
        <f ca="1">IF(C951="Número",TEXT(OFFSET('Bateria indicadores proceso'!$Q$3,(RIGHT(A946,3)),1),"######"),TEXT(OFFSET('Bateria indicadores proceso'!$Q$3,(RIGHT(A946,3)),1),"0.0%"))</f>
        <v>No aplica</v>
      </c>
      <c r="D957" s="561"/>
      <c r="E957" s="561"/>
      <c r="F957" s="561"/>
      <c r="G957" s="561"/>
      <c r="H957" s="561"/>
      <c r="I957" s="561"/>
      <c r="J957" s="561"/>
      <c r="K957" s="561"/>
      <c r="L957" s="566"/>
    </row>
    <row r="958" spans="1:12">
      <c r="A958" s="101"/>
      <c r="B958" s="72" t="s">
        <v>110</v>
      </c>
      <c r="C958" s="593" t="str">
        <f ca="1">+OFFSET('Bateria indicadores proceso'!$R$3,(RIGHT(A946,3)),1)</f>
        <v>No aplica</v>
      </c>
      <c r="D958" s="593"/>
      <c r="E958" s="593"/>
      <c r="F958" s="593"/>
      <c r="G958" s="593"/>
      <c r="H958" s="593"/>
      <c r="I958" s="593"/>
      <c r="J958" s="593"/>
      <c r="K958" s="593"/>
      <c r="L958" s="594"/>
    </row>
    <row r="959" spans="1:12">
      <c r="A959" s="101"/>
      <c r="B959" s="72" t="s">
        <v>111</v>
      </c>
      <c r="C959" s="561" t="str">
        <f ca="1">OFFSET('Bateria indicadores proceso'!$M$3,(RIGHT(A946,3)),1)</f>
        <v>Mantener</v>
      </c>
      <c r="D959" s="561"/>
      <c r="E959" s="561"/>
      <c r="F959" s="561"/>
      <c r="G959" s="561"/>
      <c r="H959" s="561"/>
      <c r="I959" s="561"/>
      <c r="J959" s="561"/>
      <c r="K959" s="561"/>
      <c r="L959" s="566"/>
    </row>
    <row r="960" spans="1:12">
      <c r="A960" s="101"/>
      <c r="B960" s="72" t="s">
        <v>112</v>
      </c>
      <c r="C960" s="561" t="str">
        <f ca="1">OFFSET('Bateria indicadores proceso'!$N$3,(RIGHT(A946,3)),1)</f>
        <v>Acumulado</v>
      </c>
      <c r="D960" s="561"/>
      <c r="E960" s="561"/>
      <c r="F960" s="561"/>
      <c r="G960" s="561"/>
      <c r="H960" s="561"/>
      <c r="I960" s="561"/>
      <c r="J960" s="561"/>
      <c r="K960" s="561"/>
      <c r="L960" s="566"/>
    </row>
    <row r="961" spans="1:12">
      <c r="A961" s="101"/>
      <c r="B961" s="72" t="s">
        <v>113</v>
      </c>
      <c r="C961" s="561" t="str">
        <f ca="1">IF(C951="Número",TEXT(OFFSET('Bateria indicadores proceso'!$W$3,(RIGHT(A946,3)),1),"######"),TEXT(OFFSET('Bateria indicadores proceso'!$W$3,(RIGHT(A946,3)),1),"0.0%"))</f>
        <v>32</v>
      </c>
      <c r="D961" s="561"/>
      <c r="E961" s="561"/>
      <c r="F961" s="561"/>
      <c r="G961" s="561"/>
      <c r="H961" s="561"/>
      <c r="I961" s="561"/>
      <c r="J961" s="561"/>
      <c r="K961" s="561"/>
      <c r="L961" s="566"/>
    </row>
    <row r="962" spans="1:12">
      <c r="A962" s="101"/>
      <c r="B962" s="595" t="s">
        <v>114</v>
      </c>
      <c r="C962" s="70" t="s">
        <v>115</v>
      </c>
      <c r="D962" s="70" t="s">
        <v>116</v>
      </c>
      <c r="E962" s="70" t="s">
        <v>117</v>
      </c>
      <c r="F962" s="70" t="s">
        <v>118</v>
      </c>
      <c r="J962" s="75"/>
      <c r="K962" s="75"/>
      <c r="L962" s="76"/>
    </row>
    <row r="963" spans="1:12">
      <c r="A963" s="101"/>
      <c r="B963" s="595"/>
      <c r="C963" s="70" t="str">
        <f ca="1">IF(C951="Número",TEXT(OFFSET('Bateria indicadores proceso'!$S$3,(RIGHT(A946,3)),1),"######"),TEXT(OFFSET('Bateria indicadores proceso'!$S$3,(RIGHT(A946,3)),1),"0.0%"))</f>
        <v>4</v>
      </c>
      <c r="D963" s="70" t="str">
        <f ca="1">IF(C951="Número",TEXT(OFFSET('Bateria indicadores proceso'!$T$3,(RIGHT(A946,3)),1),"######"),TEXT(OFFSET('Bateria indicadores proceso'!$T$3,(RIGHT(A946,3)),1),"0.0%"))</f>
        <v>12</v>
      </c>
      <c r="E963" s="70" t="str">
        <f ca="1">IF(C951="Número",TEXT(OFFSET('Bateria indicadores proceso'!$U$3,(RIGHT(A946,3)),1),"######"),TEXT(OFFSET('Bateria indicadores proceso'!$U$3,(RIGHT(A946,3)),1),"0.0%"))</f>
        <v>12</v>
      </c>
      <c r="F963" s="70" t="str">
        <f ca="1">IF(C951="Número",TEXT(OFFSET('Bateria indicadores proceso'!$V$3,(RIGHT(A946,3)),1),"######"),TEXT(OFFSET('Bateria indicadores proceso'!$V$3,(RIGHT(A946,3)),1),"0.0%"))</f>
        <v>4</v>
      </c>
      <c r="J963" s="77"/>
      <c r="K963" s="77"/>
      <c r="L963" s="78"/>
    </row>
    <row r="964" spans="1:12">
      <c r="A964" s="101"/>
      <c r="B964" s="600" t="s">
        <v>119</v>
      </c>
      <c r="C964" s="567" t="s">
        <v>120</v>
      </c>
      <c r="D964" s="568"/>
      <c r="E964" s="567" t="s">
        <v>121</v>
      </c>
      <c r="F964" s="568"/>
      <c r="G964" s="567" t="s">
        <v>122</v>
      </c>
      <c r="H964" s="568"/>
      <c r="I964" s="567" t="s">
        <v>123</v>
      </c>
      <c r="J964" s="568"/>
      <c r="K964" s="567" t="s">
        <v>124</v>
      </c>
      <c r="L964" s="569"/>
    </row>
    <row r="965" spans="1:12">
      <c r="A965" s="101"/>
      <c r="B965" s="601"/>
      <c r="C965" s="570" t="s">
        <v>125</v>
      </c>
      <c r="D965" s="571"/>
      <c r="E965" s="577" t="s">
        <v>126</v>
      </c>
      <c r="F965" s="578"/>
      <c r="G965" s="579" t="s">
        <v>127</v>
      </c>
      <c r="H965" s="580"/>
      <c r="I965" s="581" t="s">
        <v>128</v>
      </c>
      <c r="J965" s="582"/>
      <c r="K965" s="583" t="s">
        <v>129</v>
      </c>
      <c r="L965" s="584"/>
    </row>
    <row r="966" spans="1:12">
      <c r="A966" s="101"/>
      <c r="B966" s="602"/>
      <c r="C966" s="567" t="s">
        <v>130</v>
      </c>
      <c r="D966" s="568"/>
      <c r="E966" s="567" t="s">
        <v>131</v>
      </c>
      <c r="F966" s="568"/>
      <c r="G966" s="585" t="s">
        <v>132</v>
      </c>
      <c r="H966" s="568"/>
      <c r="I966" s="567" t="s">
        <v>133</v>
      </c>
      <c r="J966" s="568"/>
      <c r="K966" s="567" t="s">
        <v>134</v>
      </c>
      <c r="L966" s="569"/>
    </row>
    <row r="967" spans="1:12">
      <c r="A967" s="101"/>
      <c r="B967" s="72" t="s">
        <v>135</v>
      </c>
      <c r="C967" s="559" t="str">
        <f ca="1">OFFSET('Bateria indicadores proceso'!$Y$3,(RIGHT(A946,3)),1)</f>
        <v>Actas o informes de visitas</v>
      </c>
      <c r="D967" s="559"/>
      <c r="E967" s="559"/>
      <c r="F967" s="559"/>
      <c r="G967" s="559"/>
      <c r="H967" s="559"/>
      <c r="I967" s="559"/>
      <c r="J967" s="559"/>
      <c r="K967" s="559"/>
      <c r="L967" s="560"/>
    </row>
    <row r="968" spans="1:12">
      <c r="A968" s="101"/>
      <c r="B968" s="591" t="s">
        <v>136</v>
      </c>
      <c r="C968" s="561" t="s">
        <v>137</v>
      </c>
      <c r="D968" s="561"/>
      <c r="E968" s="561"/>
      <c r="F968" s="562" t="str">
        <f ca="1">OFFSET('Bateria indicadores proceso'!$B$3,(RIGHT(A946,3)),1)</f>
        <v>GESTIÓN POLÍTICA Y GOBIERNO</v>
      </c>
      <c r="G968" s="562"/>
      <c r="H968" s="562"/>
      <c r="I968" s="562"/>
      <c r="J968" s="562"/>
      <c r="K968" s="562"/>
      <c r="L968" s="563"/>
    </row>
    <row r="969" spans="1:12">
      <c r="A969" s="101"/>
      <c r="B969" s="592"/>
      <c r="C969" s="561" t="s">
        <v>138</v>
      </c>
      <c r="D969" s="561"/>
      <c r="E969" s="561"/>
      <c r="F969" s="564">
        <f ca="1">OFFSET('Bateria indicadores proceso'!$C$3,(RIGHT(A946,3)),1)</f>
        <v>0.33</v>
      </c>
      <c r="G969" s="564"/>
      <c r="H969" s="564"/>
      <c r="I969" s="564"/>
      <c r="J969" s="564"/>
      <c r="K969" s="564"/>
      <c r="L969" s="565"/>
    </row>
    <row r="970" spans="1:12" ht="15.75" thickBot="1">
      <c r="A970" s="101"/>
      <c r="B970" s="592"/>
      <c r="C970" s="561" t="s">
        <v>139</v>
      </c>
      <c r="D970" s="561"/>
      <c r="E970" s="561"/>
      <c r="F970" s="564">
        <f ca="1">OFFSET('Bateria indicadores proceso'!$E$3,(RIGHT(A946,3)),1)</f>
        <v>0.11</v>
      </c>
      <c r="G970" s="564"/>
      <c r="H970" s="564"/>
      <c r="I970" s="564"/>
      <c r="J970" s="564"/>
      <c r="K970" s="564"/>
      <c r="L970" s="565"/>
    </row>
    <row r="971" spans="1:12" ht="16.5" thickBot="1">
      <c r="A971" s="101"/>
      <c r="B971" s="572" t="s">
        <v>140</v>
      </c>
      <c r="C971" s="573"/>
      <c r="D971" s="573"/>
      <c r="E971" s="573"/>
      <c r="F971" s="573"/>
      <c r="G971" s="573"/>
      <c r="H971" s="573"/>
      <c r="I971" s="573"/>
      <c r="J971" s="573"/>
      <c r="K971" s="573"/>
      <c r="L971" s="574"/>
    </row>
    <row r="972" spans="1:12">
      <c r="A972" s="101"/>
      <c r="B972" s="72" t="s">
        <v>142</v>
      </c>
      <c r="C972" s="561" t="str">
        <f ca="1">OFFSET('Bateria indicadores proceso'!$G$3,(RIGHT(A946,3)),1)</f>
        <v>Director</v>
      </c>
      <c r="D972" s="561"/>
      <c r="E972" s="561"/>
      <c r="F972" s="561"/>
      <c r="G972" s="561"/>
      <c r="H972" s="561"/>
      <c r="I972" s="561"/>
      <c r="J972" s="561"/>
      <c r="K972" s="561"/>
      <c r="L972" s="566"/>
    </row>
    <row r="973" spans="1:12">
      <c r="A973" s="101"/>
      <c r="B973" s="72" t="s">
        <v>143</v>
      </c>
      <c r="C973" s="561" t="str">
        <f ca="1">OFFSET('Bateria indicadores proceso'!$F$3,(RIGHT(A946,3)),1)</f>
        <v>Dirección para la Democracia, la Participación Ciudadana y la Acción Comunal</v>
      </c>
      <c r="D973" s="561"/>
      <c r="E973" s="561"/>
      <c r="F973" s="561"/>
      <c r="G973" s="561"/>
      <c r="H973" s="561"/>
      <c r="I973" s="561"/>
      <c r="J973" s="561"/>
      <c r="K973" s="561"/>
      <c r="L973" s="566"/>
    </row>
    <row r="974" spans="1:12">
      <c r="A974" s="101"/>
      <c r="B974" s="72" t="s">
        <v>144</v>
      </c>
      <c r="C974" s="598" t="str">
        <f ca="1">OFFSET('Bateria indicadores proceso'!$H$3,(RIGHT(A946,3)),1)</f>
        <v xml:space="preserve">paula.sierra@mininterior.gov.co									</v>
      </c>
      <c r="D974" s="598"/>
      <c r="E974" s="598"/>
      <c r="F974" s="598"/>
      <c r="G974" s="598"/>
      <c r="H974" s="598"/>
      <c r="I974" s="598"/>
      <c r="J974" s="598"/>
      <c r="K974" s="598"/>
      <c r="L974" s="599"/>
    </row>
    <row r="975" spans="1:12" ht="15.75" thickBot="1">
      <c r="A975" s="104"/>
      <c r="B975" s="74" t="s">
        <v>145</v>
      </c>
      <c r="C975" s="596" t="s">
        <v>146</v>
      </c>
      <c r="D975" s="596"/>
      <c r="E975" s="596"/>
      <c r="F975" s="596"/>
      <c r="G975" s="596"/>
      <c r="H975" s="596"/>
      <c r="I975" s="596"/>
      <c r="J975" s="596"/>
      <c r="K975" s="596"/>
      <c r="L975" s="597"/>
    </row>
    <row r="976" spans="1:12" ht="15.75" thickBot="1"/>
    <row r="977" spans="1:12" ht="21.75" thickBot="1">
      <c r="A977" s="586" t="s">
        <v>89</v>
      </c>
      <c r="B977" s="587"/>
      <c r="C977" s="587"/>
      <c r="D977" s="587"/>
      <c r="E977" s="587"/>
      <c r="F977" s="587"/>
      <c r="G977" s="587"/>
      <c r="H977" s="587"/>
      <c r="I977" s="587"/>
      <c r="J977" s="587"/>
      <c r="K977" s="587"/>
      <c r="L977" s="588"/>
    </row>
    <row r="978" spans="1:12" ht="32.25" thickBot="1">
      <c r="A978" s="69" t="s">
        <v>90</v>
      </c>
      <c r="B978" s="589" t="s">
        <v>91</v>
      </c>
      <c r="C978" s="589"/>
      <c r="D978" s="589"/>
      <c r="E978" s="589"/>
      <c r="F978" s="589"/>
      <c r="G978" s="589"/>
      <c r="H978" s="589"/>
      <c r="I978" s="589"/>
      <c r="J978" s="589"/>
      <c r="K978" s="589"/>
      <c r="L978" s="589"/>
    </row>
    <row r="979" spans="1:12" ht="16.5" thickBot="1">
      <c r="A979" s="100"/>
      <c r="B979" s="71" t="s">
        <v>92</v>
      </c>
      <c r="C979" s="575" t="s">
        <v>93</v>
      </c>
      <c r="D979" s="575"/>
      <c r="E979" s="575"/>
      <c r="F979" s="575"/>
      <c r="G979" s="575"/>
      <c r="H979" s="575"/>
      <c r="I979" s="575"/>
      <c r="J979" s="575"/>
      <c r="K979" s="575"/>
      <c r="L979" s="576"/>
    </row>
    <row r="980" spans="1:12" ht="16.5" thickBot="1">
      <c r="A980" s="101"/>
      <c r="B980" s="589" t="s">
        <v>94</v>
      </c>
      <c r="C980" s="590"/>
      <c r="D980" s="590"/>
      <c r="E980" s="590"/>
      <c r="F980" s="590"/>
      <c r="G980" s="590"/>
      <c r="H980" s="590"/>
      <c r="I980" s="590"/>
      <c r="J980" s="590"/>
      <c r="K980" s="590"/>
      <c r="L980" s="590"/>
    </row>
    <row r="981" spans="1:12">
      <c r="A981" s="101"/>
      <c r="B981" s="71" t="s">
        <v>95</v>
      </c>
      <c r="C981" s="559" t="s">
        <v>96</v>
      </c>
      <c r="D981" s="559"/>
      <c r="E981" s="559"/>
      <c r="F981" s="559"/>
      <c r="G981" s="559"/>
      <c r="H981" s="559"/>
      <c r="I981" s="559"/>
      <c r="J981" s="559"/>
      <c r="K981" s="559"/>
      <c r="L981" s="560"/>
    </row>
    <row r="982" spans="1:12">
      <c r="A982" s="102" t="s">
        <v>173</v>
      </c>
      <c r="B982" s="72" t="s">
        <v>98</v>
      </c>
      <c r="C982" s="559" t="str">
        <f ca="1">OFFSET('Bateria indicadores proceso'!$F$3,(RIGHT(A982,3)),1)</f>
        <v xml:space="preserve">Grupo de Articulación Interna para la Política de Víctimas del Conflicto Armado. </v>
      </c>
      <c r="D982" s="559"/>
      <c r="E982" s="559"/>
      <c r="F982" s="559"/>
      <c r="G982" s="559"/>
      <c r="H982" s="559"/>
      <c r="I982" s="559"/>
      <c r="J982" s="559"/>
      <c r="K982" s="559"/>
      <c r="L982" s="560"/>
    </row>
    <row r="983" spans="1:12">
      <c r="A983" s="101"/>
      <c r="B983" s="72" t="s">
        <v>99</v>
      </c>
      <c r="C983" s="559" t="str">
        <f ca="1">OFFSET('Bateria indicadores proceso'!$K$3,(RIGHT(A982,3)),1)</f>
        <v>Asistencias técnicas realizadas a las entidades territoriales para la articulación de la política pública de víctimas.</v>
      </c>
      <c r="D983" s="559"/>
      <c r="E983" s="559"/>
      <c r="F983" s="559"/>
      <c r="G983" s="559"/>
      <c r="H983" s="559"/>
      <c r="I983" s="559"/>
      <c r="J983" s="559"/>
      <c r="K983" s="559"/>
      <c r="L983" s="560"/>
    </row>
    <row r="984" spans="1:12">
      <c r="A984" s="101"/>
      <c r="B984" s="72" t="s">
        <v>100</v>
      </c>
      <c r="C984" s="559" t="str">
        <f ca="1">OFFSET('Bateria indicadores proceso'!$I$3,(RIGHT(A982,3)),1)</f>
        <v>Eficiencia</v>
      </c>
      <c r="D984" s="559"/>
      <c r="E984" s="559"/>
      <c r="F984" s="559"/>
      <c r="G984" s="559"/>
      <c r="H984" s="559"/>
      <c r="I984" s="559"/>
      <c r="J984" s="559"/>
      <c r="K984" s="559"/>
      <c r="L984" s="560"/>
    </row>
    <row r="985" spans="1:12" ht="15.75" thickBot="1">
      <c r="A985" s="103"/>
      <c r="B985" s="73" t="s">
        <v>101</v>
      </c>
      <c r="C985" s="559" t="str">
        <f ca="1">OFFSET('Bateria indicadores proceso'!$J$3,(RIGHT(A982,3)),1)</f>
        <v>Brindar asistencia técnica oportuna y especializada a las entidades territoriales para fortalecer y mantener sus capacidades institucionales en la planeación, gestión e implementación de la política pública de víctimas. Medir este indicador es importante porque permite verificar el nivel de acompañamiento brindado, asegurar la continuidad del fortalecimiento territorial y orientar acciones de mejora para optimizar los resultados en los procesos operativos y de gestión.</v>
      </c>
      <c r="D985" s="559"/>
      <c r="E985" s="559"/>
      <c r="F985" s="559"/>
      <c r="G985" s="559"/>
      <c r="H985" s="559"/>
      <c r="I985" s="559"/>
      <c r="J985" s="559"/>
      <c r="K985" s="559"/>
      <c r="L985" s="560"/>
    </row>
    <row r="986" spans="1:12" ht="16.5" thickBot="1">
      <c r="A986" s="103"/>
      <c r="B986" s="572" t="s">
        <v>102</v>
      </c>
      <c r="C986" s="573"/>
      <c r="D986" s="573"/>
      <c r="E986" s="573"/>
      <c r="F986" s="573"/>
      <c r="G986" s="573"/>
      <c r="H986" s="573"/>
      <c r="I986" s="573"/>
      <c r="J986" s="573"/>
      <c r="K986" s="573"/>
      <c r="L986" s="574"/>
    </row>
    <row r="987" spans="1:12">
      <c r="A987" s="101"/>
      <c r="B987" s="71" t="s">
        <v>103</v>
      </c>
      <c r="C987" s="559" t="str">
        <f ca="1">OFFSET('Bateria indicadores proceso'!$O$3,(RIGHT(A982,3)),1)</f>
        <v>Número</v>
      </c>
      <c r="D987" s="559"/>
      <c r="E987" s="559"/>
      <c r="F987" s="559"/>
      <c r="G987" s="559"/>
      <c r="H987" s="559"/>
      <c r="I987" s="559"/>
      <c r="J987" s="559"/>
      <c r="K987" s="559"/>
      <c r="L987" s="560"/>
    </row>
    <row r="988" spans="1:12" ht="24">
      <c r="A988" s="101"/>
      <c r="B988" s="72" t="s">
        <v>104</v>
      </c>
      <c r="C988" s="559"/>
      <c r="D988" s="559"/>
      <c r="E988" s="559"/>
      <c r="F988" s="559"/>
      <c r="G988" s="559"/>
      <c r="H988" s="559"/>
      <c r="I988" s="559"/>
      <c r="J988" s="559"/>
      <c r="K988" s="559"/>
      <c r="L988" s="560"/>
    </row>
    <row r="989" spans="1:12">
      <c r="A989" s="101"/>
      <c r="B989" s="72" t="s">
        <v>105</v>
      </c>
      <c r="C989" s="559" t="str">
        <f ca="1">OFFSET('Bateria indicadores proceso'!$L$3,(RIGHT(A982,3)),1)</f>
        <v>Sumatoria de entidades territoriales que reciben asistencia técnica durante el año.</v>
      </c>
      <c r="D989" s="559"/>
      <c r="E989" s="559"/>
      <c r="F989" s="559"/>
      <c r="G989" s="559"/>
      <c r="H989" s="559"/>
      <c r="I989" s="559"/>
      <c r="J989" s="559"/>
      <c r="K989" s="559"/>
      <c r="L989" s="560"/>
    </row>
    <row r="990" spans="1:12">
      <c r="A990" s="101"/>
      <c r="B990" s="72" t="s">
        <v>106</v>
      </c>
      <c r="C990" s="559" t="str">
        <f ca="1">OFFSET('Bateria indicadores proceso'!$Z$3,(RIGHT(A982,3)),1)</f>
        <v>Trimestral</v>
      </c>
      <c r="D990" s="559"/>
      <c r="E990" s="559"/>
      <c r="F990" s="559"/>
      <c r="G990" s="559"/>
      <c r="H990" s="559"/>
      <c r="I990" s="559"/>
      <c r="J990" s="559"/>
      <c r="K990" s="559"/>
      <c r="L990" s="560"/>
    </row>
    <row r="991" spans="1:12">
      <c r="A991" s="101"/>
      <c r="B991" s="72" t="s">
        <v>107</v>
      </c>
      <c r="C991" s="559" t="str">
        <f ca="1">OFFSET('Bateria indicadores proceso'!$X$3,(RIGHT(A982,3)),1)</f>
        <v>Listas de asistencia y registros de participación asociados a las sesiones de asistencia técnica realizadas durante la vigencia, consolidadas en los reportes internos de la entidad.</v>
      </c>
      <c r="D991" s="559"/>
      <c r="E991" s="559"/>
      <c r="F991" s="559"/>
      <c r="G991" s="559"/>
      <c r="H991" s="559"/>
      <c r="I991" s="559"/>
      <c r="J991" s="559"/>
      <c r="K991" s="559"/>
      <c r="L991" s="560"/>
    </row>
    <row r="992" spans="1:12">
      <c r="A992" s="101"/>
      <c r="B992" s="72" t="s">
        <v>108</v>
      </c>
      <c r="C992" s="561">
        <f ca="1">OFFSET('Bateria indicadores proceso'!$P$3,(RIGHT(A982,3)),1)</f>
        <v>2024</v>
      </c>
      <c r="D992" s="561"/>
      <c r="E992" s="561"/>
      <c r="F992" s="561"/>
      <c r="G992" s="561"/>
      <c r="H992" s="561"/>
      <c r="I992" s="561"/>
      <c r="J992" s="561"/>
      <c r="K992" s="561"/>
      <c r="L992" s="566"/>
    </row>
    <row r="993" spans="1:12">
      <c r="A993" s="101"/>
      <c r="B993" s="72" t="s">
        <v>109</v>
      </c>
      <c r="C993" s="561" t="str">
        <f ca="1">IF(C987="Número",TEXT(OFFSET('Bateria indicadores proceso'!$Q$3,(RIGHT(A982,3)),1),"######"),TEXT(OFFSET('Bateria indicadores proceso'!$Q$3,(RIGHT(A982,3)),1),"0.0%"))</f>
        <v>1134</v>
      </c>
      <c r="D993" s="561"/>
      <c r="E993" s="561"/>
      <c r="F993" s="561"/>
      <c r="G993" s="561"/>
      <c r="H993" s="561"/>
      <c r="I993" s="561"/>
      <c r="J993" s="561"/>
      <c r="K993" s="561"/>
      <c r="L993" s="566"/>
    </row>
    <row r="994" spans="1:12">
      <c r="A994" s="101"/>
      <c r="B994" s="72" t="s">
        <v>110</v>
      </c>
      <c r="C994" s="593">
        <f ca="1">+OFFSET('Bateria indicadores proceso'!$R$3,(RIGHT(A982,3)),1)</f>
        <v>46022</v>
      </c>
      <c r="D994" s="593"/>
      <c r="E994" s="593"/>
      <c r="F994" s="593"/>
      <c r="G994" s="593"/>
      <c r="H994" s="593"/>
      <c r="I994" s="593"/>
      <c r="J994" s="593"/>
      <c r="K994" s="593"/>
      <c r="L994" s="594"/>
    </row>
    <row r="995" spans="1:12">
      <c r="A995" s="101"/>
      <c r="B995" s="72" t="s">
        <v>111</v>
      </c>
      <c r="C995" s="561" t="str">
        <f ca="1">OFFSET('Bateria indicadores proceso'!$M$3,(RIGHT(A982,3)),1)</f>
        <v>Incrementar</v>
      </c>
      <c r="D995" s="561"/>
      <c r="E995" s="561"/>
      <c r="F995" s="561"/>
      <c r="G995" s="561"/>
      <c r="H995" s="561"/>
      <c r="I995" s="561"/>
      <c r="J995" s="561"/>
      <c r="K995" s="561"/>
      <c r="L995" s="566"/>
    </row>
    <row r="996" spans="1:12">
      <c r="A996" s="101"/>
      <c r="B996" s="72" t="s">
        <v>112</v>
      </c>
      <c r="C996" s="561" t="str">
        <f ca="1">OFFSET('Bateria indicadores proceso'!$N$3,(RIGHT(A982,3)),1)</f>
        <v>Acumulado</v>
      </c>
      <c r="D996" s="561"/>
      <c r="E996" s="561"/>
      <c r="F996" s="561"/>
      <c r="G996" s="561"/>
      <c r="H996" s="561"/>
      <c r="I996" s="561"/>
      <c r="J996" s="561"/>
      <c r="K996" s="561"/>
      <c r="L996" s="566"/>
    </row>
    <row r="997" spans="1:12">
      <c r="A997" s="101"/>
      <c r="B997" s="72" t="s">
        <v>113</v>
      </c>
      <c r="C997" s="561" t="str">
        <f ca="1">IF(C987="Número",TEXT(OFFSET('Bateria indicadores proceso'!$W$3,(RIGHT(A982,3)),1),"######"),TEXT(OFFSET('Bateria indicadores proceso'!$W$3,(RIGHT(A982,3)),1),"0.0%"))</f>
        <v>1134</v>
      </c>
      <c r="D997" s="561"/>
      <c r="E997" s="561"/>
      <c r="F997" s="561"/>
      <c r="G997" s="561"/>
      <c r="H997" s="561"/>
      <c r="I997" s="561"/>
      <c r="J997" s="561"/>
      <c r="K997" s="561"/>
      <c r="L997" s="566"/>
    </row>
    <row r="998" spans="1:12">
      <c r="A998" s="101"/>
      <c r="B998" s="595" t="s">
        <v>114</v>
      </c>
      <c r="C998" s="70" t="s">
        <v>115</v>
      </c>
      <c r="D998" s="70" t="s">
        <v>116</v>
      </c>
      <c r="E998" s="70" t="s">
        <v>117</v>
      </c>
      <c r="F998" s="70" t="s">
        <v>118</v>
      </c>
      <c r="J998" s="75"/>
      <c r="K998" s="75"/>
      <c r="L998" s="76"/>
    </row>
    <row r="999" spans="1:12">
      <c r="A999" s="101"/>
      <c r="B999" s="595"/>
      <c r="C999" s="70" t="str">
        <f ca="1">IF(C987="Número",TEXT(OFFSET('Bateria indicadores proceso'!$S$3,(RIGHT(A982,3)),1),"######"),TEXT(OFFSET('Bateria indicadores proceso'!$S$3,(RIGHT(A982,3)),1),"0.0%"))</f>
        <v>99</v>
      </c>
      <c r="D999" s="70" t="str">
        <f ca="1">IF(C987="Número",TEXT(OFFSET('Bateria indicadores proceso'!$T$3,(RIGHT(A982,3)),1),"######"),TEXT(OFFSET('Bateria indicadores proceso'!$T$3,(RIGHT(A982,3)),1),"0.0%"))</f>
        <v>345</v>
      </c>
      <c r="E999" s="70" t="str">
        <f ca="1">IF(C987="Número",TEXT(OFFSET('Bateria indicadores proceso'!$U$3,(RIGHT(A982,3)),1),"######"),TEXT(OFFSET('Bateria indicadores proceso'!$U$3,(RIGHT(A982,3)),1),"0.0%"))</f>
        <v>345</v>
      </c>
      <c r="F999" s="70" t="str">
        <f ca="1">IF(C987="Número",TEXT(OFFSET('Bateria indicadores proceso'!$V$3,(RIGHT(A982,3)),1),"######"),TEXT(OFFSET('Bateria indicadores proceso'!$V$3,(RIGHT(A982,3)),1),"0.0%"))</f>
        <v>345</v>
      </c>
      <c r="J999" s="77"/>
      <c r="K999" s="77"/>
      <c r="L999" s="78"/>
    </row>
    <row r="1000" spans="1:12">
      <c r="A1000" s="101"/>
      <c r="B1000" s="600" t="s">
        <v>119</v>
      </c>
      <c r="C1000" s="567" t="s">
        <v>120</v>
      </c>
      <c r="D1000" s="568"/>
      <c r="E1000" s="567" t="s">
        <v>121</v>
      </c>
      <c r="F1000" s="568"/>
      <c r="G1000" s="567" t="s">
        <v>122</v>
      </c>
      <c r="H1000" s="568"/>
      <c r="I1000" s="567" t="s">
        <v>123</v>
      </c>
      <c r="J1000" s="568"/>
      <c r="K1000" s="567" t="s">
        <v>124</v>
      </c>
      <c r="L1000" s="569"/>
    </row>
    <row r="1001" spans="1:12">
      <c r="A1001" s="101"/>
      <c r="B1001" s="601"/>
      <c r="C1001" s="570" t="s">
        <v>125</v>
      </c>
      <c r="D1001" s="571"/>
      <c r="E1001" s="577" t="s">
        <v>126</v>
      </c>
      <c r="F1001" s="578"/>
      <c r="G1001" s="579" t="s">
        <v>127</v>
      </c>
      <c r="H1001" s="580"/>
      <c r="I1001" s="581" t="s">
        <v>128</v>
      </c>
      <c r="J1001" s="582"/>
      <c r="K1001" s="583" t="s">
        <v>129</v>
      </c>
      <c r="L1001" s="584"/>
    </row>
    <row r="1002" spans="1:12">
      <c r="A1002" s="101"/>
      <c r="B1002" s="602"/>
      <c r="C1002" s="567" t="s">
        <v>130</v>
      </c>
      <c r="D1002" s="568"/>
      <c r="E1002" s="567" t="s">
        <v>131</v>
      </c>
      <c r="F1002" s="568"/>
      <c r="G1002" s="585" t="s">
        <v>132</v>
      </c>
      <c r="H1002" s="568"/>
      <c r="I1002" s="567" t="s">
        <v>133</v>
      </c>
      <c r="J1002" s="568"/>
      <c r="K1002" s="567" t="s">
        <v>134</v>
      </c>
      <c r="L1002" s="569"/>
    </row>
    <row r="1003" spans="1:12">
      <c r="A1003" s="101"/>
      <c r="B1003" s="72" t="s">
        <v>135</v>
      </c>
      <c r="C1003" s="559" t="str">
        <f ca="1">OFFSET('Bateria indicadores proceso'!$Y$3,(RIGHT(A982,3)),1)</f>
        <v>Listas de asistencia y registros formales de participación que respalden la ejecución de las sesiones de asistencia técnica</v>
      </c>
      <c r="D1003" s="559"/>
      <c r="E1003" s="559"/>
      <c r="F1003" s="559"/>
      <c r="G1003" s="559"/>
      <c r="H1003" s="559"/>
      <c r="I1003" s="559"/>
      <c r="J1003" s="559"/>
      <c r="K1003" s="559"/>
      <c r="L1003" s="560"/>
    </row>
    <row r="1004" spans="1:12">
      <c r="A1004" s="101"/>
      <c r="B1004" s="591" t="s">
        <v>136</v>
      </c>
      <c r="C1004" s="561" t="s">
        <v>137</v>
      </c>
      <c r="D1004" s="561"/>
      <c r="E1004" s="561"/>
      <c r="F1004" s="562" t="str">
        <f ca="1">OFFSET('Bateria indicadores proceso'!$B$3,(RIGHT(A982,3)),1)</f>
        <v>GESTIÓN PARA LA PROTECCIÓN DE LOS DERECHOS</v>
      </c>
      <c r="G1004" s="562"/>
      <c r="H1004" s="562"/>
      <c r="I1004" s="562"/>
      <c r="J1004" s="562"/>
      <c r="K1004" s="562"/>
      <c r="L1004" s="563"/>
    </row>
    <row r="1005" spans="1:12">
      <c r="A1005" s="101"/>
      <c r="B1005" s="592"/>
      <c r="C1005" s="561" t="s">
        <v>138</v>
      </c>
      <c r="D1005" s="561"/>
      <c r="E1005" s="561"/>
      <c r="F1005" s="564">
        <f ca="1">OFFSET('Bateria indicadores proceso'!$C$3,(RIGHT(A982,3)),1)</f>
        <v>0.11</v>
      </c>
      <c r="G1005" s="564"/>
      <c r="H1005" s="564"/>
      <c r="I1005" s="564"/>
      <c r="J1005" s="564"/>
      <c r="K1005" s="564"/>
      <c r="L1005" s="565"/>
    </row>
    <row r="1006" spans="1:12" ht="15.75" thickBot="1">
      <c r="A1006" s="101"/>
      <c r="B1006" s="592"/>
      <c r="C1006" s="561" t="s">
        <v>139</v>
      </c>
      <c r="D1006" s="561"/>
      <c r="E1006" s="561"/>
      <c r="F1006" s="564">
        <f ca="1">OFFSET('Bateria indicadores proceso'!$E$3,(RIGHT(A982,3)),1)</f>
        <v>5.5E-2</v>
      </c>
      <c r="G1006" s="564"/>
      <c r="H1006" s="564"/>
      <c r="I1006" s="564"/>
      <c r="J1006" s="564"/>
      <c r="K1006" s="564"/>
      <c r="L1006" s="565"/>
    </row>
    <row r="1007" spans="1:12" ht="16.5" thickBot="1">
      <c r="A1007" s="101"/>
      <c r="B1007" s="572" t="s">
        <v>140</v>
      </c>
      <c r="C1007" s="573"/>
      <c r="D1007" s="573"/>
      <c r="E1007" s="573"/>
      <c r="F1007" s="573"/>
      <c r="G1007" s="573"/>
      <c r="H1007" s="573"/>
      <c r="I1007" s="573"/>
      <c r="J1007" s="573"/>
      <c r="K1007" s="573"/>
      <c r="L1007" s="574"/>
    </row>
    <row r="1008" spans="1:12">
      <c r="A1008" s="101"/>
      <c r="B1008" s="72" t="s">
        <v>142</v>
      </c>
      <c r="C1008" s="561" t="str">
        <f ca="1">OFFSET('Bateria indicadores proceso'!$G$3,(RIGHT(A982,3)),1)</f>
        <v>Coordinador</v>
      </c>
      <c r="D1008" s="561"/>
      <c r="E1008" s="561"/>
      <c r="F1008" s="561"/>
      <c r="G1008" s="561"/>
      <c r="H1008" s="561"/>
      <c r="I1008" s="561"/>
      <c r="J1008" s="561"/>
      <c r="K1008" s="561"/>
      <c r="L1008" s="566"/>
    </row>
    <row r="1009" spans="1:12">
      <c r="A1009" s="101"/>
      <c r="B1009" s="72" t="s">
        <v>143</v>
      </c>
      <c r="C1009" s="561" t="str">
        <f ca="1">OFFSET('Bateria indicadores proceso'!$F$3,(RIGHT(A982,3)),1)</f>
        <v xml:space="preserve">Grupo de Articulación Interna para la Política de Víctimas del Conflicto Armado. </v>
      </c>
      <c r="D1009" s="561"/>
      <c r="E1009" s="561"/>
      <c r="F1009" s="561"/>
      <c r="G1009" s="561"/>
      <c r="H1009" s="561"/>
      <c r="I1009" s="561"/>
      <c r="J1009" s="561"/>
      <c r="K1009" s="561"/>
      <c r="L1009" s="566"/>
    </row>
    <row r="1010" spans="1:12">
      <c r="A1010" s="101"/>
      <c r="B1010" s="72" t="s">
        <v>144</v>
      </c>
      <c r="C1010" s="598" t="str">
        <f ca="1">OFFSET('Bateria indicadores proceso'!$H$3,(RIGHT(A946,3)),1)</f>
        <v xml:space="preserve">paula.sierra@mininterior.gov.co									</v>
      </c>
      <c r="D1010" s="598"/>
      <c r="E1010" s="598"/>
      <c r="F1010" s="598"/>
      <c r="G1010" s="598"/>
      <c r="H1010" s="598"/>
      <c r="I1010" s="598"/>
      <c r="J1010" s="598"/>
      <c r="K1010" s="598"/>
      <c r="L1010" s="599"/>
    </row>
    <row r="1011" spans="1:12" ht="15.75" thickBot="1">
      <c r="A1011" s="104"/>
      <c r="B1011" s="74" t="s">
        <v>145</v>
      </c>
      <c r="C1011" s="596" t="s">
        <v>146</v>
      </c>
      <c r="D1011" s="596"/>
      <c r="E1011" s="596"/>
      <c r="F1011" s="596"/>
      <c r="G1011" s="596"/>
      <c r="H1011" s="596"/>
      <c r="I1011" s="596"/>
      <c r="J1011" s="596"/>
      <c r="K1011" s="596"/>
      <c r="L1011" s="597"/>
    </row>
    <row r="1012" spans="1:12" ht="15.75" thickBot="1"/>
    <row r="1013" spans="1:12" ht="21.75" thickBot="1">
      <c r="A1013" s="586" t="s">
        <v>89</v>
      </c>
      <c r="B1013" s="587"/>
      <c r="C1013" s="587"/>
      <c r="D1013" s="587"/>
      <c r="E1013" s="587"/>
      <c r="F1013" s="587"/>
      <c r="G1013" s="587"/>
      <c r="H1013" s="587"/>
      <c r="I1013" s="587"/>
      <c r="J1013" s="587"/>
      <c r="K1013" s="587"/>
      <c r="L1013" s="588"/>
    </row>
    <row r="1014" spans="1:12" ht="32.25" thickBot="1">
      <c r="A1014" s="69" t="s">
        <v>90</v>
      </c>
      <c r="B1014" s="589" t="s">
        <v>91</v>
      </c>
      <c r="C1014" s="589"/>
      <c r="D1014" s="589"/>
      <c r="E1014" s="589"/>
      <c r="F1014" s="589"/>
      <c r="G1014" s="589"/>
      <c r="H1014" s="589"/>
      <c r="I1014" s="589"/>
      <c r="J1014" s="589"/>
      <c r="K1014" s="589"/>
      <c r="L1014" s="589"/>
    </row>
    <row r="1015" spans="1:12" ht="16.5" thickBot="1">
      <c r="A1015" s="100"/>
      <c r="B1015" s="71" t="s">
        <v>92</v>
      </c>
      <c r="C1015" s="575" t="s">
        <v>93</v>
      </c>
      <c r="D1015" s="575"/>
      <c r="E1015" s="575"/>
      <c r="F1015" s="575"/>
      <c r="G1015" s="575"/>
      <c r="H1015" s="575"/>
      <c r="I1015" s="575"/>
      <c r="J1015" s="575"/>
      <c r="K1015" s="575"/>
      <c r="L1015" s="576"/>
    </row>
    <row r="1016" spans="1:12" ht="16.5" thickBot="1">
      <c r="A1016" s="101"/>
      <c r="B1016" s="589" t="s">
        <v>94</v>
      </c>
      <c r="C1016" s="590"/>
      <c r="D1016" s="590"/>
      <c r="E1016" s="590"/>
      <c r="F1016" s="590"/>
      <c r="G1016" s="590"/>
      <c r="H1016" s="590"/>
      <c r="I1016" s="590"/>
      <c r="J1016" s="590"/>
      <c r="K1016" s="590"/>
      <c r="L1016" s="590"/>
    </row>
    <row r="1017" spans="1:12">
      <c r="A1017" s="101"/>
      <c r="B1017" s="71" t="s">
        <v>95</v>
      </c>
      <c r="C1017" s="559" t="s">
        <v>96</v>
      </c>
      <c r="D1017" s="559"/>
      <c r="E1017" s="559"/>
      <c r="F1017" s="559"/>
      <c r="G1017" s="559"/>
      <c r="H1017" s="559"/>
      <c r="I1017" s="559"/>
      <c r="J1017" s="559"/>
      <c r="K1017" s="559"/>
      <c r="L1017" s="560"/>
    </row>
    <row r="1018" spans="1:12">
      <c r="A1018" s="102" t="s">
        <v>174</v>
      </c>
      <c r="B1018" s="72" t="s">
        <v>98</v>
      </c>
      <c r="C1018" s="559" t="str">
        <f ca="1">OFFSET('Bateria indicadores proceso'!$F$3,(RIGHT(A1018,3)),1)</f>
        <v>Dirección de Derechos Humanos</v>
      </c>
      <c r="D1018" s="559"/>
      <c r="E1018" s="559"/>
      <c r="F1018" s="559"/>
      <c r="G1018" s="559"/>
      <c r="H1018" s="559"/>
      <c r="I1018" s="559"/>
      <c r="J1018" s="559"/>
      <c r="K1018" s="559"/>
      <c r="L1018" s="560"/>
    </row>
    <row r="1019" spans="1:12">
      <c r="A1019" s="101"/>
      <c r="B1019" s="72" t="s">
        <v>99</v>
      </c>
      <c r="C1019" s="559" t="str">
        <f ca="1">OFFSET('Bateria indicadores proceso'!$K$3,(RIGHT(A1018,3)),1)</f>
        <v>Planes integrales de prevención formulados o actualizados frente a violaciones de Derechos Humanos e infracciones al Derecho Internacional Humanitario</v>
      </c>
      <c r="D1019" s="559"/>
      <c r="E1019" s="559"/>
      <c r="F1019" s="559"/>
      <c r="G1019" s="559"/>
      <c r="H1019" s="559"/>
      <c r="I1019" s="559"/>
      <c r="J1019" s="559"/>
      <c r="K1019" s="559"/>
      <c r="L1019" s="560"/>
    </row>
    <row r="1020" spans="1:12">
      <c r="A1020" s="101"/>
      <c r="B1020" s="72" t="s">
        <v>100</v>
      </c>
      <c r="C1020" s="559" t="str">
        <f ca="1">OFFSET('Bateria indicadores proceso'!$I$3,(RIGHT(A1018,3)),1)</f>
        <v>Eficacia</v>
      </c>
      <c r="D1020" s="559"/>
      <c r="E1020" s="559"/>
      <c r="F1020" s="559"/>
      <c r="G1020" s="559"/>
      <c r="H1020" s="559"/>
      <c r="I1020" s="559"/>
      <c r="J1020" s="559"/>
      <c r="K1020" s="559"/>
      <c r="L1020" s="560"/>
    </row>
    <row r="1021" spans="1:12" ht="15.75" thickBot="1">
      <c r="A1021" s="103"/>
      <c r="B1021" s="73" t="s">
        <v>101</v>
      </c>
      <c r="C1021" s="559" t="str">
        <f ca="1">OFFSET('Bateria indicadores proceso'!$J$3,(RIGHT(A1018,3)),1)</f>
        <v>Fortalecer la politica pública de preveción de violaciones a los Derechos a la vida , integridad y seguridad de personas , grupos y comunidades.</v>
      </c>
      <c r="D1021" s="559"/>
      <c r="E1021" s="559"/>
      <c r="F1021" s="559"/>
      <c r="G1021" s="559"/>
      <c r="H1021" s="559"/>
      <c r="I1021" s="559"/>
      <c r="J1021" s="559"/>
      <c r="K1021" s="559"/>
      <c r="L1021" s="560"/>
    </row>
    <row r="1022" spans="1:12" ht="16.5" thickBot="1">
      <c r="A1022" s="103"/>
      <c r="B1022" s="572" t="s">
        <v>102</v>
      </c>
      <c r="C1022" s="573"/>
      <c r="D1022" s="573"/>
      <c r="E1022" s="573"/>
      <c r="F1022" s="573"/>
      <c r="G1022" s="573"/>
      <c r="H1022" s="573"/>
      <c r="I1022" s="573"/>
      <c r="J1022" s="573"/>
      <c r="K1022" s="573"/>
      <c r="L1022" s="574"/>
    </row>
    <row r="1023" spans="1:12">
      <c r="A1023" s="101"/>
      <c r="B1023" s="71" t="s">
        <v>103</v>
      </c>
      <c r="C1023" s="559" t="str">
        <f ca="1">OFFSET('Bateria indicadores proceso'!$O$3,(RIGHT(A1018,3)),1)</f>
        <v>Número</v>
      </c>
      <c r="D1023" s="559"/>
      <c r="E1023" s="559"/>
      <c r="F1023" s="559"/>
      <c r="G1023" s="559"/>
      <c r="H1023" s="559"/>
      <c r="I1023" s="559"/>
      <c r="J1023" s="559"/>
      <c r="K1023" s="559"/>
      <c r="L1023" s="560"/>
    </row>
    <row r="1024" spans="1:12" ht="24">
      <c r="A1024" s="101"/>
      <c r="B1024" s="72" t="s">
        <v>104</v>
      </c>
      <c r="C1024" s="559"/>
      <c r="D1024" s="559"/>
      <c r="E1024" s="559"/>
      <c r="F1024" s="559"/>
      <c r="G1024" s="559"/>
      <c r="H1024" s="559"/>
      <c r="I1024" s="559"/>
      <c r="J1024" s="559"/>
      <c r="K1024" s="559"/>
      <c r="L1024" s="560"/>
    </row>
    <row r="1025" spans="1:12">
      <c r="A1025" s="101"/>
      <c r="B1025" s="72" t="s">
        <v>105</v>
      </c>
      <c r="C1025" s="559" t="str">
        <f ca="1">OFFSET('Bateria indicadores proceso'!$L$3,(RIGHT(A1018,3)),1)</f>
        <v>Sumatoria de número de Planes Integrales de prevención a las violaciones de Derechos Humanos e infracciones al derecho internacional humanitario  formulados o actualizados</v>
      </c>
      <c r="D1025" s="559"/>
      <c r="E1025" s="559"/>
      <c r="F1025" s="559"/>
      <c r="G1025" s="559"/>
      <c r="H1025" s="559"/>
      <c r="I1025" s="559"/>
      <c r="J1025" s="559"/>
      <c r="K1025" s="559"/>
      <c r="L1025" s="560"/>
    </row>
    <row r="1026" spans="1:12">
      <c r="A1026" s="101"/>
      <c r="B1026" s="72" t="s">
        <v>106</v>
      </c>
      <c r="C1026" s="559" t="str">
        <f ca="1">OFFSET('Bateria indicadores proceso'!$Z$3,(RIGHT(A1018,3)),1)</f>
        <v xml:space="preserve">Trimestral </v>
      </c>
      <c r="D1026" s="559"/>
      <c r="E1026" s="559"/>
      <c r="F1026" s="559"/>
      <c r="G1026" s="559"/>
      <c r="H1026" s="559"/>
      <c r="I1026" s="559"/>
      <c r="J1026" s="559"/>
      <c r="K1026" s="559"/>
      <c r="L1026" s="560"/>
    </row>
    <row r="1027" spans="1:12">
      <c r="A1027" s="101"/>
      <c r="B1027" s="72" t="s">
        <v>107</v>
      </c>
      <c r="C1027" s="559" t="str">
        <f ca="1">OFFSET('Bateria indicadores proceso'!$X$3,(RIGHT(A1018,3)),1)</f>
        <v>La herramienta de la cual se obtine la información del indicador es el Plan Estrategico y de acción de cada vigencia.</v>
      </c>
      <c r="D1027" s="559"/>
      <c r="E1027" s="559"/>
      <c r="F1027" s="559"/>
      <c r="G1027" s="559"/>
      <c r="H1027" s="559"/>
      <c r="I1027" s="559"/>
      <c r="J1027" s="559"/>
      <c r="K1027" s="559"/>
      <c r="L1027" s="560"/>
    </row>
    <row r="1028" spans="1:12">
      <c r="A1028" s="101"/>
      <c r="B1028" s="72" t="s">
        <v>108</v>
      </c>
      <c r="C1028" s="561">
        <f ca="1">OFFSET('Bateria indicadores proceso'!$P$3,(RIGHT(A1018,3)),1)</f>
        <v>2022</v>
      </c>
      <c r="D1028" s="561"/>
      <c r="E1028" s="561"/>
      <c r="F1028" s="561"/>
      <c r="G1028" s="561"/>
      <c r="H1028" s="561"/>
      <c r="I1028" s="561"/>
      <c r="J1028" s="561"/>
      <c r="K1028" s="561"/>
      <c r="L1028" s="566"/>
    </row>
    <row r="1029" spans="1:12">
      <c r="A1029" s="101"/>
      <c r="B1029" s="72" t="s">
        <v>109</v>
      </c>
      <c r="C1029" s="561" t="str">
        <f ca="1">IF(C1023="Número",TEXT(OFFSET('Bateria indicadores proceso'!$Q$3,(RIGHT(A1018,3)),1),"######"),TEXT(OFFSET('Bateria indicadores proceso'!$Q$3,(RIGHT(A1018,3)),1),"0.0%"))</f>
        <v>170</v>
      </c>
      <c r="D1029" s="561"/>
      <c r="E1029" s="561"/>
      <c r="F1029" s="561"/>
      <c r="G1029" s="561"/>
      <c r="H1029" s="561"/>
      <c r="I1029" s="561"/>
      <c r="J1029" s="561"/>
      <c r="K1029" s="561"/>
      <c r="L1029" s="566"/>
    </row>
    <row r="1030" spans="1:12">
      <c r="A1030" s="101"/>
      <c r="B1030" s="72" t="s">
        <v>110</v>
      </c>
      <c r="C1030" s="593">
        <f ca="1">+OFFSET('Bateria indicadores proceso'!$R$3,(RIGHT(A1018,3)),1)</f>
        <v>46022</v>
      </c>
      <c r="D1030" s="593"/>
      <c r="E1030" s="593"/>
      <c r="F1030" s="593"/>
      <c r="G1030" s="593"/>
      <c r="H1030" s="593"/>
      <c r="I1030" s="593"/>
      <c r="J1030" s="593"/>
      <c r="K1030" s="593"/>
      <c r="L1030" s="594"/>
    </row>
    <row r="1031" spans="1:12">
      <c r="A1031" s="101"/>
      <c r="B1031" s="72" t="s">
        <v>111</v>
      </c>
      <c r="C1031" s="561" t="str">
        <f ca="1">OFFSET('Bateria indicadores proceso'!$M$3,(RIGHT(A1018,3)),1)</f>
        <v>Incrementar</v>
      </c>
      <c r="D1031" s="561"/>
      <c r="E1031" s="561"/>
      <c r="F1031" s="561"/>
      <c r="G1031" s="561"/>
      <c r="H1031" s="561"/>
      <c r="I1031" s="561"/>
      <c r="J1031" s="561"/>
      <c r="K1031" s="561"/>
      <c r="L1031" s="566"/>
    </row>
    <row r="1032" spans="1:12">
      <c r="A1032" s="101"/>
      <c r="B1032" s="72" t="s">
        <v>112</v>
      </c>
      <c r="C1032" s="561" t="str">
        <f ca="1">OFFSET('Bateria indicadores proceso'!$N$3,(RIGHT(A1018,3)),1)</f>
        <v>Acumulado</v>
      </c>
      <c r="D1032" s="561"/>
      <c r="E1032" s="561"/>
      <c r="F1032" s="561"/>
      <c r="G1032" s="561"/>
      <c r="H1032" s="561"/>
      <c r="I1032" s="561"/>
      <c r="J1032" s="561"/>
      <c r="K1032" s="561"/>
      <c r="L1032" s="566"/>
    </row>
    <row r="1033" spans="1:12">
      <c r="A1033" s="101"/>
      <c r="B1033" s="72" t="s">
        <v>113</v>
      </c>
      <c r="C1033" s="561" t="str">
        <f ca="1">IF(C1023="Número",TEXT(OFFSET('Bateria indicadores proceso'!$W$3,(RIGHT(A1018,3)),1),"######"),TEXT(OFFSET('Bateria indicadores proceso'!$W$3,(RIGHT(A1018,3)),1),"0.0%"))</f>
        <v>220</v>
      </c>
      <c r="D1033" s="561"/>
      <c r="E1033" s="561"/>
      <c r="F1033" s="561"/>
      <c r="G1033" s="561"/>
      <c r="H1033" s="561"/>
      <c r="I1033" s="561"/>
      <c r="J1033" s="561"/>
      <c r="K1033" s="561"/>
      <c r="L1033" s="566"/>
    </row>
    <row r="1034" spans="1:12">
      <c r="A1034" s="101"/>
      <c r="B1034" s="595" t="s">
        <v>114</v>
      </c>
      <c r="C1034" s="70" t="s">
        <v>115</v>
      </c>
      <c r="D1034" s="70" t="s">
        <v>116</v>
      </c>
      <c r="E1034" s="70" t="s">
        <v>117</v>
      </c>
      <c r="F1034" s="70" t="s">
        <v>118</v>
      </c>
      <c r="J1034" s="75"/>
      <c r="K1034" s="75"/>
      <c r="L1034" s="76"/>
    </row>
    <row r="1035" spans="1:12">
      <c r="A1035" s="101"/>
      <c r="B1035" s="595"/>
      <c r="C1035" s="70" t="str">
        <f ca="1">IF(C1023="Número",TEXT(OFFSET('Bateria indicadores proceso'!$S$3,(RIGHT(A1018,3)),1),"######"),TEXT(OFFSET('Bateria indicadores proceso'!$S$3,(RIGHT(A1018,3)),1),"0.0%"))</f>
        <v>20</v>
      </c>
      <c r="D1035" s="70" t="str">
        <f ca="1">IF(C1023="Número",TEXT(OFFSET('Bateria indicadores proceso'!$T$3,(RIGHT(A1018,3)),1),"######"),TEXT(OFFSET('Bateria indicadores proceso'!$T$3,(RIGHT(A1018,3)),1),"0.0%"))</f>
        <v>80</v>
      </c>
      <c r="E1035" s="70" t="str">
        <f ca="1">IF(C1023="Número",TEXT(OFFSET('Bateria indicadores proceso'!$U$3,(RIGHT(A1018,3)),1),"######"),TEXT(OFFSET('Bateria indicadores proceso'!$U$3,(RIGHT(A1018,3)),1),"0.0%"))</f>
        <v>80</v>
      </c>
      <c r="F1035" s="70" t="str">
        <f ca="1">IF(C1023="Número",TEXT(OFFSET('Bateria indicadores proceso'!$V$3,(RIGHT(A1018,3)),1),"######"),TEXT(OFFSET('Bateria indicadores proceso'!$V$3,(RIGHT(A1018,3)),1),"0.0%"))</f>
        <v>40</v>
      </c>
      <c r="J1035" s="77"/>
      <c r="K1035" s="77"/>
      <c r="L1035" s="78"/>
    </row>
    <row r="1036" spans="1:12">
      <c r="A1036" s="101"/>
      <c r="B1036" s="600" t="s">
        <v>119</v>
      </c>
      <c r="C1036" s="567" t="s">
        <v>120</v>
      </c>
      <c r="D1036" s="568"/>
      <c r="E1036" s="567" t="s">
        <v>121</v>
      </c>
      <c r="F1036" s="568"/>
      <c r="G1036" s="567" t="s">
        <v>122</v>
      </c>
      <c r="H1036" s="568"/>
      <c r="I1036" s="567" t="s">
        <v>123</v>
      </c>
      <c r="J1036" s="568"/>
      <c r="K1036" s="567" t="s">
        <v>124</v>
      </c>
      <c r="L1036" s="569"/>
    </row>
    <row r="1037" spans="1:12">
      <c r="A1037" s="101"/>
      <c r="B1037" s="601"/>
      <c r="C1037" s="570" t="s">
        <v>125</v>
      </c>
      <c r="D1037" s="571"/>
      <c r="E1037" s="577" t="s">
        <v>126</v>
      </c>
      <c r="F1037" s="578"/>
      <c r="G1037" s="579" t="s">
        <v>127</v>
      </c>
      <c r="H1037" s="580"/>
      <c r="I1037" s="581" t="s">
        <v>128</v>
      </c>
      <c r="J1037" s="582"/>
      <c r="K1037" s="583" t="s">
        <v>129</v>
      </c>
      <c r="L1037" s="584"/>
    </row>
    <row r="1038" spans="1:12">
      <c r="A1038" s="101"/>
      <c r="B1038" s="602"/>
      <c r="C1038" s="567" t="s">
        <v>130</v>
      </c>
      <c r="D1038" s="568"/>
      <c r="E1038" s="567" t="s">
        <v>131</v>
      </c>
      <c r="F1038" s="568"/>
      <c r="G1038" s="585" t="s">
        <v>132</v>
      </c>
      <c r="H1038" s="568"/>
      <c r="I1038" s="567" t="s">
        <v>133</v>
      </c>
      <c r="J1038" s="568"/>
      <c r="K1038" s="567" t="s">
        <v>134</v>
      </c>
      <c r="L1038" s="569"/>
    </row>
    <row r="1039" spans="1:12">
      <c r="A1039" s="101"/>
      <c r="B1039" s="72" t="s">
        <v>135</v>
      </c>
      <c r="C1039" s="559" t="str">
        <f ca="1">OFFSET('Bateria indicadores proceso'!$Y$3,(RIGHT(A1018,3)),1)</f>
        <v xml:space="preserve">Documento Planes Integrales de Protección </v>
      </c>
      <c r="D1039" s="559"/>
      <c r="E1039" s="559"/>
      <c r="F1039" s="559"/>
      <c r="G1039" s="559"/>
      <c r="H1039" s="559"/>
      <c r="I1039" s="559"/>
      <c r="J1039" s="559"/>
      <c r="K1039" s="559"/>
      <c r="L1039" s="560"/>
    </row>
    <row r="1040" spans="1:12">
      <c r="A1040" s="101"/>
      <c r="B1040" s="591" t="s">
        <v>136</v>
      </c>
      <c r="C1040" s="561" t="s">
        <v>137</v>
      </c>
      <c r="D1040" s="561"/>
      <c r="E1040" s="561"/>
      <c r="F1040" s="562" t="str">
        <f ca="1">OFFSET('Bateria indicadores proceso'!$B$3,(RIGHT(A1018,3)),1)</f>
        <v>GESTIÓN PARA LA PROTECCIÓN DE LOS DERECHOS</v>
      </c>
      <c r="G1040" s="562"/>
      <c r="H1040" s="562"/>
      <c r="I1040" s="562"/>
      <c r="J1040" s="562"/>
      <c r="K1040" s="562"/>
      <c r="L1040" s="563"/>
    </row>
    <row r="1041" spans="1:12">
      <c r="A1041" s="101"/>
      <c r="B1041" s="592"/>
      <c r="C1041" s="561" t="s">
        <v>138</v>
      </c>
      <c r="D1041" s="561"/>
      <c r="E1041" s="561"/>
      <c r="F1041" s="564">
        <f ca="1">OFFSET('Bateria indicadores proceso'!$C$3,(RIGHT(A1018,3)),1)</f>
        <v>0.11</v>
      </c>
      <c r="G1041" s="564"/>
      <c r="H1041" s="564"/>
      <c r="I1041" s="564"/>
      <c r="J1041" s="564"/>
      <c r="K1041" s="564"/>
      <c r="L1041" s="565"/>
    </row>
    <row r="1042" spans="1:12" ht="15.75" thickBot="1">
      <c r="A1042" s="101"/>
      <c r="B1042" s="592"/>
      <c r="C1042" s="561" t="s">
        <v>139</v>
      </c>
      <c r="D1042" s="561"/>
      <c r="E1042" s="561"/>
      <c r="F1042" s="564">
        <f ca="1">OFFSET('Bateria indicadores proceso'!$E$3,(RIGHT(A1018,3)),1)</f>
        <v>0.02</v>
      </c>
      <c r="G1042" s="564"/>
      <c r="H1042" s="564"/>
      <c r="I1042" s="564"/>
      <c r="J1042" s="564"/>
      <c r="K1042" s="564"/>
      <c r="L1042" s="565"/>
    </row>
    <row r="1043" spans="1:12" ht="16.5" thickBot="1">
      <c r="A1043" s="101"/>
      <c r="B1043" s="572" t="s">
        <v>140</v>
      </c>
      <c r="C1043" s="573"/>
      <c r="D1043" s="573"/>
      <c r="E1043" s="573"/>
      <c r="F1043" s="573"/>
      <c r="G1043" s="573"/>
      <c r="H1043" s="573"/>
      <c r="I1043" s="573"/>
      <c r="J1043" s="573"/>
      <c r="K1043" s="573"/>
      <c r="L1043" s="574"/>
    </row>
    <row r="1044" spans="1:12">
      <c r="A1044" s="101"/>
      <c r="B1044" s="72" t="s">
        <v>142</v>
      </c>
      <c r="C1044" s="561" t="str">
        <f ca="1">OFFSET('Bateria indicadores proceso'!$G$3,(RIGHT(A1018,3)),1)</f>
        <v>Director</v>
      </c>
      <c r="D1044" s="561"/>
      <c r="E1044" s="561"/>
      <c r="F1044" s="561"/>
      <c r="G1044" s="561"/>
      <c r="H1044" s="561"/>
      <c r="I1044" s="561"/>
      <c r="J1044" s="561"/>
      <c r="K1044" s="561"/>
      <c r="L1044" s="566"/>
    </row>
    <row r="1045" spans="1:12">
      <c r="A1045" s="101"/>
      <c r="B1045" s="72" t="s">
        <v>143</v>
      </c>
      <c r="C1045" s="561" t="str">
        <f ca="1">OFFSET('Bateria indicadores proceso'!$F$3,(RIGHT(A1018,3)),1)</f>
        <v>Dirección de Derechos Humanos</v>
      </c>
      <c r="D1045" s="561"/>
      <c r="E1045" s="561"/>
      <c r="F1045" s="561"/>
      <c r="G1045" s="561"/>
      <c r="H1045" s="561"/>
      <c r="I1045" s="561"/>
      <c r="J1045" s="561"/>
      <c r="K1045" s="561"/>
      <c r="L1045" s="566"/>
    </row>
    <row r="1046" spans="1:12">
      <c r="A1046" s="101"/>
      <c r="B1046" s="72" t="s">
        <v>144</v>
      </c>
      <c r="C1046" s="598" t="str">
        <f ca="1">OFFSET('Bateria indicadores proceso'!$H$3,(RIGHT(A1018,3)),1)</f>
        <v>jomary.ortegon@mininterior.gov.co</v>
      </c>
      <c r="D1046" s="598"/>
      <c r="E1046" s="598"/>
      <c r="F1046" s="598"/>
      <c r="G1046" s="598"/>
      <c r="H1046" s="598"/>
      <c r="I1046" s="598"/>
      <c r="J1046" s="598"/>
      <c r="K1046" s="598"/>
      <c r="L1046" s="599"/>
    </row>
    <row r="1047" spans="1:12" ht="15.75" thickBot="1">
      <c r="A1047" s="104"/>
      <c r="B1047" s="74" t="s">
        <v>145</v>
      </c>
      <c r="C1047" s="596" t="s">
        <v>146</v>
      </c>
      <c r="D1047" s="596"/>
      <c r="E1047" s="596"/>
      <c r="F1047" s="596"/>
      <c r="G1047" s="596"/>
      <c r="H1047" s="596"/>
      <c r="I1047" s="596"/>
      <c r="J1047" s="596"/>
      <c r="K1047" s="596"/>
      <c r="L1047" s="597"/>
    </row>
    <row r="1048" spans="1:12" ht="15.75" thickBot="1"/>
    <row r="1049" spans="1:12" ht="21.75" thickBot="1">
      <c r="A1049" s="586" t="s">
        <v>89</v>
      </c>
      <c r="B1049" s="587"/>
      <c r="C1049" s="587"/>
      <c r="D1049" s="587"/>
      <c r="E1049" s="587"/>
      <c r="F1049" s="587"/>
      <c r="G1049" s="587"/>
      <c r="H1049" s="587"/>
      <c r="I1049" s="587"/>
      <c r="J1049" s="587"/>
      <c r="K1049" s="587"/>
      <c r="L1049" s="588"/>
    </row>
    <row r="1050" spans="1:12" ht="32.25" thickBot="1">
      <c r="A1050" s="69" t="s">
        <v>90</v>
      </c>
      <c r="B1050" s="589" t="s">
        <v>91</v>
      </c>
      <c r="C1050" s="589"/>
      <c r="D1050" s="589"/>
      <c r="E1050" s="589"/>
      <c r="F1050" s="589"/>
      <c r="G1050" s="589"/>
      <c r="H1050" s="589"/>
      <c r="I1050" s="589"/>
      <c r="J1050" s="589"/>
      <c r="K1050" s="589"/>
      <c r="L1050" s="589"/>
    </row>
    <row r="1051" spans="1:12" ht="16.5" thickBot="1">
      <c r="A1051" s="100"/>
      <c r="B1051" s="71" t="s">
        <v>92</v>
      </c>
      <c r="C1051" s="575" t="s">
        <v>93</v>
      </c>
      <c r="D1051" s="575"/>
      <c r="E1051" s="575"/>
      <c r="F1051" s="575"/>
      <c r="G1051" s="575"/>
      <c r="H1051" s="575"/>
      <c r="I1051" s="575"/>
      <c r="J1051" s="575"/>
      <c r="K1051" s="575"/>
      <c r="L1051" s="576"/>
    </row>
    <row r="1052" spans="1:12" ht="16.5" thickBot="1">
      <c r="A1052" s="101"/>
      <c r="B1052" s="589" t="s">
        <v>94</v>
      </c>
      <c r="C1052" s="590"/>
      <c r="D1052" s="590"/>
      <c r="E1052" s="590"/>
      <c r="F1052" s="590"/>
      <c r="G1052" s="590"/>
      <c r="H1052" s="590"/>
      <c r="I1052" s="590"/>
      <c r="J1052" s="590"/>
      <c r="K1052" s="590"/>
      <c r="L1052" s="590"/>
    </row>
    <row r="1053" spans="1:12">
      <c r="A1053" s="101"/>
      <c r="B1053" s="71" t="s">
        <v>95</v>
      </c>
      <c r="C1053" s="559" t="s">
        <v>96</v>
      </c>
      <c r="D1053" s="559"/>
      <c r="E1053" s="559"/>
      <c r="F1053" s="559"/>
      <c r="G1053" s="559"/>
      <c r="H1053" s="559"/>
      <c r="I1053" s="559"/>
      <c r="J1053" s="559"/>
      <c r="K1053" s="559"/>
      <c r="L1053" s="560"/>
    </row>
    <row r="1054" spans="1:12">
      <c r="A1054" s="102" t="s">
        <v>175</v>
      </c>
      <c r="B1054" s="72" t="s">
        <v>98</v>
      </c>
      <c r="C1054" s="559" t="str">
        <f ca="1">OFFSET('Bateria indicadores proceso'!$F$3,(RIGHT(A1054,3)),1)</f>
        <v>Dirección de Derechos Humanos</v>
      </c>
      <c r="D1054" s="559"/>
      <c r="E1054" s="559"/>
      <c r="F1054" s="559"/>
      <c r="G1054" s="559"/>
      <c r="H1054" s="559"/>
      <c r="I1054" s="559"/>
      <c r="J1054" s="559"/>
      <c r="K1054" s="559"/>
      <c r="L1054" s="560"/>
    </row>
    <row r="1055" spans="1:12">
      <c r="A1055" s="101"/>
      <c r="B1055" s="72" t="s">
        <v>99</v>
      </c>
      <c r="C1055" s="559" t="str">
        <f ca="1">OFFSET('Bateria indicadores proceso'!$K$3,(RIGHT(A1054,3)),1)</f>
        <v xml:space="preserve">Actividades de la Dirección de Derechos Humanos implementadas en el marco del Programa Integral de Seguridad y Protección para Comunidades y Organizaciones en los Territorios.									</v>
      </c>
      <c r="D1055" s="559"/>
      <c r="E1055" s="559"/>
      <c r="F1055" s="559"/>
      <c r="G1055" s="559"/>
      <c r="H1055" s="559"/>
      <c r="I1055" s="559"/>
      <c r="J1055" s="559"/>
      <c r="K1055" s="559"/>
      <c r="L1055" s="560"/>
    </row>
    <row r="1056" spans="1:12">
      <c r="A1056" s="101"/>
      <c r="B1056" s="72" t="s">
        <v>100</v>
      </c>
      <c r="C1056" s="559" t="str">
        <f ca="1">OFFSET('Bateria indicadores proceso'!$I$3,(RIGHT(A1054,3)),1)</f>
        <v>Eficacia</v>
      </c>
      <c r="D1056" s="559"/>
      <c r="E1056" s="559"/>
      <c r="F1056" s="559"/>
      <c r="G1056" s="559"/>
      <c r="H1056" s="559"/>
      <c r="I1056" s="559"/>
      <c r="J1056" s="559"/>
      <c r="K1056" s="559"/>
      <c r="L1056" s="560"/>
    </row>
    <row r="1057" spans="1:12" ht="15.75" thickBot="1">
      <c r="A1057" s="103"/>
      <c r="B1057" s="73" t="s">
        <v>101</v>
      </c>
      <c r="C1057" s="559" t="str">
        <f ca="1">OFFSET('Bateria indicadores proceso'!$J$3,(RIGHT(A1054,3)),1)</f>
        <v xml:space="preserve">Fortalecer el Programa Integral de Seguridad y protección para comunidades y Organizaciones en los Territorios </v>
      </c>
      <c r="D1057" s="559"/>
      <c r="E1057" s="559"/>
      <c r="F1057" s="559"/>
      <c r="G1057" s="559"/>
      <c r="H1057" s="559"/>
      <c r="I1057" s="559"/>
      <c r="J1057" s="559"/>
      <c r="K1057" s="559"/>
      <c r="L1057" s="560"/>
    </row>
    <row r="1058" spans="1:12" ht="16.5" thickBot="1">
      <c r="A1058" s="103"/>
      <c r="B1058" s="572" t="s">
        <v>102</v>
      </c>
      <c r="C1058" s="573"/>
      <c r="D1058" s="573"/>
      <c r="E1058" s="573"/>
      <c r="F1058" s="573"/>
      <c r="G1058" s="573"/>
      <c r="H1058" s="573"/>
      <c r="I1058" s="573"/>
      <c r="J1058" s="573"/>
      <c r="K1058" s="573"/>
      <c r="L1058" s="574"/>
    </row>
    <row r="1059" spans="1:12">
      <c r="A1059" s="101"/>
      <c r="B1059" s="71" t="s">
        <v>103</v>
      </c>
      <c r="C1059" s="559" t="str">
        <f ca="1">OFFSET('Bateria indicadores proceso'!$O$3,(RIGHT(A1054,3)),1)</f>
        <v>Porcentaje</v>
      </c>
      <c r="D1059" s="559"/>
      <c r="E1059" s="559"/>
      <c r="F1059" s="559"/>
      <c r="G1059" s="559"/>
      <c r="H1059" s="559"/>
      <c r="I1059" s="559"/>
      <c r="J1059" s="559"/>
      <c r="K1059" s="559"/>
      <c r="L1059" s="560"/>
    </row>
    <row r="1060" spans="1:12" ht="24">
      <c r="A1060" s="101"/>
      <c r="B1060" s="72" t="s">
        <v>104</v>
      </c>
      <c r="C1060" s="559"/>
      <c r="D1060" s="559"/>
      <c r="E1060" s="559"/>
      <c r="F1060" s="559"/>
      <c r="G1060" s="559"/>
      <c r="H1060" s="559"/>
      <c r="I1060" s="559"/>
      <c r="J1060" s="559"/>
      <c r="K1060" s="559"/>
      <c r="L1060" s="560"/>
    </row>
    <row r="1061" spans="1:12">
      <c r="A1061" s="101"/>
      <c r="B1061" s="72" t="s">
        <v>105</v>
      </c>
      <c r="C1061" s="559" t="str">
        <f ca="1">OFFSET('Bateria indicadores proceso'!$L$3,(RIGHT(A1054,3)),1)</f>
        <v xml:space="preserve">(Número de actividades realizadas en el fortalecimiento e implementación del Programa Integral de Seguridad y Protección para Comunidades y Organizaciones en los Territorios /número de actividades programadas en el fortalecimiento e implementación del Programa Integral de Seguridad y Protección para Comunidades y Organizaciones en los Territorios )*100% </v>
      </c>
      <c r="D1061" s="559"/>
      <c r="E1061" s="559"/>
      <c r="F1061" s="559"/>
      <c r="G1061" s="559"/>
      <c r="H1061" s="559"/>
      <c r="I1061" s="559"/>
      <c r="J1061" s="559"/>
      <c r="K1061" s="559"/>
      <c r="L1061" s="560"/>
    </row>
    <row r="1062" spans="1:12">
      <c r="A1062" s="101"/>
      <c r="B1062" s="72" t="s">
        <v>106</v>
      </c>
      <c r="C1062" s="559" t="str">
        <f ca="1">OFFSET('Bateria indicadores proceso'!$Z$3,(RIGHT(A1054,3)),1)</f>
        <v>Trimestral</v>
      </c>
      <c r="D1062" s="559"/>
      <c r="E1062" s="559"/>
      <c r="F1062" s="559"/>
      <c r="G1062" s="559"/>
      <c r="H1062" s="559"/>
      <c r="I1062" s="559"/>
      <c r="J1062" s="559"/>
      <c r="K1062" s="559"/>
      <c r="L1062" s="560"/>
    </row>
    <row r="1063" spans="1:12">
      <c r="A1063" s="101"/>
      <c r="B1063" s="72" t="s">
        <v>107</v>
      </c>
      <c r="C1063" s="559" t="str">
        <f ca="1">OFFSET('Bateria indicadores proceso'!$X$3,(RIGHT(A1054,3)),1)</f>
        <v>La herramienta de la cual se obtine la información del indicador es el Plan Estrategico y de acción de cada vigencia.</v>
      </c>
      <c r="D1063" s="559"/>
      <c r="E1063" s="559"/>
      <c r="F1063" s="559"/>
      <c r="G1063" s="559"/>
      <c r="H1063" s="559"/>
      <c r="I1063" s="559"/>
      <c r="J1063" s="559"/>
      <c r="K1063" s="559"/>
      <c r="L1063" s="560"/>
    </row>
    <row r="1064" spans="1:12">
      <c r="A1064" s="101"/>
      <c r="B1064" s="72" t="s">
        <v>108</v>
      </c>
      <c r="C1064" s="561">
        <f ca="1">OFFSET('Bateria indicadores proceso'!$P$3,(RIGHT(A1054,3)),1)</f>
        <v>2022</v>
      </c>
      <c r="D1064" s="561"/>
      <c r="E1064" s="561"/>
      <c r="F1064" s="561"/>
      <c r="G1064" s="561"/>
      <c r="H1064" s="561"/>
      <c r="I1064" s="561"/>
      <c r="J1064" s="561"/>
      <c r="K1064" s="561"/>
      <c r="L1064" s="566"/>
    </row>
    <row r="1065" spans="1:12">
      <c r="A1065" s="101"/>
      <c r="B1065" s="72" t="s">
        <v>109</v>
      </c>
      <c r="C1065" s="561" t="str">
        <f ca="1">IF(C1059="Número",TEXT(OFFSET('Bateria indicadores proceso'!$Q$3,(RIGHT(A1054,3)),1),"######"),TEXT(OFFSET('Bateria indicadores proceso'!$Q$3,(RIGHT(A1054,3)),1),"0.0%"))</f>
        <v>100%</v>
      </c>
      <c r="D1065" s="561"/>
      <c r="E1065" s="561"/>
      <c r="F1065" s="561"/>
      <c r="G1065" s="561"/>
      <c r="H1065" s="561"/>
      <c r="I1065" s="561"/>
      <c r="J1065" s="561"/>
      <c r="K1065" s="561"/>
      <c r="L1065" s="566"/>
    </row>
    <row r="1066" spans="1:12">
      <c r="A1066" s="101"/>
      <c r="B1066" s="72" t="s">
        <v>110</v>
      </c>
      <c r="C1066" s="593">
        <f ca="1">+OFFSET('Bateria indicadores proceso'!$R$3,(RIGHT(A1054,3)),1)</f>
        <v>46022</v>
      </c>
      <c r="D1066" s="593"/>
      <c r="E1066" s="593"/>
      <c r="F1066" s="593"/>
      <c r="G1066" s="593"/>
      <c r="H1066" s="593"/>
      <c r="I1066" s="593"/>
      <c r="J1066" s="593"/>
      <c r="K1066" s="593"/>
      <c r="L1066" s="594"/>
    </row>
    <row r="1067" spans="1:12">
      <c r="A1067" s="101"/>
      <c r="B1067" s="72" t="s">
        <v>111</v>
      </c>
      <c r="C1067" s="561" t="str">
        <f ca="1">OFFSET('Bateria indicadores proceso'!$M$3,(RIGHT(A1054,3)),1)</f>
        <v>Mantener</v>
      </c>
      <c r="D1067" s="561"/>
      <c r="E1067" s="561"/>
      <c r="F1067" s="561"/>
      <c r="G1067" s="561"/>
      <c r="H1067" s="561"/>
      <c r="I1067" s="561"/>
      <c r="J1067" s="561"/>
      <c r="K1067" s="561"/>
      <c r="L1067" s="566"/>
    </row>
    <row r="1068" spans="1:12">
      <c r="A1068" s="101"/>
      <c r="B1068" s="72" t="s">
        <v>112</v>
      </c>
      <c r="C1068" s="561" t="str">
        <f ca="1">OFFSET('Bateria indicadores proceso'!$N$3,(RIGHT(A1054,3)),1)</f>
        <v>Flujo</v>
      </c>
      <c r="D1068" s="561"/>
      <c r="E1068" s="561"/>
      <c r="F1068" s="561"/>
      <c r="G1068" s="561"/>
      <c r="H1068" s="561"/>
      <c r="I1068" s="561"/>
      <c r="J1068" s="561"/>
      <c r="K1068" s="561"/>
      <c r="L1068" s="566"/>
    </row>
    <row r="1069" spans="1:12">
      <c r="A1069" s="101"/>
      <c r="B1069" s="72" t="s">
        <v>113</v>
      </c>
      <c r="C1069" s="561" t="str">
        <f ca="1">IF(C1059="Número",TEXT(OFFSET('Bateria indicadores proceso'!$W$3,(RIGHT(A1054,3)),1),"######"),TEXT(OFFSET('Bateria indicadores proceso'!$W$3,(RIGHT(A1054,3)),1),"0.0%"))</f>
        <v>100%</v>
      </c>
      <c r="D1069" s="561"/>
      <c r="E1069" s="561"/>
      <c r="F1069" s="561"/>
      <c r="G1069" s="561"/>
      <c r="H1069" s="561"/>
      <c r="I1069" s="561"/>
      <c r="J1069" s="561"/>
      <c r="K1069" s="561"/>
      <c r="L1069" s="566"/>
    </row>
    <row r="1070" spans="1:12">
      <c r="A1070" s="101"/>
      <c r="B1070" s="595" t="s">
        <v>114</v>
      </c>
      <c r="C1070" s="70" t="s">
        <v>115</v>
      </c>
      <c r="D1070" s="70" t="s">
        <v>116</v>
      </c>
      <c r="E1070" s="70" t="s">
        <v>117</v>
      </c>
      <c r="F1070" s="70" t="s">
        <v>118</v>
      </c>
      <c r="J1070" s="75"/>
      <c r="K1070" s="75"/>
      <c r="L1070" s="76"/>
    </row>
    <row r="1071" spans="1:12">
      <c r="A1071" s="101"/>
      <c r="B1071" s="595"/>
      <c r="C1071" s="70" t="str">
        <f ca="1">IF(C1059="Número",TEXT(OFFSET('Bateria indicadores proceso'!$S$3,(RIGHT(A1054,3)),1),"######"),TEXT(OFFSET('Bateria indicadores proceso'!$S$3,(RIGHT(A1054,3)),1),"0.0%"))</f>
        <v>100%</v>
      </c>
      <c r="D1071" s="70" t="str">
        <f ca="1">IF(C1059="Número",TEXT(OFFSET('Bateria indicadores proceso'!$T$3,(RIGHT(A1054,3)),1),"######"),TEXT(OFFSET('Bateria indicadores proceso'!$T$3,(RIGHT(A1054,3)),1),"0.0%"))</f>
        <v>100%</v>
      </c>
      <c r="E1071" s="70" t="str">
        <f ca="1">IF(C1059="Número",TEXT(OFFSET('Bateria indicadores proceso'!$U$3,(RIGHT(A1054,3)),1),"######"),TEXT(OFFSET('Bateria indicadores proceso'!$U$3,(RIGHT(A1054,3)),1),"0.0%"))</f>
        <v>100%</v>
      </c>
      <c r="F1071" s="70" t="str">
        <f ca="1">IF(C1059="Número",TEXT(OFFSET('Bateria indicadores proceso'!$V$3,(RIGHT(A1054,3)),1),"######"),TEXT(OFFSET('Bateria indicadores proceso'!$V$3,(RIGHT(A1054,3)),1),"0.0%"))</f>
        <v>100%</v>
      </c>
      <c r="J1071" s="77"/>
      <c r="K1071" s="77"/>
      <c r="L1071" s="78"/>
    </row>
    <row r="1072" spans="1:12">
      <c r="A1072" s="101"/>
      <c r="B1072" s="600" t="s">
        <v>119</v>
      </c>
      <c r="C1072" s="567" t="s">
        <v>120</v>
      </c>
      <c r="D1072" s="568"/>
      <c r="E1072" s="567" t="s">
        <v>121</v>
      </c>
      <c r="F1072" s="568"/>
      <c r="G1072" s="567" t="s">
        <v>122</v>
      </c>
      <c r="H1072" s="568"/>
      <c r="I1072" s="567" t="s">
        <v>123</v>
      </c>
      <c r="J1072" s="568"/>
      <c r="K1072" s="567" t="s">
        <v>124</v>
      </c>
      <c r="L1072" s="569"/>
    </row>
    <row r="1073" spans="1:12">
      <c r="A1073" s="101"/>
      <c r="B1073" s="601"/>
      <c r="C1073" s="570" t="s">
        <v>125</v>
      </c>
      <c r="D1073" s="571"/>
      <c r="E1073" s="577" t="s">
        <v>126</v>
      </c>
      <c r="F1073" s="578"/>
      <c r="G1073" s="579" t="s">
        <v>127</v>
      </c>
      <c r="H1073" s="580"/>
      <c r="I1073" s="581" t="s">
        <v>128</v>
      </c>
      <c r="J1073" s="582"/>
      <c r="K1073" s="583" t="s">
        <v>129</v>
      </c>
      <c r="L1073" s="584"/>
    </row>
    <row r="1074" spans="1:12">
      <c r="A1074" s="101"/>
      <c r="B1074" s="602"/>
      <c r="C1074" s="567" t="s">
        <v>130</v>
      </c>
      <c r="D1074" s="568"/>
      <c r="E1074" s="567" t="s">
        <v>131</v>
      </c>
      <c r="F1074" s="568"/>
      <c r="G1074" s="585" t="s">
        <v>132</v>
      </c>
      <c r="H1074" s="568"/>
      <c r="I1074" s="567" t="s">
        <v>133</v>
      </c>
      <c r="J1074" s="568"/>
      <c r="K1074" s="567" t="s">
        <v>134</v>
      </c>
      <c r="L1074" s="569"/>
    </row>
    <row r="1075" spans="1:12">
      <c r="A1075" s="101"/>
      <c r="B1075" s="72" t="s">
        <v>135</v>
      </c>
      <c r="C1075" s="559" t="str">
        <f ca="1">OFFSET('Bateria indicadores proceso'!$Y$3,(RIGHT(A1054,3)),1)</f>
        <v>Informes de Gestión  de implementación del Programa Integral de Seguridad y Protección para Comunidades y Organizaciones en los Territorios., Actas de seguimiento y asistencia técnica.</v>
      </c>
      <c r="D1075" s="559"/>
      <c r="E1075" s="559"/>
      <c r="F1075" s="559"/>
      <c r="G1075" s="559"/>
      <c r="H1075" s="559"/>
      <c r="I1075" s="559"/>
      <c r="J1075" s="559"/>
      <c r="K1075" s="559"/>
      <c r="L1075" s="560"/>
    </row>
    <row r="1076" spans="1:12">
      <c r="A1076" s="101"/>
      <c r="B1076" s="591" t="s">
        <v>136</v>
      </c>
      <c r="C1076" s="561" t="s">
        <v>137</v>
      </c>
      <c r="D1076" s="561"/>
      <c r="E1076" s="561"/>
      <c r="F1076" s="562" t="str">
        <f ca="1">OFFSET('Bateria indicadores proceso'!$B$3,(RIGHT(A1054,3)),1)</f>
        <v>GESTIÓN PARA LA PROTECCIÓN DE LOS DERECHOS</v>
      </c>
      <c r="G1076" s="562"/>
      <c r="H1076" s="562"/>
      <c r="I1076" s="562"/>
      <c r="J1076" s="562"/>
      <c r="K1076" s="562"/>
      <c r="L1076" s="563"/>
    </row>
    <row r="1077" spans="1:12">
      <c r="A1077" s="101"/>
      <c r="B1077" s="592"/>
      <c r="C1077" s="561" t="s">
        <v>138</v>
      </c>
      <c r="D1077" s="561"/>
      <c r="E1077" s="561"/>
      <c r="F1077" s="564">
        <f ca="1">OFFSET('Bateria indicadores proceso'!$C$3,(RIGHT(A1054,3)),1)</f>
        <v>0.11</v>
      </c>
      <c r="G1077" s="564"/>
      <c r="H1077" s="564"/>
      <c r="I1077" s="564"/>
      <c r="J1077" s="564"/>
      <c r="K1077" s="564"/>
      <c r="L1077" s="565"/>
    </row>
    <row r="1078" spans="1:12" ht="15.75" thickBot="1">
      <c r="A1078" s="101"/>
      <c r="B1078" s="592"/>
      <c r="C1078" s="561" t="s">
        <v>139</v>
      </c>
      <c r="D1078" s="561"/>
      <c r="E1078" s="561"/>
      <c r="F1078" s="564">
        <f ca="1">OFFSET('Bateria indicadores proceso'!$E$3,(RIGHT(A1054,3)),1)</f>
        <v>0.02</v>
      </c>
      <c r="G1078" s="564"/>
      <c r="H1078" s="564"/>
      <c r="I1078" s="564"/>
      <c r="J1078" s="564"/>
      <c r="K1078" s="564"/>
      <c r="L1078" s="565"/>
    </row>
    <row r="1079" spans="1:12" ht="16.5" thickBot="1">
      <c r="A1079" s="101"/>
      <c r="B1079" s="572" t="s">
        <v>140</v>
      </c>
      <c r="C1079" s="573"/>
      <c r="D1079" s="573"/>
      <c r="E1079" s="573"/>
      <c r="F1079" s="573"/>
      <c r="G1079" s="573"/>
      <c r="H1079" s="573"/>
      <c r="I1079" s="573"/>
      <c r="J1079" s="573"/>
      <c r="K1079" s="573"/>
      <c r="L1079" s="574"/>
    </row>
    <row r="1080" spans="1:12">
      <c r="A1080" s="101"/>
      <c r="B1080" s="72" t="s">
        <v>142</v>
      </c>
      <c r="C1080" s="561" t="str">
        <f ca="1">OFFSET('Bateria indicadores proceso'!$G$3,(RIGHT(A1054,3)),1)</f>
        <v>Director</v>
      </c>
      <c r="D1080" s="561"/>
      <c r="E1080" s="561"/>
      <c r="F1080" s="561"/>
      <c r="G1080" s="561"/>
      <c r="H1080" s="561"/>
      <c r="I1080" s="561"/>
      <c r="J1080" s="561"/>
      <c r="K1080" s="561"/>
      <c r="L1080" s="566"/>
    </row>
    <row r="1081" spans="1:12">
      <c r="A1081" s="101"/>
      <c r="B1081" s="72" t="s">
        <v>143</v>
      </c>
      <c r="C1081" s="561" t="str">
        <f ca="1">OFFSET('Bateria indicadores proceso'!$F$3,(RIGHT(A1054,3)),1)</f>
        <v>Dirección de Derechos Humanos</v>
      </c>
      <c r="D1081" s="561"/>
      <c r="E1081" s="561"/>
      <c r="F1081" s="561"/>
      <c r="G1081" s="561"/>
      <c r="H1081" s="561"/>
      <c r="I1081" s="561"/>
      <c r="J1081" s="561"/>
      <c r="K1081" s="561"/>
      <c r="L1081" s="566"/>
    </row>
    <row r="1082" spans="1:12">
      <c r="A1082" s="101"/>
      <c r="B1082" s="72" t="s">
        <v>144</v>
      </c>
      <c r="C1082" s="598" t="str">
        <f ca="1">OFFSET('Bateria indicadores proceso'!$H$3,(RIGHT(A1018,3)),1)</f>
        <v>jomary.ortegon@mininterior.gov.co</v>
      </c>
      <c r="D1082" s="598"/>
      <c r="E1082" s="598"/>
      <c r="F1082" s="598"/>
      <c r="G1082" s="598"/>
      <c r="H1082" s="598"/>
      <c r="I1082" s="598"/>
      <c r="J1082" s="598"/>
      <c r="K1082" s="598"/>
      <c r="L1082" s="599"/>
    </row>
    <row r="1083" spans="1:12" ht="15.75" thickBot="1">
      <c r="A1083" s="104"/>
      <c r="B1083" s="74" t="s">
        <v>145</v>
      </c>
      <c r="C1083" s="596" t="s">
        <v>146</v>
      </c>
      <c r="D1083" s="596"/>
      <c r="E1083" s="596"/>
      <c r="F1083" s="596"/>
      <c r="G1083" s="596"/>
      <c r="H1083" s="596"/>
      <c r="I1083" s="596"/>
      <c r="J1083" s="596"/>
      <c r="K1083" s="596"/>
      <c r="L1083" s="597"/>
    </row>
    <row r="1084" spans="1:12" ht="15.75" thickBot="1"/>
    <row r="1085" spans="1:12" ht="21.75" thickBot="1">
      <c r="A1085" s="586" t="s">
        <v>89</v>
      </c>
      <c r="B1085" s="587"/>
      <c r="C1085" s="587"/>
      <c r="D1085" s="587"/>
      <c r="E1085" s="587"/>
      <c r="F1085" s="587"/>
      <c r="G1085" s="587"/>
      <c r="H1085" s="587"/>
      <c r="I1085" s="587"/>
      <c r="J1085" s="587"/>
      <c r="K1085" s="587"/>
      <c r="L1085" s="588"/>
    </row>
    <row r="1086" spans="1:12" ht="32.25" thickBot="1">
      <c r="A1086" s="69" t="s">
        <v>90</v>
      </c>
      <c r="B1086" s="589" t="s">
        <v>91</v>
      </c>
      <c r="C1086" s="589"/>
      <c r="D1086" s="589"/>
      <c r="E1086" s="589"/>
      <c r="F1086" s="589"/>
      <c r="G1086" s="589"/>
      <c r="H1086" s="589"/>
      <c r="I1086" s="589"/>
      <c r="J1086" s="589"/>
      <c r="K1086" s="589"/>
      <c r="L1086" s="589"/>
    </row>
    <row r="1087" spans="1:12" ht="16.5" thickBot="1">
      <c r="A1087" s="100"/>
      <c r="B1087" s="71" t="s">
        <v>92</v>
      </c>
      <c r="C1087" s="575" t="s">
        <v>93</v>
      </c>
      <c r="D1087" s="575"/>
      <c r="E1087" s="575"/>
      <c r="F1087" s="575"/>
      <c r="G1087" s="575"/>
      <c r="H1087" s="575"/>
      <c r="I1087" s="575"/>
      <c r="J1087" s="575"/>
      <c r="K1087" s="575"/>
      <c r="L1087" s="576"/>
    </row>
    <row r="1088" spans="1:12" ht="16.5" thickBot="1">
      <c r="A1088" s="101"/>
      <c r="B1088" s="589" t="s">
        <v>94</v>
      </c>
      <c r="C1088" s="590"/>
      <c r="D1088" s="590"/>
      <c r="E1088" s="590"/>
      <c r="F1088" s="590"/>
      <c r="G1088" s="590"/>
      <c r="H1088" s="590"/>
      <c r="I1088" s="590"/>
      <c r="J1088" s="590"/>
      <c r="K1088" s="590"/>
      <c r="L1088" s="590"/>
    </row>
    <row r="1089" spans="1:12">
      <c r="A1089" s="101"/>
      <c r="B1089" s="71" t="s">
        <v>95</v>
      </c>
      <c r="C1089" s="559" t="s">
        <v>96</v>
      </c>
      <c r="D1089" s="559"/>
      <c r="E1089" s="559"/>
      <c r="F1089" s="559"/>
      <c r="G1089" s="559"/>
      <c r="H1089" s="559"/>
      <c r="I1089" s="559"/>
      <c r="J1089" s="559"/>
      <c r="K1089" s="559"/>
      <c r="L1089" s="560"/>
    </row>
    <row r="1090" spans="1:12">
      <c r="A1090" s="102" t="s">
        <v>176</v>
      </c>
      <c r="B1090" s="72" t="s">
        <v>98</v>
      </c>
      <c r="C1090" s="559" t="str">
        <f ca="1">OFFSET('Bateria indicadores proceso'!$F$3,(RIGHT(A1090,3)),1)</f>
        <v>Dirección de Derechos Humanos</v>
      </c>
      <c r="D1090" s="559"/>
      <c r="E1090" s="559"/>
      <c r="F1090" s="559"/>
      <c r="G1090" s="559"/>
      <c r="H1090" s="559"/>
      <c r="I1090" s="559"/>
      <c r="J1090" s="559"/>
      <c r="K1090" s="559"/>
      <c r="L1090" s="560"/>
    </row>
    <row r="1091" spans="1:12">
      <c r="A1091" s="101"/>
      <c r="B1091" s="72" t="s">
        <v>99</v>
      </c>
      <c r="C1091" s="559" t="str">
        <f ca="1">OFFSET('Bateria indicadores proceso'!$K$3,(RIGHT(A1090,3)),1)</f>
        <v>Actividades de la Dirección de Derechos Humanos como impulso a la implementación del Plan de Acción Nacional del Programa Integral de Garantías para Lideresas y Defensoras de Derechos Humanos.</v>
      </c>
      <c r="D1091" s="559"/>
      <c r="E1091" s="559"/>
      <c r="F1091" s="559"/>
      <c r="G1091" s="559"/>
      <c r="H1091" s="559"/>
      <c r="I1091" s="559"/>
      <c r="J1091" s="559"/>
      <c r="K1091" s="559"/>
      <c r="L1091" s="560"/>
    </row>
    <row r="1092" spans="1:12">
      <c r="A1092" s="101"/>
      <c r="B1092" s="72" t="s">
        <v>100</v>
      </c>
      <c r="C1092" s="559" t="str">
        <f ca="1">OFFSET('Bateria indicadores proceso'!$I$3,(RIGHT(A1090,3)),1)</f>
        <v>Eficacia</v>
      </c>
      <c r="D1092" s="559"/>
      <c r="E1092" s="559"/>
      <c r="F1092" s="559"/>
      <c r="G1092" s="559"/>
      <c r="H1092" s="559"/>
      <c r="I1092" s="559"/>
      <c r="J1092" s="559"/>
      <c r="K1092" s="559"/>
      <c r="L1092" s="560"/>
    </row>
    <row r="1093" spans="1:12" ht="15.75" thickBot="1">
      <c r="A1093" s="103"/>
      <c r="B1093" s="73" t="s">
        <v>101</v>
      </c>
      <c r="C1093" s="559" t="str">
        <f ca="1">OFFSET('Bateria indicadores proceso'!$J$3,(RIGHT(A1090,3)),1)</f>
        <v>Apoyar la implementación del Plan de Acción Nacional del programa Integral de Garantias para Lideresas y Defensoras de DDHH, en el marco del auto 737, sentencia T-025</v>
      </c>
      <c r="D1093" s="559"/>
      <c r="E1093" s="559"/>
      <c r="F1093" s="559"/>
      <c r="G1093" s="559"/>
      <c r="H1093" s="559"/>
      <c r="I1093" s="559"/>
      <c r="J1093" s="559"/>
      <c r="K1093" s="559"/>
      <c r="L1093" s="560"/>
    </row>
    <row r="1094" spans="1:12" ht="16.5" thickBot="1">
      <c r="A1094" s="103"/>
      <c r="B1094" s="572" t="s">
        <v>102</v>
      </c>
      <c r="C1094" s="573"/>
      <c r="D1094" s="573"/>
      <c r="E1094" s="573"/>
      <c r="F1094" s="573"/>
      <c r="G1094" s="573"/>
      <c r="H1094" s="573"/>
      <c r="I1094" s="573"/>
      <c r="J1094" s="573"/>
      <c r="K1094" s="573"/>
      <c r="L1094" s="574"/>
    </row>
    <row r="1095" spans="1:12">
      <c r="A1095" s="101"/>
      <c r="B1095" s="71" t="s">
        <v>103</v>
      </c>
      <c r="C1095" s="559" t="str">
        <f ca="1">OFFSET('Bateria indicadores proceso'!$O$3,(RIGHT(A1090,3)),1)</f>
        <v>Porcentaje</v>
      </c>
      <c r="D1095" s="559"/>
      <c r="E1095" s="559"/>
      <c r="F1095" s="559"/>
      <c r="G1095" s="559"/>
      <c r="H1095" s="559"/>
      <c r="I1095" s="559"/>
      <c r="J1095" s="559"/>
      <c r="K1095" s="559"/>
      <c r="L1095" s="560"/>
    </row>
    <row r="1096" spans="1:12" ht="24">
      <c r="A1096" s="101"/>
      <c r="B1096" s="72" t="s">
        <v>104</v>
      </c>
      <c r="C1096" s="559"/>
      <c r="D1096" s="559"/>
      <c r="E1096" s="559"/>
      <c r="F1096" s="559"/>
      <c r="G1096" s="559"/>
      <c r="H1096" s="559"/>
      <c r="I1096" s="559"/>
      <c r="J1096" s="559"/>
      <c r="K1096" s="559"/>
      <c r="L1096" s="560"/>
    </row>
    <row r="1097" spans="1:12">
      <c r="A1097" s="101"/>
      <c r="B1097" s="72" t="s">
        <v>105</v>
      </c>
      <c r="C1097" s="559" t="str">
        <f ca="1">OFFSET('Bateria indicadores proceso'!$L$3,(RIGHT(A1090,3)),1)</f>
        <v xml:space="preserve">(Número de actividades realizadas para apoyar la implementación del Plan de Acción Nacional del Programa Integral de Garantías para Lideresas y Defensoras de DDHH a cargo de la Dirección de Derechos Humanos /número de actividades programadas para apoyar la implementación del Plan de Acción Nacional del Programa Integral de Garantías para Lideresas y Defensoras de DDHH a cargo de la Dirección de Derechos Humanos )*100% </v>
      </c>
      <c r="D1097" s="559"/>
      <c r="E1097" s="559"/>
      <c r="F1097" s="559"/>
      <c r="G1097" s="559"/>
      <c r="H1097" s="559"/>
      <c r="I1097" s="559"/>
      <c r="J1097" s="559"/>
      <c r="K1097" s="559"/>
      <c r="L1097" s="560"/>
    </row>
    <row r="1098" spans="1:12">
      <c r="A1098" s="101"/>
      <c r="B1098" s="72" t="s">
        <v>106</v>
      </c>
      <c r="C1098" s="559" t="str">
        <f ca="1">OFFSET('Bateria indicadores proceso'!$Z$3,(RIGHT(A1090,3)),1)</f>
        <v xml:space="preserve">Trimestral </v>
      </c>
      <c r="D1098" s="559"/>
      <c r="E1098" s="559"/>
      <c r="F1098" s="559"/>
      <c r="G1098" s="559"/>
      <c r="H1098" s="559"/>
      <c r="I1098" s="559"/>
      <c r="J1098" s="559"/>
      <c r="K1098" s="559"/>
      <c r="L1098" s="560"/>
    </row>
    <row r="1099" spans="1:12">
      <c r="A1099" s="101"/>
      <c r="B1099" s="72" t="s">
        <v>107</v>
      </c>
      <c r="C1099" s="559" t="str">
        <f ca="1">OFFSET('Bateria indicadores proceso'!$X$3,(RIGHT(A1090,3)),1)</f>
        <v>La herramienta de la cual se obtine la información del indicador es el Plan Estrategico y de acción de cada vigencia.</v>
      </c>
      <c r="D1099" s="559"/>
      <c r="E1099" s="559"/>
      <c r="F1099" s="559"/>
      <c r="G1099" s="559"/>
      <c r="H1099" s="559"/>
      <c r="I1099" s="559"/>
      <c r="J1099" s="559"/>
      <c r="K1099" s="559"/>
      <c r="L1099" s="560"/>
    </row>
    <row r="1100" spans="1:12">
      <c r="A1100" s="101"/>
      <c r="B1100" s="72" t="s">
        <v>108</v>
      </c>
      <c r="C1100" s="561">
        <f ca="1">OFFSET('Bateria indicadores proceso'!$P$3,(RIGHT(A1090,3)),1)</f>
        <v>2022</v>
      </c>
      <c r="D1100" s="561"/>
      <c r="E1100" s="561"/>
      <c r="F1100" s="561"/>
      <c r="G1100" s="561"/>
      <c r="H1100" s="561"/>
      <c r="I1100" s="561"/>
      <c r="J1100" s="561"/>
      <c r="K1100" s="561"/>
      <c r="L1100" s="566"/>
    </row>
    <row r="1101" spans="1:12">
      <c r="A1101" s="101"/>
      <c r="B1101" s="72" t="s">
        <v>109</v>
      </c>
      <c r="C1101" s="561" t="str">
        <f ca="1">IF(C1095="Número",TEXT(OFFSET('Bateria indicadores proceso'!$Q$3,(RIGHT(A1090,3)),1),"######"),TEXT(OFFSET('Bateria indicadores proceso'!$Q$3,(RIGHT(A1090,3)),1),"0.0%"))</f>
        <v>100%</v>
      </c>
      <c r="D1101" s="561"/>
      <c r="E1101" s="561"/>
      <c r="F1101" s="561"/>
      <c r="G1101" s="561"/>
      <c r="H1101" s="561"/>
      <c r="I1101" s="561"/>
      <c r="J1101" s="561"/>
      <c r="K1101" s="561"/>
      <c r="L1101" s="566"/>
    </row>
    <row r="1102" spans="1:12">
      <c r="A1102" s="101"/>
      <c r="B1102" s="72" t="s">
        <v>110</v>
      </c>
      <c r="C1102" s="593">
        <f ca="1">+OFFSET('Bateria indicadores proceso'!$R$3,(RIGHT(A1090,3)),1)</f>
        <v>46022</v>
      </c>
      <c r="D1102" s="593"/>
      <c r="E1102" s="593"/>
      <c r="F1102" s="593"/>
      <c r="G1102" s="593"/>
      <c r="H1102" s="593"/>
      <c r="I1102" s="593"/>
      <c r="J1102" s="593"/>
      <c r="K1102" s="593"/>
      <c r="L1102" s="594"/>
    </row>
    <row r="1103" spans="1:12">
      <c r="A1103" s="101"/>
      <c r="B1103" s="72" t="s">
        <v>111</v>
      </c>
      <c r="C1103" s="561" t="str">
        <f ca="1">OFFSET('Bateria indicadores proceso'!$M$3,(RIGHT(A1090,3)),1)</f>
        <v>Mantener</v>
      </c>
      <c r="D1103" s="561"/>
      <c r="E1103" s="561"/>
      <c r="F1103" s="561"/>
      <c r="G1103" s="561"/>
      <c r="H1103" s="561"/>
      <c r="I1103" s="561"/>
      <c r="J1103" s="561"/>
      <c r="K1103" s="561"/>
      <c r="L1103" s="566"/>
    </row>
    <row r="1104" spans="1:12">
      <c r="A1104" s="101"/>
      <c r="B1104" s="72" t="s">
        <v>112</v>
      </c>
      <c r="C1104" s="561" t="str">
        <f ca="1">OFFSET('Bateria indicadores proceso'!$N$3,(RIGHT(A1090,3)),1)</f>
        <v>Stock</v>
      </c>
      <c r="D1104" s="561"/>
      <c r="E1104" s="561"/>
      <c r="F1104" s="561"/>
      <c r="G1104" s="561"/>
      <c r="H1104" s="561"/>
      <c r="I1104" s="561"/>
      <c r="J1104" s="561"/>
      <c r="K1104" s="561"/>
      <c r="L1104" s="566"/>
    </row>
    <row r="1105" spans="1:12">
      <c r="A1105" s="101"/>
      <c r="B1105" s="72" t="s">
        <v>113</v>
      </c>
      <c r="C1105" s="561" t="str">
        <f ca="1">IF(C1095="Número",TEXT(OFFSET('Bateria indicadores proceso'!$W$3,(RIGHT(A1090,3)),1),"######"),TEXT(OFFSET('Bateria indicadores proceso'!$W$3,(RIGHT(A1090,3)),1),"0.0%"))</f>
        <v>100%</v>
      </c>
      <c r="D1105" s="561"/>
      <c r="E1105" s="561"/>
      <c r="F1105" s="561"/>
      <c r="G1105" s="561"/>
      <c r="H1105" s="561"/>
      <c r="I1105" s="561"/>
      <c r="J1105" s="561"/>
      <c r="K1105" s="561"/>
      <c r="L1105" s="566"/>
    </row>
    <row r="1106" spans="1:12">
      <c r="A1106" s="101"/>
      <c r="B1106" s="595" t="s">
        <v>114</v>
      </c>
      <c r="C1106" s="70" t="s">
        <v>115</v>
      </c>
      <c r="D1106" s="70" t="s">
        <v>116</v>
      </c>
      <c r="E1106" s="70" t="s">
        <v>117</v>
      </c>
      <c r="F1106" s="70" t="s">
        <v>118</v>
      </c>
      <c r="J1106" s="75"/>
      <c r="K1106" s="75"/>
      <c r="L1106" s="76"/>
    </row>
    <row r="1107" spans="1:12">
      <c r="A1107" s="101"/>
      <c r="B1107" s="595"/>
      <c r="C1107" s="70" t="str">
        <f ca="1">IF(C1095="Número",TEXT(OFFSET('Bateria indicadores proceso'!$S$3,(RIGHT(A1090,3)),1),"######"),TEXT(OFFSET('Bateria indicadores proceso'!$S$3,(RIGHT(A1090,3)),1),"0.0%"))</f>
        <v>100%</v>
      </c>
      <c r="D1107" s="70" t="str">
        <f ca="1">IF(C1095="Número",TEXT(OFFSET('Bateria indicadores proceso'!$T$3,(RIGHT(A1090,3)),1),"######"),TEXT(OFFSET('Bateria indicadores proceso'!$T$3,(RIGHT(A1090,3)),1),"0.0%"))</f>
        <v>100%</v>
      </c>
      <c r="E1107" s="70" t="str">
        <f ca="1">IF(C1095="Número",TEXT(OFFSET('Bateria indicadores proceso'!$U$3,(RIGHT(A1090,3)),1),"######"),TEXT(OFFSET('Bateria indicadores proceso'!$U$3,(RIGHT(A1090,3)),1),"0.0%"))</f>
        <v>100%</v>
      </c>
      <c r="F1107" s="70" t="str">
        <f ca="1">IF(C1095="Número",TEXT(OFFSET('Bateria indicadores proceso'!$V$3,(RIGHT(A1090,3)),1),"######"),TEXT(OFFSET('Bateria indicadores proceso'!$V$3,(RIGHT(A1090,3)),1),"0.0%"))</f>
        <v>100%</v>
      </c>
      <c r="J1107" s="77"/>
      <c r="K1107" s="77"/>
      <c r="L1107" s="78"/>
    </row>
    <row r="1108" spans="1:12">
      <c r="A1108" s="101"/>
      <c r="B1108" s="600" t="s">
        <v>119</v>
      </c>
      <c r="C1108" s="567" t="s">
        <v>120</v>
      </c>
      <c r="D1108" s="568"/>
      <c r="E1108" s="567" t="s">
        <v>121</v>
      </c>
      <c r="F1108" s="568"/>
      <c r="G1108" s="567" t="s">
        <v>122</v>
      </c>
      <c r="H1108" s="568"/>
      <c r="I1108" s="567" t="s">
        <v>123</v>
      </c>
      <c r="J1108" s="568"/>
      <c r="K1108" s="567" t="s">
        <v>124</v>
      </c>
      <c r="L1108" s="569"/>
    </row>
    <row r="1109" spans="1:12">
      <c r="A1109" s="101"/>
      <c r="B1109" s="601"/>
      <c r="C1109" s="570" t="s">
        <v>125</v>
      </c>
      <c r="D1109" s="571"/>
      <c r="E1109" s="577" t="s">
        <v>126</v>
      </c>
      <c r="F1109" s="578"/>
      <c r="G1109" s="579" t="s">
        <v>127</v>
      </c>
      <c r="H1109" s="580"/>
      <c r="I1109" s="581" t="s">
        <v>128</v>
      </c>
      <c r="J1109" s="582"/>
      <c r="K1109" s="583" t="s">
        <v>129</v>
      </c>
      <c r="L1109" s="584"/>
    </row>
    <row r="1110" spans="1:12">
      <c r="A1110" s="101"/>
      <c r="B1110" s="602"/>
      <c r="C1110" s="567" t="s">
        <v>130</v>
      </c>
      <c r="D1110" s="568"/>
      <c r="E1110" s="567" t="s">
        <v>131</v>
      </c>
      <c r="F1110" s="568"/>
      <c r="G1110" s="585" t="s">
        <v>132</v>
      </c>
      <c r="H1110" s="568"/>
      <c r="I1110" s="567" t="s">
        <v>133</v>
      </c>
      <c r="J1110" s="568"/>
      <c r="K1110" s="567" t="s">
        <v>134</v>
      </c>
      <c r="L1110" s="569"/>
    </row>
    <row r="1111" spans="1:12">
      <c r="A1111" s="101"/>
      <c r="B1111" s="72" t="s">
        <v>135</v>
      </c>
      <c r="C1111" s="559" t="str">
        <f ca="1">OFFSET('Bateria indicadores proceso'!$Y$3,(RIGHT(A1090,3)),1)</f>
        <v>Informes de Gestión  del Programa Integral de Garantías para Lideresas y Defensoras de Derechos Humanos., Actas de seguimiento.</v>
      </c>
      <c r="D1111" s="559"/>
      <c r="E1111" s="559"/>
      <c r="F1111" s="559"/>
      <c r="G1111" s="559"/>
      <c r="H1111" s="559"/>
      <c r="I1111" s="559"/>
      <c r="J1111" s="559"/>
      <c r="K1111" s="559"/>
      <c r="L1111" s="560"/>
    </row>
    <row r="1112" spans="1:12">
      <c r="A1112" s="101"/>
      <c r="B1112" s="591" t="s">
        <v>136</v>
      </c>
      <c r="C1112" s="561" t="s">
        <v>137</v>
      </c>
      <c r="D1112" s="561"/>
      <c r="E1112" s="561"/>
      <c r="F1112" s="562" t="str">
        <f ca="1">OFFSET('Bateria indicadores proceso'!$B$3,(RIGHT(A1090,3)),1)</f>
        <v>GESTIÓN PARA LA PROTECCIÓN DE LOS DERECHOS</v>
      </c>
      <c r="G1112" s="562"/>
      <c r="H1112" s="562"/>
      <c r="I1112" s="562"/>
      <c r="J1112" s="562"/>
      <c r="K1112" s="562"/>
      <c r="L1112" s="563"/>
    </row>
    <row r="1113" spans="1:12">
      <c r="A1113" s="101"/>
      <c r="B1113" s="592"/>
      <c r="C1113" s="561" t="s">
        <v>138</v>
      </c>
      <c r="D1113" s="561"/>
      <c r="E1113" s="561"/>
      <c r="F1113" s="564">
        <f ca="1">OFFSET('Bateria indicadores proceso'!$C$3,(RIGHT(A1090,3)),1)</f>
        <v>0.11</v>
      </c>
      <c r="G1113" s="564"/>
      <c r="H1113" s="564"/>
      <c r="I1113" s="564"/>
      <c r="J1113" s="564"/>
      <c r="K1113" s="564"/>
      <c r="L1113" s="565"/>
    </row>
    <row r="1114" spans="1:12" ht="15.75" thickBot="1">
      <c r="A1114" s="101"/>
      <c r="B1114" s="592"/>
      <c r="C1114" s="561" t="s">
        <v>139</v>
      </c>
      <c r="D1114" s="561"/>
      <c r="E1114" s="561"/>
      <c r="F1114" s="564">
        <f ca="1">OFFSET('Bateria indicadores proceso'!$E$3,(RIGHT(A1090,3)),1)</f>
        <v>0.02</v>
      </c>
      <c r="G1114" s="564"/>
      <c r="H1114" s="564"/>
      <c r="I1114" s="564"/>
      <c r="J1114" s="564"/>
      <c r="K1114" s="564"/>
      <c r="L1114" s="565"/>
    </row>
    <row r="1115" spans="1:12" ht="16.5" thickBot="1">
      <c r="A1115" s="101"/>
      <c r="B1115" s="572" t="s">
        <v>140</v>
      </c>
      <c r="C1115" s="573"/>
      <c r="D1115" s="573"/>
      <c r="E1115" s="573"/>
      <c r="F1115" s="573"/>
      <c r="G1115" s="573"/>
      <c r="H1115" s="573"/>
      <c r="I1115" s="573"/>
      <c r="J1115" s="573"/>
      <c r="K1115" s="573"/>
      <c r="L1115" s="574"/>
    </row>
    <row r="1116" spans="1:12">
      <c r="A1116" s="101"/>
      <c r="B1116" s="72" t="s">
        <v>142</v>
      </c>
      <c r="C1116" s="561" t="str">
        <f ca="1">OFFSET('Bateria indicadores proceso'!$G$3,(RIGHT(A1090,3)),1)</f>
        <v>Director</v>
      </c>
      <c r="D1116" s="561"/>
      <c r="E1116" s="561"/>
      <c r="F1116" s="561"/>
      <c r="G1116" s="561"/>
      <c r="H1116" s="561"/>
      <c r="I1116" s="561"/>
      <c r="J1116" s="561"/>
      <c r="K1116" s="561"/>
      <c r="L1116" s="566"/>
    </row>
    <row r="1117" spans="1:12">
      <c r="A1117" s="101"/>
      <c r="B1117" s="72" t="s">
        <v>143</v>
      </c>
      <c r="C1117" s="561" t="str">
        <f ca="1">OFFSET('Bateria indicadores proceso'!$F$3,(RIGHT(A1090,3)),1)</f>
        <v>Dirección de Derechos Humanos</v>
      </c>
      <c r="D1117" s="561"/>
      <c r="E1117" s="561"/>
      <c r="F1117" s="561"/>
      <c r="G1117" s="561"/>
      <c r="H1117" s="561"/>
      <c r="I1117" s="561"/>
      <c r="J1117" s="561"/>
      <c r="K1117" s="561"/>
      <c r="L1117" s="566"/>
    </row>
    <row r="1118" spans="1:12">
      <c r="A1118" s="101"/>
      <c r="B1118" s="72" t="s">
        <v>144</v>
      </c>
      <c r="C1118" s="598" t="str">
        <f ca="1">OFFSET('Bateria indicadores proceso'!$H$3,(RIGHT(A1090,3)),1)</f>
        <v>jomary.ortegon@mininterior.gov.co</v>
      </c>
      <c r="D1118" s="598"/>
      <c r="E1118" s="598"/>
      <c r="F1118" s="598"/>
      <c r="G1118" s="598"/>
      <c r="H1118" s="598"/>
      <c r="I1118" s="598"/>
      <c r="J1118" s="598"/>
      <c r="K1118" s="598"/>
      <c r="L1118" s="599"/>
    </row>
    <row r="1119" spans="1:12" ht="15.75" thickBot="1">
      <c r="A1119" s="104"/>
      <c r="B1119" s="74" t="s">
        <v>145</v>
      </c>
      <c r="C1119" s="596" t="s">
        <v>146</v>
      </c>
      <c r="D1119" s="596"/>
      <c r="E1119" s="596"/>
      <c r="F1119" s="596"/>
      <c r="G1119" s="596"/>
      <c r="H1119" s="596"/>
      <c r="I1119" s="596"/>
      <c r="J1119" s="596"/>
      <c r="K1119" s="596"/>
      <c r="L1119" s="597"/>
    </row>
    <row r="1120" spans="1:12" ht="15.75" thickBot="1"/>
    <row r="1121" spans="1:12" ht="21.75" thickBot="1">
      <c r="A1121" s="586" t="s">
        <v>89</v>
      </c>
      <c r="B1121" s="587"/>
      <c r="C1121" s="587"/>
      <c r="D1121" s="587"/>
      <c r="E1121" s="587"/>
      <c r="F1121" s="587"/>
      <c r="G1121" s="587"/>
      <c r="H1121" s="587"/>
      <c r="I1121" s="587"/>
      <c r="J1121" s="587"/>
      <c r="K1121" s="587"/>
      <c r="L1121" s="588"/>
    </row>
    <row r="1122" spans="1:12" ht="32.25" thickBot="1">
      <c r="A1122" s="69" t="s">
        <v>90</v>
      </c>
      <c r="B1122" s="589" t="s">
        <v>91</v>
      </c>
      <c r="C1122" s="589"/>
      <c r="D1122" s="589"/>
      <c r="E1122" s="589"/>
      <c r="F1122" s="589"/>
      <c r="G1122" s="589"/>
      <c r="H1122" s="589"/>
      <c r="I1122" s="589"/>
      <c r="J1122" s="589"/>
      <c r="K1122" s="589"/>
      <c r="L1122" s="589"/>
    </row>
    <row r="1123" spans="1:12" ht="16.5" thickBot="1">
      <c r="A1123" s="100"/>
      <c r="B1123" s="71" t="s">
        <v>92</v>
      </c>
      <c r="C1123" s="575" t="s">
        <v>93</v>
      </c>
      <c r="D1123" s="575"/>
      <c r="E1123" s="575"/>
      <c r="F1123" s="575"/>
      <c r="G1123" s="575"/>
      <c r="H1123" s="575"/>
      <c r="I1123" s="575"/>
      <c r="J1123" s="575"/>
      <c r="K1123" s="575"/>
      <c r="L1123" s="576"/>
    </row>
    <row r="1124" spans="1:12" ht="16.5" thickBot="1">
      <c r="A1124" s="101"/>
      <c r="B1124" s="589" t="s">
        <v>94</v>
      </c>
      <c r="C1124" s="590"/>
      <c r="D1124" s="590"/>
      <c r="E1124" s="590"/>
      <c r="F1124" s="590"/>
      <c r="G1124" s="590"/>
      <c r="H1124" s="590"/>
      <c r="I1124" s="590"/>
      <c r="J1124" s="590"/>
      <c r="K1124" s="590"/>
      <c r="L1124" s="590"/>
    </row>
    <row r="1125" spans="1:12">
      <c r="A1125" s="101"/>
      <c r="B1125" s="71" t="s">
        <v>95</v>
      </c>
      <c r="C1125" s="559" t="s">
        <v>96</v>
      </c>
      <c r="D1125" s="559"/>
      <c r="E1125" s="559"/>
      <c r="F1125" s="559"/>
      <c r="G1125" s="559"/>
      <c r="H1125" s="559"/>
      <c r="I1125" s="559"/>
      <c r="J1125" s="559"/>
      <c r="K1125" s="559"/>
      <c r="L1125" s="560"/>
    </row>
    <row r="1126" spans="1:12">
      <c r="A1126" s="102" t="s">
        <v>177</v>
      </c>
      <c r="B1126" s="72" t="s">
        <v>98</v>
      </c>
      <c r="C1126" s="559" t="str">
        <f ca="1">OFFSET('Bateria indicadores proceso'!$F$3,(RIGHT(A1126,3)),1)</f>
        <v>Dirección de Derechos Humanos</v>
      </c>
      <c r="D1126" s="559"/>
      <c r="E1126" s="559"/>
      <c r="F1126" s="559"/>
      <c r="G1126" s="559"/>
      <c r="H1126" s="559"/>
      <c r="I1126" s="559"/>
      <c r="J1126" s="559"/>
      <c r="K1126" s="559"/>
      <c r="L1126" s="560"/>
    </row>
    <row r="1127" spans="1:12">
      <c r="A1127" s="101"/>
      <c r="B1127" s="72" t="s">
        <v>99</v>
      </c>
      <c r="C1127" s="559" t="str">
        <f ca="1">OFFSET('Bateria indicadores proceso'!$K$3,(RIGHT(A1126,3)),1)</f>
        <v>Número de cementerios que tienen en sus terrenos inhumados cuerpos o restos humanos de personas no identificadas diagnosticados multidimensionalmente.</v>
      </c>
      <c r="D1127" s="559"/>
      <c r="E1127" s="559"/>
      <c r="F1127" s="559"/>
      <c r="G1127" s="559"/>
      <c r="H1127" s="559"/>
      <c r="I1127" s="559"/>
      <c r="J1127" s="559"/>
      <c r="K1127" s="559"/>
      <c r="L1127" s="560"/>
    </row>
    <row r="1128" spans="1:12">
      <c r="A1128" s="101"/>
      <c r="B1128" s="72" t="s">
        <v>100</v>
      </c>
      <c r="C1128" s="559" t="str">
        <f ca="1">OFFSET('Bateria indicadores proceso'!$I$3,(RIGHT(A1126,3)),1)</f>
        <v>Eficacia</v>
      </c>
      <c r="D1128" s="559"/>
      <c r="E1128" s="559"/>
      <c r="F1128" s="559"/>
      <c r="G1128" s="559"/>
      <c r="H1128" s="559"/>
      <c r="I1128" s="559"/>
      <c r="J1128" s="559"/>
      <c r="K1128" s="559"/>
      <c r="L1128" s="560"/>
    </row>
    <row r="1129" spans="1:12" ht="15.75" thickBot="1">
      <c r="A1129" s="103"/>
      <c r="B1129" s="73" t="s">
        <v>101</v>
      </c>
      <c r="C1129" s="559" t="str">
        <f ca="1">OFFSET('Bateria indicadores proceso'!$J$3,(RIGHT(A1126,3)),1)</f>
        <v>Fortalecer la gestión de los cementerios como acción de apoyo al proceso de búsqueda de personas desaparecidas en Colombia.</v>
      </c>
      <c r="D1129" s="559"/>
      <c r="E1129" s="559"/>
      <c r="F1129" s="559"/>
      <c r="G1129" s="559"/>
      <c r="H1129" s="559"/>
      <c r="I1129" s="559"/>
      <c r="J1129" s="559"/>
      <c r="K1129" s="559"/>
      <c r="L1129" s="560"/>
    </row>
    <row r="1130" spans="1:12" ht="16.5" thickBot="1">
      <c r="A1130" s="103"/>
      <c r="B1130" s="572" t="s">
        <v>102</v>
      </c>
      <c r="C1130" s="573"/>
      <c r="D1130" s="573"/>
      <c r="E1130" s="573"/>
      <c r="F1130" s="573"/>
      <c r="G1130" s="573"/>
      <c r="H1130" s="573"/>
      <c r="I1130" s="573"/>
      <c r="J1130" s="573"/>
      <c r="K1130" s="573"/>
      <c r="L1130" s="574"/>
    </row>
    <row r="1131" spans="1:12">
      <c r="A1131" s="101"/>
      <c r="B1131" s="71" t="s">
        <v>103</v>
      </c>
      <c r="C1131" s="559" t="str">
        <f ca="1">OFFSET('Bateria indicadores proceso'!$O$3,(RIGHT(A1126,3)),1)</f>
        <v>Número</v>
      </c>
      <c r="D1131" s="559"/>
      <c r="E1131" s="559"/>
      <c r="F1131" s="559"/>
      <c r="G1131" s="559"/>
      <c r="H1131" s="559"/>
      <c r="I1131" s="559"/>
      <c r="J1131" s="559"/>
      <c r="K1131" s="559"/>
      <c r="L1131" s="560"/>
    </row>
    <row r="1132" spans="1:12" ht="24">
      <c r="A1132" s="101"/>
      <c r="B1132" s="72" t="s">
        <v>104</v>
      </c>
      <c r="C1132" s="559"/>
      <c r="D1132" s="559"/>
      <c r="E1132" s="559"/>
      <c r="F1132" s="559"/>
      <c r="G1132" s="559"/>
      <c r="H1132" s="559"/>
      <c r="I1132" s="559"/>
      <c r="J1132" s="559"/>
      <c r="K1132" s="559"/>
      <c r="L1132" s="560"/>
    </row>
    <row r="1133" spans="1:12">
      <c r="A1133" s="101"/>
      <c r="B1133" s="72" t="s">
        <v>105</v>
      </c>
      <c r="C1133" s="559" t="str">
        <f ca="1">OFFSET('Bateria indicadores proceso'!$L$3,(RIGHT(A1126,3)),1)</f>
        <v>Cementerios que tienen inhumados cuerpos o restos humanos de personas no identificadas diagnosticados multidimensionalmente</v>
      </c>
      <c r="D1133" s="559"/>
      <c r="E1133" s="559"/>
      <c r="F1133" s="559"/>
      <c r="G1133" s="559"/>
      <c r="H1133" s="559"/>
      <c r="I1133" s="559"/>
      <c r="J1133" s="559"/>
      <c r="K1133" s="559"/>
      <c r="L1133" s="560"/>
    </row>
    <row r="1134" spans="1:12">
      <c r="A1134" s="101"/>
      <c r="B1134" s="72" t="s">
        <v>106</v>
      </c>
      <c r="C1134" s="559" t="str">
        <f ca="1">OFFSET('Bateria indicadores proceso'!$Z$3,(RIGHT(A1126,3)),1)</f>
        <v>Trimestral</v>
      </c>
      <c r="D1134" s="559"/>
      <c r="E1134" s="559"/>
      <c r="F1134" s="559"/>
      <c r="G1134" s="559"/>
      <c r="H1134" s="559"/>
      <c r="I1134" s="559"/>
      <c r="J1134" s="559"/>
      <c r="K1134" s="559"/>
      <c r="L1134" s="560"/>
    </row>
    <row r="1135" spans="1:12">
      <c r="A1135" s="101"/>
      <c r="B1135" s="72" t="s">
        <v>107</v>
      </c>
      <c r="C1135" s="559" t="str">
        <f ca="1">OFFSET('Bateria indicadores proceso'!$X$3,(RIGHT(A1126,3)),1)</f>
        <v>La herramienta de la cual se obtine la información del indicador es el Plan Estrategico y de acción de cada vigencia.</v>
      </c>
      <c r="D1135" s="559"/>
      <c r="E1135" s="559"/>
      <c r="F1135" s="559"/>
      <c r="G1135" s="559"/>
      <c r="H1135" s="559"/>
      <c r="I1135" s="559"/>
      <c r="J1135" s="559"/>
      <c r="K1135" s="559"/>
      <c r="L1135" s="560"/>
    </row>
    <row r="1136" spans="1:12">
      <c r="A1136" s="101"/>
      <c r="B1136" s="72" t="s">
        <v>108</v>
      </c>
      <c r="C1136" s="561">
        <f ca="1">OFFSET('Bateria indicadores proceso'!$P$3,(RIGHT(A1126,3)),1)</f>
        <v>2022</v>
      </c>
      <c r="D1136" s="561"/>
      <c r="E1136" s="561"/>
      <c r="F1136" s="561"/>
      <c r="G1136" s="561"/>
      <c r="H1136" s="561"/>
      <c r="I1136" s="561"/>
      <c r="J1136" s="561"/>
      <c r="K1136" s="561"/>
      <c r="L1136" s="566"/>
    </row>
    <row r="1137" spans="1:12">
      <c r="A1137" s="101"/>
      <c r="B1137" s="72" t="s">
        <v>109</v>
      </c>
      <c r="C1137" s="561" t="str">
        <f ca="1">IF(C1131="Número",TEXT(OFFSET('Bateria indicadores proceso'!$Q$3,(RIGHT(A1126,3)),1),"######"),TEXT(OFFSET('Bateria indicadores proceso'!$Q$3,(RIGHT(A1126,3)),1),"0.0%"))</f>
        <v>100</v>
      </c>
      <c r="D1137" s="561"/>
      <c r="E1137" s="561"/>
      <c r="F1137" s="561"/>
      <c r="G1137" s="561"/>
      <c r="H1137" s="561"/>
      <c r="I1137" s="561"/>
      <c r="J1137" s="561"/>
      <c r="K1137" s="561"/>
      <c r="L1137" s="566"/>
    </row>
    <row r="1138" spans="1:12">
      <c r="A1138" s="101"/>
      <c r="B1138" s="72" t="s">
        <v>110</v>
      </c>
      <c r="C1138" s="593">
        <f ca="1">+OFFSET('Bateria indicadores proceso'!$R$3,(RIGHT(A1126,3)),1)</f>
        <v>46022</v>
      </c>
      <c r="D1138" s="593"/>
      <c r="E1138" s="593"/>
      <c r="F1138" s="593"/>
      <c r="G1138" s="593"/>
      <c r="H1138" s="593"/>
      <c r="I1138" s="593"/>
      <c r="J1138" s="593"/>
      <c r="K1138" s="593"/>
      <c r="L1138" s="594"/>
    </row>
    <row r="1139" spans="1:12">
      <c r="A1139" s="101"/>
      <c r="B1139" s="72" t="s">
        <v>111</v>
      </c>
      <c r="C1139" s="561" t="str">
        <f ca="1">OFFSET('Bateria indicadores proceso'!$M$3,(RIGHT(A1126,3)),1)</f>
        <v>Incrementar</v>
      </c>
      <c r="D1139" s="561"/>
      <c r="E1139" s="561"/>
      <c r="F1139" s="561"/>
      <c r="G1139" s="561"/>
      <c r="H1139" s="561"/>
      <c r="I1139" s="561"/>
      <c r="J1139" s="561"/>
      <c r="K1139" s="561"/>
      <c r="L1139" s="566"/>
    </row>
    <row r="1140" spans="1:12">
      <c r="A1140" s="101"/>
      <c r="B1140" s="72" t="s">
        <v>112</v>
      </c>
      <c r="C1140" s="561" t="str">
        <f ca="1">OFFSET('Bateria indicadores proceso'!$N$3,(RIGHT(A1126,3)),1)</f>
        <v>Acumulado</v>
      </c>
      <c r="D1140" s="561"/>
      <c r="E1140" s="561"/>
      <c r="F1140" s="561"/>
      <c r="G1140" s="561"/>
      <c r="H1140" s="561"/>
      <c r="I1140" s="561"/>
      <c r="J1140" s="561"/>
      <c r="K1140" s="561"/>
      <c r="L1140" s="566"/>
    </row>
    <row r="1141" spans="1:12">
      <c r="A1141" s="101"/>
      <c r="B1141" s="72" t="s">
        <v>113</v>
      </c>
      <c r="C1141" s="561" t="str">
        <f ca="1">IF(C1131="Número",TEXT(OFFSET('Bateria indicadores proceso'!$W$3,(RIGHT(A1126,3)),1),"######"),TEXT(OFFSET('Bateria indicadores proceso'!$W$3,(RIGHT(A1126,3)),1),"0.0%"))</f>
        <v>100</v>
      </c>
      <c r="D1141" s="561"/>
      <c r="E1141" s="561"/>
      <c r="F1141" s="561"/>
      <c r="G1141" s="561"/>
      <c r="H1141" s="561"/>
      <c r="I1141" s="561"/>
      <c r="J1141" s="561"/>
      <c r="K1141" s="561"/>
      <c r="L1141" s="566"/>
    </row>
    <row r="1142" spans="1:12">
      <c r="A1142" s="101"/>
      <c r="B1142" s="595" t="s">
        <v>114</v>
      </c>
      <c r="C1142" s="70" t="s">
        <v>115</v>
      </c>
      <c r="D1142" s="70" t="s">
        <v>116</v>
      </c>
      <c r="E1142" s="70" t="s">
        <v>117</v>
      </c>
      <c r="F1142" s="70" t="s">
        <v>118</v>
      </c>
      <c r="J1142" s="75"/>
      <c r="K1142" s="75"/>
      <c r="L1142" s="76"/>
    </row>
    <row r="1143" spans="1:12">
      <c r="A1143" s="101"/>
      <c r="B1143" s="595"/>
      <c r="C1143" s="70" t="str">
        <f ca="1">IF(C1131="Número",TEXT(OFFSET('Bateria indicadores proceso'!$S$3,(RIGHT(A1126,3)),1),"######"),TEXT(OFFSET('Bateria indicadores proceso'!$S$3,(RIGHT(A1126,3)),1),"0.0%"))</f>
        <v/>
      </c>
      <c r="D1143" s="70" t="str">
        <f ca="1">IF(C1131="Número",TEXT(OFFSET('Bateria indicadores proceso'!$T$3,(RIGHT(A1126,3)),1),"######"),TEXT(OFFSET('Bateria indicadores proceso'!$T$3,(RIGHT(A1126,3)),1),"0.0%"))</f>
        <v>30</v>
      </c>
      <c r="E1143" s="70" t="str">
        <f ca="1">IF(C1131="Número",TEXT(OFFSET('Bateria indicadores proceso'!$U$3,(RIGHT(A1126,3)),1),"######"),TEXT(OFFSET('Bateria indicadores proceso'!$U$3,(RIGHT(A1126,3)),1),"0.0%"))</f>
        <v>40</v>
      </c>
      <c r="F1143" s="70" t="str">
        <f ca="1">IF(C1131="Número",TEXT(OFFSET('Bateria indicadores proceso'!$V$3,(RIGHT(A1126,3)),1),"######"),TEXT(OFFSET('Bateria indicadores proceso'!$V$3,(RIGHT(A1126,3)),1),"0.0%"))</f>
        <v>30</v>
      </c>
      <c r="J1143" s="77"/>
      <c r="K1143" s="77"/>
      <c r="L1143" s="78"/>
    </row>
    <row r="1144" spans="1:12">
      <c r="A1144" s="101"/>
      <c r="B1144" s="600" t="s">
        <v>119</v>
      </c>
      <c r="C1144" s="567" t="s">
        <v>120</v>
      </c>
      <c r="D1144" s="568"/>
      <c r="E1144" s="567" t="s">
        <v>121</v>
      </c>
      <c r="F1144" s="568"/>
      <c r="G1144" s="567" t="s">
        <v>122</v>
      </c>
      <c r="H1144" s="568"/>
      <c r="I1144" s="567" t="s">
        <v>123</v>
      </c>
      <c r="J1144" s="568"/>
      <c r="K1144" s="567" t="s">
        <v>124</v>
      </c>
      <c r="L1144" s="569"/>
    </row>
    <row r="1145" spans="1:12">
      <c r="A1145" s="101"/>
      <c r="B1145" s="601"/>
      <c r="C1145" s="570" t="s">
        <v>125</v>
      </c>
      <c r="D1145" s="571"/>
      <c r="E1145" s="577" t="s">
        <v>126</v>
      </c>
      <c r="F1145" s="578"/>
      <c r="G1145" s="579" t="s">
        <v>127</v>
      </c>
      <c r="H1145" s="580"/>
      <c r="I1145" s="581" t="s">
        <v>128</v>
      </c>
      <c r="J1145" s="582"/>
      <c r="K1145" s="583" t="s">
        <v>129</v>
      </c>
      <c r="L1145" s="584"/>
    </row>
    <row r="1146" spans="1:12">
      <c r="A1146" s="101"/>
      <c r="B1146" s="602"/>
      <c r="C1146" s="567" t="s">
        <v>130</v>
      </c>
      <c r="D1146" s="568"/>
      <c r="E1146" s="567" t="s">
        <v>131</v>
      </c>
      <c r="F1146" s="568"/>
      <c r="G1146" s="585" t="s">
        <v>132</v>
      </c>
      <c r="H1146" s="568"/>
      <c r="I1146" s="567" t="s">
        <v>133</v>
      </c>
      <c r="J1146" s="568"/>
      <c r="K1146" s="567" t="s">
        <v>134</v>
      </c>
      <c r="L1146" s="569"/>
    </row>
    <row r="1147" spans="1:12">
      <c r="A1147" s="101"/>
      <c r="B1147" s="72" t="s">
        <v>135</v>
      </c>
      <c r="C1147" s="559" t="str">
        <f ca="1">OFFSET('Bateria indicadores proceso'!$Y$3,(RIGHT(A1126,3)),1)</f>
        <v>Informes de Gestión  de implementación - Informe de gestión del proyecto.</v>
      </c>
      <c r="D1147" s="559"/>
      <c r="E1147" s="559"/>
      <c r="F1147" s="559"/>
      <c r="G1147" s="559"/>
      <c r="H1147" s="559"/>
      <c r="I1147" s="559"/>
      <c r="J1147" s="559"/>
      <c r="K1147" s="559"/>
      <c r="L1147" s="560"/>
    </row>
    <row r="1148" spans="1:12">
      <c r="A1148" s="101"/>
      <c r="B1148" s="591" t="s">
        <v>136</v>
      </c>
      <c r="C1148" s="561" t="s">
        <v>137</v>
      </c>
      <c r="D1148" s="561"/>
      <c r="E1148" s="561"/>
      <c r="F1148" s="562" t="str">
        <f ca="1">OFFSET('Bateria indicadores proceso'!$B$3,(RIGHT(A1126,3)),1)</f>
        <v>GESTIÓN PARA LA PROTECCIÓN DE LOS DERECHOS</v>
      </c>
      <c r="G1148" s="562"/>
      <c r="H1148" s="562"/>
      <c r="I1148" s="562"/>
      <c r="J1148" s="562"/>
      <c r="K1148" s="562"/>
      <c r="L1148" s="563"/>
    </row>
    <row r="1149" spans="1:12">
      <c r="A1149" s="101"/>
      <c r="B1149" s="592"/>
      <c r="C1149" s="561" t="s">
        <v>138</v>
      </c>
      <c r="D1149" s="561"/>
      <c r="E1149" s="561"/>
      <c r="F1149" s="564">
        <f ca="1">OFFSET('Bateria indicadores proceso'!$C$3,(RIGHT(A1126,3)),1)</f>
        <v>0.11</v>
      </c>
      <c r="G1149" s="564"/>
      <c r="H1149" s="564"/>
      <c r="I1149" s="564"/>
      <c r="J1149" s="564"/>
      <c r="K1149" s="564"/>
      <c r="L1149" s="565"/>
    </row>
    <row r="1150" spans="1:12" ht="15.75" thickBot="1">
      <c r="A1150" s="101"/>
      <c r="B1150" s="592"/>
      <c r="C1150" s="561" t="s">
        <v>139</v>
      </c>
      <c r="D1150" s="561"/>
      <c r="E1150" s="561"/>
      <c r="F1150" s="564">
        <f ca="1">OFFSET('Bateria indicadores proceso'!$E$3,(RIGHT(A1126,3)),1)</f>
        <v>0.02</v>
      </c>
      <c r="G1150" s="564"/>
      <c r="H1150" s="564"/>
      <c r="I1150" s="564"/>
      <c r="J1150" s="564"/>
      <c r="K1150" s="564"/>
      <c r="L1150" s="565"/>
    </row>
    <row r="1151" spans="1:12" ht="16.5" thickBot="1">
      <c r="A1151" s="101"/>
      <c r="B1151" s="572" t="s">
        <v>140</v>
      </c>
      <c r="C1151" s="573"/>
      <c r="D1151" s="573"/>
      <c r="E1151" s="573"/>
      <c r="F1151" s="573"/>
      <c r="G1151" s="573"/>
      <c r="H1151" s="573"/>
      <c r="I1151" s="573"/>
      <c r="J1151" s="573"/>
      <c r="K1151" s="573"/>
      <c r="L1151" s="574"/>
    </row>
    <row r="1152" spans="1:12">
      <c r="A1152" s="101"/>
      <c r="B1152" s="72" t="s">
        <v>142</v>
      </c>
      <c r="C1152" s="561" t="str">
        <f ca="1">OFFSET('Bateria indicadores proceso'!$G$3,(RIGHT(A1126,3)),1)</f>
        <v>Director</v>
      </c>
      <c r="D1152" s="561"/>
      <c r="E1152" s="561"/>
      <c r="F1152" s="561"/>
      <c r="G1152" s="561"/>
      <c r="H1152" s="561"/>
      <c r="I1152" s="561"/>
      <c r="J1152" s="561"/>
      <c r="K1152" s="561"/>
      <c r="L1152" s="566"/>
    </row>
    <row r="1153" spans="1:12">
      <c r="A1153" s="101"/>
      <c r="B1153" s="72" t="s">
        <v>143</v>
      </c>
      <c r="C1153" s="561" t="str">
        <f ca="1">OFFSET('Bateria indicadores proceso'!$F$3,(RIGHT(A1126,3)),1)</f>
        <v>Dirección de Derechos Humanos</v>
      </c>
      <c r="D1153" s="561"/>
      <c r="E1153" s="561"/>
      <c r="F1153" s="561"/>
      <c r="G1153" s="561"/>
      <c r="H1153" s="561"/>
      <c r="I1153" s="561"/>
      <c r="J1153" s="561"/>
      <c r="K1153" s="561"/>
      <c r="L1153" s="566"/>
    </row>
    <row r="1154" spans="1:12">
      <c r="A1154" s="101"/>
      <c r="B1154" s="72" t="s">
        <v>144</v>
      </c>
      <c r="C1154" s="598" t="str">
        <f ca="1">OFFSET('Bateria indicadores proceso'!$H$3,(RIGHT(A1090,3)),1)</f>
        <v>jomary.ortegon@mininterior.gov.co</v>
      </c>
      <c r="D1154" s="598"/>
      <c r="E1154" s="598"/>
      <c r="F1154" s="598"/>
      <c r="G1154" s="598"/>
      <c r="H1154" s="598"/>
      <c r="I1154" s="598"/>
      <c r="J1154" s="598"/>
      <c r="K1154" s="598"/>
      <c r="L1154" s="599"/>
    </row>
    <row r="1155" spans="1:12" ht="15.75" thickBot="1">
      <c r="A1155" s="104"/>
      <c r="B1155" s="74" t="s">
        <v>145</v>
      </c>
      <c r="C1155" s="596" t="s">
        <v>146</v>
      </c>
      <c r="D1155" s="596"/>
      <c r="E1155" s="596"/>
      <c r="F1155" s="596"/>
      <c r="G1155" s="596"/>
      <c r="H1155" s="596"/>
      <c r="I1155" s="596"/>
      <c r="J1155" s="596"/>
      <c r="K1155" s="596"/>
      <c r="L1155" s="597"/>
    </row>
    <row r="1156" spans="1:12" ht="15.75" thickBot="1"/>
    <row r="1157" spans="1:12" ht="21.75" thickBot="1">
      <c r="A1157" s="586" t="s">
        <v>89</v>
      </c>
      <c r="B1157" s="587"/>
      <c r="C1157" s="587"/>
      <c r="D1157" s="587"/>
      <c r="E1157" s="587"/>
      <c r="F1157" s="587"/>
      <c r="G1157" s="587"/>
      <c r="H1157" s="587"/>
      <c r="I1157" s="587"/>
      <c r="J1157" s="587"/>
      <c r="K1157" s="587"/>
      <c r="L1157" s="588"/>
    </row>
    <row r="1158" spans="1:12" ht="32.25" thickBot="1">
      <c r="A1158" s="69" t="s">
        <v>90</v>
      </c>
      <c r="B1158" s="589" t="s">
        <v>91</v>
      </c>
      <c r="C1158" s="589"/>
      <c r="D1158" s="589"/>
      <c r="E1158" s="589"/>
      <c r="F1158" s="589"/>
      <c r="G1158" s="589"/>
      <c r="H1158" s="589"/>
      <c r="I1158" s="589"/>
      <c r="J1158" s="589"/>
      <c r="K1158" s="589"/>
      <c r="L1158" s="589"/>
    </row>
    <row r="1159" spans="1:12" ht="16.5" thickBot="1">
      <c r="A1159" s="100"/>
      <c r="B1159" s="71" t="s">
        <v>92</v>
      </c>
      <c r="C1159" s="575" t="s">
        <v>93</v>
      </c>
      <c r="D1159" s="575"/>
      <c r="E1159" s="575"/>
      <c r="F1159" s="575"/>
      <c r="G1159" s="575"/>
      <c r="H1159" s="575"/>
      <c r="I1159" s="575"/>
      <c r="J1159" s="575"/>
      <c r="K1159" s="575"/>
      <c r="L1159" s="576"/>
    </row>
    <row r="1160" spans="1:12" ht="16.5" thickBot="1">
      <c r="A1160" s="101"/>
      <c r="B1160" s="589" t="s">
        <v>94</v>
      </c>
      <c r="C1160" s="590"/>
      <c r="D1160" s="590"/>
      <c r="E1160" s="590"/>
      <c r="F1160" s="590"/>
      <c r="G1160" s="590"/>
      <c r="H1160" s="590"/>
      <c r="I1160" s="590"/>
      <c r="J1160" s="590"/>
      <c r="K1160" s="590"/>
      <c r="L1160" s="590"/>
    </row>
    <row r="1161" spans="1:12">
      <c r="A1161" s="101"/>
      <c r="B1161" s="71" t="s">
        <v>95</v>
      </c>
      <c r="C1161" s="559" t="s">
        <v>96</v>
      </c>
      <c r="D1161" s="559"/>
      <c r="E1161" s="559"/>
      <c r="F1161" s="559"/>
      <c r="G1161" s="559"/>
      <c r="H1161" s="559"/>
      <c r="I1161" s="559"/>
      <c r="J1161" s="559"/>
      <c r="K1161" s="559"/>
      <c r="L1161" s="560"/>
    </row>
    <row r="1162" spans="1:12">
      <c r="A1162" s="102" t="s">
        <v>178</v>
      </c>
      <c r="B1162" s="72" t="s">
        <v>98</v>
      </c>
      <c r="C1162" s="559" t="str">
        <f ca="1">OFFSET('Bateria indicadores proceso'!$F$3,(RIGHT(A1162,3)),1)</f>
        <v>Dirección de Derechos Humanos</v>
      </c>
      <c r="D1162" s="559"/>
      <c r="E1162" s="559"/>
      <c r="F1162" s="559"/>
      <c r="G1162" s="559"/>
      <c r="H1162" s="559"/>
      <c r="I1162" s="559"/>
      <c r="J1162" s="559"/>
      <c r="K1162" s="559"/>
      <c r="L1162" s="560"/>
    </row>
    <row r="1163" spans="1:12">
      <c r="A1163" s="101"/>
      <c r="B1163" s="72" t="s">
        <v>99</v>
      </c>
      <c r="C1163" s="559" t="str">
        <f ca="1">OFFSET('Bateria indicadores proceso'!$K$3,(RIGHT(A1162,3)),1)</f>
        <v>Porcentaje de actividades de fortalecimiento e implementación desarrolladas por la Dirección de Derechos Humanos en el marco de la Política de Garantía y Respeto a la labor de defensa de los Derechos Humanos.</v>
      </c>
      <c r="D1163" s="559"/>
      <c r="E1163" s="559"/>
      <c r="F1163" s="559"/>
      <c r="G1163" s="559"/>
      <c r="H1163" s="559"/>
      <c r="I1163" s="559"/>
      <c r="J1163" s="559"/>
      <c r="K1163" s="559"/>
      <c r="L1163" s="560"/>
    </row>
    <row r="1164" spans="1:12">
      <c r="A1164" s="101"/>
      <c r="B1164" s="72" t="s">
        <v>100</v>
      </c>
      <c r="C1164" s="559" t="str">
        <f ca="1">OFFSET('Bateria indicadores proceso'!$I$3,(RIGHT(A1162,3)),1)</f>
        <v>Eficacia</v>
      </c>
      <c r="D1164" s="559"/>
      <c r="E1164" s="559"/>
      <c r="F1164" s="559"/>
      <c r="G1164" s="559"/>
      <c r="H1164" s="559"/>
      <c r="I1164" s="559"/>
      <c r="J1164" s="559"/>
      <c r="K1164" s="559"/>
      <c r="L1164" s="560"/>
    </row>
    <row r="1165" spans="1:12" ht="15.75" thickBot="1">
      <c r="A1165" s="103"/>
      <c r="B1165" s="73" t="s">
        <v>101</v>
      </c>
      <c r="C1165" s="559" t="str">
        <f ca="1">OFFSET('Bateria indicadores proceso'!$J$3,(RIGHT(A1162,3)),1)</f>
        <v>Fortalecer la Política de Garantía y Respeto a la labor de defensa de los Derechos Humanos</v>
      </c>
      <c r="D1165" s="559"/>
      <c r="E1165" s="559"/>
      <c r="F1165" s="559"/>
      <c r="G1165" s="559"/>
      <c r="H1165" s="559"/>
      <c r="I1165" s="559"/>
      <c r="J1165" s="559"/>
      <c r="K1165" s="559"/>
      <c r="L1165" s="560"/>
    </row>
    <row r="1166" spans="1:12" ht="16.5" thickBot="1">
      <c r="A1166" s="103"/>
      <c r="B1166" s="572" t="s">
        <v>102</v>
      </c>
      <c r="C1166" s="573"/>
      <c r="D1166" s="573"/>
      <c r="E1166" s="573"/>
      <c r="F1166" s="573"/>
      <c r="G1166" s="573"/>
      <c r="H1166" s="573"/>
      <c r="I1166" s="573"/>
      <c r="J1166" s="573"/>
      <c r="K1166" s="573"/>
      <c r="L1166" s="574"/>
    </row>
    <row r="1167" spans="1:12">
      <c r="A1167" s="101"/>
      <c r="B1167" s="71" t="s">
        <v>103</v>
      </c>
      <c r="C1167" s="559" t="str">
        <f ca="1">OFFSET('Bateria indicadores proceso'!$O$3,(RIGHT(A1162,3)),1)</f>
        <v>Porcentaje</v>
      </c>
      <c r="D1167" s="559"/>
      <c r="E1167" s="559"/>
      <c r="F1167" s="559"/>
      <c r="G1167" s="559"/>
      <c r="H1167" s="559"/>
      <c r="I1167" s="559"/>
      <c r="J1167" s="559"/>
      <c r="K1167" s="559"/>
      <c r="L1167" s="560"/>
    </row>
    <row r="1168" spans="1:12" ht="24">
      <c r="A1168" s="101"/>
      <c r="B1168" s="72" t="s">
        <v>104</v>
      </c>
      <c r="C1168" s="559"/>
      <c r="D1168" s="559"/>
      <c r="E1168" s="559"/>
      <c r="F1168" s="559"/>
      <c r="G1168" s="559"/>
      <c r="H1168" s="559"/>
      <c r="I1168" s="559"/>
      <c r="J1168" s="559"/>
      <c r="K1168" s="559"/>
      <c r="L1168" s="560"/>
    </row>
    <row r="1169" spans="1:12">
      <c r="A1169" s="101"/>
      <c r="B1169" s="72" t="s">
        <v>105</v>
      </c>
      <c r="C1169" s="559" t="str">
        <f ca="1">OFFSET('Bateria indicadores proceso'!$L$3,(RIGHT(A1162,3)),1)</f>
        <v xml:space="preserve">(Número de actividades realizadas para el fortalecimiento e implementación de la Política de Garantía y Respeto a la labor de defensa de los Derechos Humanos  a cargo de la Dirección de Derechos Humanos /número de actividades programadas para el  fortalecimiento e implementación de la Política de Garantía y Respeto a la labor de defensa de los Derechos Humanos a cargo de la Dirección de Derechos Humanos )*100% </v>
      </c>
      <c r="D1169" s="559"/>
      <c r="E1169" s="559"/>
      <c r="F1169" s="559"/>
      <c r="G1169" s="559"/>
      <c r="H1169" s="559"/>
      <c r="I1169" s="559"/>
      <c r="J1169" s="559"/>
      <c r="K1169" s="559"/>
      <c r="L1169" s="560"/>
    </row>
    <row r="1170" spans="1:12">
      <c r="A1170" s="101"/>
      <c r="B1170" s="72" t="s">
        <v>106</v>
      </c>
      <c r="C1170" s="559" t="str">
        <f ca="1">OFFSET('Bateria indicadores proceso'!$Z$3,(RIGHT(A1162,3)),1)</f>
        <v>Trimestral</v>
      </c>
      <c r="D1170" s="559"/>
      <c r="E1170" s="559"/>
      <c r="F1170" s="559"/>
      <c r="G1170" s="559"/>
      <c r="H1170" s="559"/>
      <c r="I1170" s="559"/>
      <c r="J1170" s="559"/>
      <c r="K1170" s="559"/>
      <c r="L1170" s="560"/>
    </row>
    <row r="1171" spans="1:12">
      <c r="A1171" s="101"/>
      <c r="B1171" s="72" t="s">
        <v>107</v>
      </c>
      <c r="C1171" s="559" t="str">
        <f ca="1">OFFSET('Bateria indicadores proceso'!$X$3,(RIGHT(A1162,3)),1)</f>
        <v>La herramienta de la cual se obtine la información del indicador es el Plan Estrategico y de acción de cada vigencia.</v>
      </c>
      <c r="D1171" s="559"/>
      <c r="E1171" s="559"/>
      <c r="F1171" s="559"/>
      <c r="G1171" s="559"/>
      <c r="H1171" s="559"/>
      <c r="I1171" s="559"/>
      <c r="J1171" s="559"/>
      <c r="K1171" s="559"/>
      <c r="L1171" s="560"/>
    </row>
    <row r="1172" spans="1:12">
      <c r="A1172" s="101"/>
      <c r="B1172" s="72" t="s">
        <v>108</v>
      </c>
      <c r="C1172" s="561">
        <f ca="1">OFFSET('Bateria indicadores proceso'!$P$3,(RIGHT(A1162,3)),1)</f>
        <v>2022</v>
      </c>
      <c r="D1172" s="561"/>
      <c r="E1172" s="561"/>
      <c r="F1172" s="561"/>
      <c r="G1172" s="561"/>
      <c r="H1172" s="561"/>
      <c r="I1172" s="561"/>
      <c r="J1172" s="561"/>
      <c r="K1172" s="561"/>
      <c r="L1172" s="566"/>
    </row>
    <row r="1173" spans="1:12">
      <c r="A1173" s="101"/>
      <c r="B1173" s="72" t="s">
        <v>109</v>
      </c>
      <c r="C1173" s="561" t="str">
        <f ca="1">IF(C1167="Número",TEXT(OFFSET('Bateria indicadores proceso'!$Q$3,(RIGHT(A1162,3)),1),"######"),TEXT(OFFSET('Bateria indicadores proceso'!$Q$3,(RIGHT(A1162,3)),1),"0.0%"))</f>
        <v>100%</v>
      </c>
      <c r="D1173" s="561"/>
      <c r="E1173" s="561"/>
      <c r="F1173" s="561"/>
      <c r="G1173" s="561"/>
      <c r="H1173" s="561"/>
      <c r="I1173" s="561"/>
      <c r="J1173" s="561"/>
      <c r="K1173" s="561"/>
      <c r="L1173" s="566"/>
    </row>
    <row r="1174" spans="1:12">
      <c r="A1174" s="101"/>
      <c r="B1174" s="72" t="s">
        <v>110</v>
      </c>
      <c r="C1174" s="593">
        <f ca="1">+OFFSET('Bateria indicadores proceso'!$R$3,(RIGHT(A1162,3)),1)</f>
        <v>46022</v>
      </c>
      <c r="D1174" s="593"/>
      <c r="E1174" s="593"/>
      <c r="F1174" s="593"/>
      <c r="G1174" s="593"/>
      <c r="H1174" s="593"/>
      <c r="I1174" s="593"/>
      <c r="J1174" s="593"/>
      <c r="K1174" s="593"/>
      <c r="L1174" s="594"/>
    </row>
    <row r="1175" spans="1:12">
      <c r="A1175" s="101"/>
      <c r="B1175" s="72" t="s">
        <v>111</v>
      </c>
      <c r="C1175" s="561" t="str">
        <f ca="1">OFFSET('Bateria indicadores proceso'!$M$3,(RIGHT(A1162,3)),1)</f>
        <v>Mantener</v>
      </c>
      <c r="D1175" s="561"/>
      <c r="E1175" s="561"/>
      <c r="F1175" s="561"/>
      <c r="G1175" s="561"/>
      <c r="H1175" s="561"/>
      <c r="I1175" s="561"/>
      <c r="J1175" s="561"/>
      <c r="K1175" s="561"/>
      <c r="L1175" s="566"/>
    </row>
    <row r="1176" spans="1:12">
      <c r="A1176" s="101"/>
      <c r="B1176" s="72" t="s">
        <v>112</v>
      </c>
      <c r="C1176" s="561" t="str">
        <f ca="1">OFFSET('Bateria indicadores proceso'!$N$3,(RIGHT(A1162,3)),1)</f>
        <v>Stock</v>
      </c>
      <c r="D1176" s="561"/>
      <c r="E1176" s="561"/>
      <c r="F1176" s="561"/>
      <c r="G1176" s="561"/>
      <c r="H1176" s="561"/>
      <c r="I1176" s="561"/>
      <c r="J1176" s="561"/>
      <c r="K1176" s="561"/>
      <c r="L1176" s="566"/>
    </row>
    <row r="1177" spans="1:12">
      <c r="A1177" s="101"/>
      <c r="B1177" s="72" t="s">
        <v>113</v>
      </c>
      <c r="C1177" s="561" t="str">
        <f ca="1">IF(C1167="Número",TEXT(OFFSET('Bateria indicadores proceso'!$W$3,(RIGHT(A1162,3)),1),"######"),TEXT(OFFSET('Bateria indicadores proceso'!$W$3,(RIGHT(A1162,3)),1),"0.0%"))</f>
        <v>100%</v>
      </c>
      <c r="D1177" s="561"/>
      <c r="E1177" s="561"/>
      <c r="F1177" s="561"/>
      <c r="G1177" s="561"/>
      <c r="H1177" s="561"/>
      <c r="I1177" s="561"/>
      <c r="J1177" s="561"/>
      <c r="K1177" s="561"/>
      <c r="L1177" s="566"/>
    </row>
    <row r="1178" spans="1:12">
      <c r="A1178" s="101"/>
      <c r="B1178" s="595" t="s">
        <v>114</v>
      </c>
      <c r="C1178" s="70" t="s">
        <v>115</v>
      </c>
      <c r="D1178" s="70" t="s">
        <v>116</v>
      </c>
      <c r="E1178" s="70" t="s">
        <v>117</v>
      </c>
      <c r="F1178" s="70" t="s">
        <v>118</v>
      </c>
      <c r="J1178" s="75"/>
      <c r="K1178" s="75"/>
      <c r="L1178" s="76"/>
    </row>
    <row r="1179" spans="1:12">
      <c r="A1179" s="101"/>
      <c r="B1179" s="595"/>
      <c r="C1179" s="70" t="str">
        <f ca="1">IF(C1167="Número",TEXT(OFFSET('Bateria indicadores proceso'!$S$3,(RIGHT(A1162,3)),1),"######"),TEXT(OFFSET('Bateria indicadores proceso'!$S$3,(RIGHT(A1162,3)),1),"0.0%"))</f>
        <v>100%</v>
      </c>
      <c r="D1179" s="70" t="str">
        <f ca="1">IF(C1167="Número",TEXT(OFFSET('Bateria indicadores proceso'!$T$3,(RIGHT(A1162,3)),1),"######"),TEXT(OFFSET('Bateria indicadores proceso'!$T$3,(RIGHT(A1162,3)),1),"0.0%"))</f>
        <v>100%</v>
      </c>
      <c r="E1179" s="70" t="str">
        <f ca="1">IF(C1167="Número",TEXT(OFFSET('Bateria indicadores proceso'!$U$3,(RIGHT(A1162,3)),1),"######"),TEXT(OFFSET('Bateria indicadores proceso'!$U$3,(RIGHT(A1162,3)),1),"0.0%"))</f>
        <v>100%</v>
      </c>
      <c r="F1179" s="70" t="str">
        <f ca="1">IF(C1167="Número",TEXT(OFFSET('Bateria indicadores proceso'!$V$3,(RIGHT(A1162,3)),1),"######"),TEXT(OFFSET('Bateria indicadores proceso'!$V$3,(RIGHT(A1162,3)),1),"0.0%"))</f>
        <v>100%</v>
      </c>
      <c r="J1179" s="77"/>
      <c r="K1179" s="77"/>
      <c r="L1179" s="78"/>
    </row>
    <row r="1180" spans="1:12">
      <c r="A1180" s="101"/>
      <c r="B1180" s="600" t="s">
        <v>119</v>
      </c>
      <c r="C1180" s="567" t="s">
        <v>120</v>
      </c>
      <c r="D1180" s="568"/>
      <c r="E1180" s="567" t="s">
        <v>121</v>
      </c>
      <c r="F1180" s="568"/>
      <c r="G1180" s="567" t="s">
        <v>122</v>
      </c>
      <c r="H1180" s="568"/>
      <c r="I1180" s="567" t="s">
        <v>123</v>
      </c>
      <c r="J1180" s="568"/>
      <c r="K1180" s="567" t="s">
        <v>124</v>
      </c>
      <c r="L1180" s="569"/>
    </row>
    <row r="1181" spans="1:12">
      <c r="A1181" s="101"/>
      <c r="B1181" s="601"/>
      <c r="C1181" s="570" t="s">
        <v>125</v>
      </c>
      <c r="D1181" s="571"/>
      <c r="E1181" s="577" t="s">
        <v>126</v>
      </c>
      <c r="F1181" s="578"/>
      <c r="G1181" s="579" t="s">
        <v>127</v>
      </c>
      <c r="H1181" s="580"/>
      <c r="I1181" s="581" t="s">
        <v>128</v>
      </c>
      <c r="J1181" s="582"/>
      <c r="K1181" s="583" t="s">
        <v>129</v>
      </c>
      <c r="L1181" s="584"/>
    </row>
    <row r="1182" spans="1:12">
      <c r="A1182" s="101"/>
      <c r="B1182" s="602"/>
      <c r="C1182" s="567" t="s">
        <v>130</v>
      </c>
      <c r="D1182" s="568"/>
      <c r="E1182" s="567" t="s">
        <v>131</v>
      </c>
      <c r="F1182" s="568"/>
      <c r="G1182" s="585" t="s">
        <v>132</v>
      </c>
      <c r="H1182" s="568"/>
      <c r="I1182" s="567" t="s">
        <v>133</v>
      </c>
      <c r="J1182" s="568"/>
      <c r="K1182" s="567" t="s">
        <v>134</v>
      </c>
      <c r="L1182" s="569"/>
    </row>
    <row r="1183" spans="1:12">
      <c r="A1183" s="101"/>
      <c r="B1183" s="72" t="s">
        <v>135</v>
      </c>
      <c r="C1183" s="559" t="str">
        <f ca="1">OFFSET('Bateria indicadores proceso'!$Y$3,(RIGHT(A1162,3)),1)</f>
        <v>Informes de Avance de la Politica para Fortalecer la Política de Garantía y Respeto a la labor de defensa de los Derechos Humanos</v>
      </c>
      <c r="D1183" s="559"/>
      <c r="E1183" s="559"/>
      <c r="F1183" s="559"/>
      <c r="G1183" s="559"/>
      <c r="H1183" s="559"/>
      <c r="I1183" s="559"/>
      <c r="J1183" s="559"/>
      <c r="K1183" s="559"/>
      <c r="L1183" s="560"/>
    </row>
    <row r="1184" spans="1:12">
      <c r="A1184" s="101"/>
      <c r="B1184" s="591" t="s">
        <v>136</v>
      </c>
      <c r="C1184" s="561" t="s">
        <v>137</v>
      </c>
      <c r="D1184" s="561"/>
      <c r="E1184" s="561"/>
      <c r="F1184" s="562" t="str">
        <f ca="1">OFFSET('Bateria indicadores proceso'!$B$3,(RIGHT(A1162,3)),1)</f>
        <v>GESTIÓN PARA LA PROTECCIÓN DE LOS DERECHOS</v>
      </c>
      <c r="G1184" s="562"/>
      <c r="H1184" s="562"/>
      <c r="I1184" s="562"/>
      <c r="J1184" s="562"/>
      <c r="K1184" s="562"/>
      <c r="L1184" s="563"/>
    </row>
    <row r="1185" spans="1:12">
      <c r="A1185" s="101"/>
      <c r="B1185" s="592"/>
      <c r="C1185" s="561" t="s">
        <v>138</v>
      </c>
      <c r="D1185" s="561"/>
      <c r="E1185" s="561"/>
      <c r="F1185" s="564">
        <f ca="1">OFFSET('Bateria indicadores proceso'!$C$3,(RIGHT(A1162,3)),1)</f>
        <v>0.11</v>
      </c>
      <c r="G1185" s="564"/>
      <c r="H1185" s="564"/>
      <c r="I1185" s="564"/>
      <c r="J1185" s="564"/>
      <c r="K1185" s="564"/>
      <c r="L1185" s="565"/>
    </row>
    <row r="1186" spans="1:12" ht="15.75" thickBot="1">
      <c r="A1186" s="101"/>
      <c r="B1186" s="592"/>
      <c r="C1186" s="561" t="s">
        <v>139</v>
      </c>
      <c r="D1186" s="561"/>
      <c r="E1186" s="561"/>
      <c r="F1186" s="564">
        <f ca="1">OFFSET('Bateria indicadores proceso'!$E$3,(RIGHT(A1162,3)),1)</f>
        <v>0.02</v>
      </c>
      <c r="G1186" s="564"/>
      <c r="H1186" s="564"/>
      <c r="I1186" s="564"/>
      <c r="J1186" s="564"/>
      <c r="K1186" s="564"/>
      <c r="L1186" s="565"/>
    </row>
    <row r="1187" spans="1:12" ht="16.5" thickBot="1">
      <c r="A1187" s="101"/>
      <c r="B1187" s="572" t="s">
        <v>140</v>
      </c>
      <c r="C1187" s="573"/>
      <c r="D1187" s="573"/>
      <c r="E1187" s="573"/>
      <c r="F1187" s="573"/>
      <c r="G1187" s="573"/>
      <c r="H1187" s="573"/>
      <c r="I1187" s="573"/>
      <c r="J1187" s="573"/>
      <c r="K1187" s="573"/>
      <c r="L1187" s="574"/>
    </row>
    <row r="1188" spans="1:12">
      <c r="A1188" s="101"/>
      <c r="B1188" s="72" t="s">
        <v>142</v>
      </c>
      <c r="C1188" s="561" t="str">
        <f ca="1">OFFSET('Bateria indicadores proceso'!$G$3,(RIGHT(A1162,3)),1)</f>
        <v>Director</v>
      </c>
      <c r="D1188" s="561"/>
      <c r="E1188" s="561"/>
      <c r="F1188" s="561"/>
      <c r="G1188" s="561"/>
      <c r="H1188" s="561"/>
      <c r="I1188" s="561"/>
      <c r="J1188" s="561"/>
      <c r="K1188" s="561"/>
      <c r="L1188" s="566"/>
    </row>
    <row r="1189" spans="1:12">
      <c r="A1189" s="101"/>
      <c r="B1189" s="72" t="s">
        <v>143</v>
      </c>
      <c r="C1189" s="561" t="str">
        <f ca="1">OFFSET('Bateria indicadores proceso'!$F$3,(RIGHT(A1162,3)),1)</f>
        <v>Dirección de Derechos Humanos</v>
      </c>
      <c r="D1189" s="561"/>
      <c r="E1189" s="561"/>
      <c r="F1189" s="561"/>
      <c r="G1189" s="561"/>
      <c r="H1189" s="561"/>
      <c r="I1189" s="561"/>
      <c r="J1189" s="561"/>
      <c r="K1189" s="561"/>
      <c r="L1189" s="566"/>
    </row>
    <row r="1190" spans="1:12">
      <c r="A1190" s="101"/>
      <c r="B1190" s="72" t="s">
        <v>144</v>
      </c>
      <c r="C1190" s="598" t="str">
        <f ca="1">OFFSET('Bateria indicadores proceso'!$H$3,(RIGHT(A1162,3)),1)</f>
        <v>jomary.ortegon@mininterior.gov.co</v>
      </c>
      <c r="D1190" s="598"/>
      <c r="E1190" s="598"/>
      <c r="F1190" s="598"/>
      <c r="G1190" s="598"/>
      <c r="H1190" s="598"/>
      <c r="I1190" s="598"/>
      <c r="J1190" s="598"/>
      <c r="K1190" s="598"/>
      <c r="L1190" s="599"/>
    </row>
    <row r="1191" spans="1:12" ht="15.75" thickBot="1">
      <c r="A1191" s="104"/>
      <c r="B1191" s="74" t="s">
        <v>145</v>
      </c>
      <c r="C1191" s="596" t="s">
        <v>146</v>
      </c>
      <c r="D1191" s="596"/>
      <c r="E1191" s="596"/>
      <c r="F1191" s="596"/>
      <c r="G1191" s="596"/>
      <c r="H1191" s="596"/>
      <c r="I1191" s="596"/>
      <c r="J1191" s="596"/>
      <c r="K1191" s="596"/>
      <c r="L1191" s="597"/>
    </row>
    <row r="1192" spans="1:12" ht="15.75" thickBot="1"/>
    <row r="1193" spans="1:12" ht="21.75" thickBot="1">
      <c r="A1193" s="586" t="s">
        <v>89</v>
      </c>
      <c r="B1193" s="587"/>
      <c r="C1193" s="587"/>
      <c r="D1193" s="587"/>
      <c r="E1193" s="587"/>
      <c r="F1193" s="587"/>
      <c r="G1193" s="587"/>
      <c r="H1193" s="587"/>
      <c r="I1193" s="587"/>
      <c r="J1193" s="587"/>
      <c r="K1193" s="587"/>
      <c r="L1193" s="588"/>
    </row>
    <row r="1194" spans="1:12" ht="32.25" thickBot="1">
      <c r="A1194" s="69" t="s">
        <v>90</v>
      </c>
      <c r="B1194" s="589" t="s">
        <v>91</v>
      </c>
      <c r="C1194" s="589"/>
      <c r="D1194" s="589"/>
      <c r="E1194" s="589"/>
      <c r="F1194" s="589"/>
      <c r="G1194" s="589"/>
      <c r="H1194" s="589"/>
      <c r="I1194" s="589"/>
      <c r="J1194" s="589"/>
      <c r="K1194" s="589"/>
      <c r="L1194" s="589"/>
    </row>
    <row r="1195" spans="1:12" ht="16.5" thickBot="1">
      <c r="A1195" s="100"/>
      <c r="B1195" s="71" t="s">
        <v>92</v>
      </c>
      <c r="C1195" s="575" t="s">
        <v>93</v>
      </c>
      <c r="D1195" s="575"/>
      <c r="E1195" s="575"/>
      <c r="F1195" s="575"/>
      <c r="G1195" s="575"/>
      <c r="H1195" s="575"/>
      <c r="I1195" s="575"/>
      <c r="J1195" s="575"/>
      <c r="K1195" s="575"/>
      <c r="L1195" s="576"/>
    </row>
    <row r="1196" spans="1:12" ht="16.5" thickBot="1">
      <c r="A1196" s="101"/>
      <c r="B1196" s="589" t="s">
        <v>94</v>
      </c>
      <c r="C1196" s="590"/>
      <c r="D1196" s="590"/>
      <c r="E1196" s="590"/>
      <c r="F1196" s="590"/>
      <c r="G1196" s="590"/>
      <c r="H1196" s="590"/>
      <c r="I1196" s="590"/>
      <c r="J1196" s="590"/>
      <c r="K1196" s="590"/>
      <c r="L1196" s="590"/>
    </row>
    <row r="1197" spans="1:12">
      <c r="A1197" s="101"/>
      <c r="B1197" s="71" t="s">
        <v>95</v>
      </c>
      <c r="C1197" s="559" t="s">
        <v>96</v>
      </c>
      <c r="D1197" s="559"/>
      <c r="E1197" s="559"/>
      <c r="F1197" s="559"/>
      <c r="G1197" s="559"/>
      <c r="H1197" s="559"/>
      <c r="I1197" s="559"/>
      <c r="J1197" s="559"/>
      <c r="K1197" s="559"/>
      <c r="L1197" s="560"/>
    </row>
    <row r="1198" spans="1:12">
      <c r="A1198" s="102" t="s">
        <v>179</v>
      </c>
      <c r="B1198" s="72" t="s">
        <v>98</v>
      </c>
      <c r="C1198" s="559" t="str">
        <f ca="1">OFFSET('Bateria indicadores proceso'!$F$3,(RIGHT(A1198,3)),1)</f>
        <v>Dirección de Derechos Humanos</v>
      </c>
      <c r="D1198" s="559"/>
      <c r="E1198" s="559"/>
      <c r="F1198" s="559"/>
      <c r="G1198" s="559"/>
      <c r="H1198" s="559"/>
      <c r="I1198" s="559"/>
      <c r="J1198" s="559"/>
      <c r="K1198" s="559"/>
      <c r="L1198" s="560"/>
    </row>
    <row r="1199" spans="1:12">
      <c r="A1199" s="101"/>
      <c r="B1199" s="72" t="s">
        <v>99</v>
      </c>
      <c r="C1199" s="559" t="str">
        <f ca="1">OFFSET('Bateria indicadores proceso'!$K$3,(RIGHT(A1198,3)),1)</f>
        <v>Planes de autoprotección de organizaciones y colectividades de los sectores sociales LGBTIQ+ formulados en los territorios</v>
      </c>
      <c r="D1199" s="559"/>
      <c r="E1199" s="559"/>
      <c r="F1199" s="559"/>
      <c r="G1199" s="559"/>
      <c r="H1199" s="559"/>
      <c r="I1199" s="559"/>
      <c r="J1199" s="559"/>
      <c r="K1199" s="559"/>
      <c r="L1199" s="560"/>
    </row>
    <row r="1200" spans="1:12">
      <c r="A1200" s="101"/>
      <c r="B1200" s="72" t="s">
        <v>100</v>
      </c>
      <c r="C1200" s="559" t="str">
        <f ca="1">OFFSET('Bateria indicadores proceso'!$I$3,(RIGHT(A1198,3)),1)</f>
        <v>Eficacia</v>
      </c>
      <c r="D1200" s="559"/>
      <c r="E1200" s="559"/>
      <c r="F1200" s="559"/>
      <c r="G1200" s="559"/>
      <c r="H1200" s="559"/>
      <c r="I1200" s="559"/>
      <c r="J1200" s="559"/>
      <c r="K1200" s="559"/>
      <c r="L1200" s="560"/>
    </row>
    <row r="1201" spans="1:12" ht="15.75" thickBot="1">
      <c r="A1201" s="103"/>
      <c r="B1201" s="73" t="s">
        <v>101</v>
      </c>
      <c r="C1201" s="559" t="str">
        <f ca="1">OFFSET('Bateria indicadores proceso'!$J$3,(RIGHT(A1198,3)),1)</f>
        <v>Impulsar la garantía del ejercicio efectivo de los derechos de los integrantes de los sectores sociales LGBTIQ+ en los territorios.</v>
      </c>
      <c r="D1201" s="559"/>
      <c r="E1201" s="559"/>
      <c r="F1201" s="559"/>
      <c r="G1201" s="559"/>
      <c r="H1201" s="559"/>
      <c r="I1201" s="559"/>
      <c r="J1201" s="559"/>
      <c r="K1201" s="559"/>
      <c r="L1201" s="560"/>
    </row>
    <row r="1202" spans="1:12" ht="16.5" thickBot="1">
      <c r="A1202" s="103"/>
      <c r="B1202" s="572" t="s">
        <v>102</v>
      </c>
      <c r="C1202" s="573"/>
      <c r="D1202" s="573"/>
      <c r="E1202" s="573"/>
      <c r="F1202" s="573"/>
      <c r="G1202" s="573"/>
      <c r="H1202" s="573"/>
      <c r="I1202" s="573"/>
      <c r="J1202" s="573"/>
      <c r="K1202" s="573"/>
      <c r="L1202" s="574"/>
    </row>
    <row r="1203" spans="1:12">
      <c r="A1203" s="101"/>
      <c r="B1203" s="71" t="s">
        <v>103</v>
      </c>
      <c r="C1203" s="559" t="str">
        <f ca="1">OFFSET('Bateria indicadores proceso'!$O$3,(RIGHT(A1198,3)),1)</f>
        <v>Número</v>
      </c>
      <c r="D1203" s="559"/>
      <c r="E1203" s="559"/>
      <c r="F1203" s="559"/>
      <c r="G1203" s="559"/>
      <c r="H1203" s="559"/>
      <c r="I1203" s="559"/>
      <c r="J1203" s="559"/>
      <c r="K1203" s="559"/>
      <c r="L1203" s="560"/>
    </row>
    <row r="1204" spans="1:12" ht="24">
      <c r="A1204" s="101"/>
      <c r="B1204" s="72" t="s">
        <v>104</v>
      </c>
      <c r="C1204" s="559"/>
      <c r="D1204" s="559"/>
      <c r="E1204" s="559"/>
      <c r="F1204" s="559"/>
      <c r="G1204" s="559"/>
      <c r="H1204" s="559"/>
      <c r="I1204" s="559"/>
      <c r="J1204" s="559"/>
      <c r="K1204" s="559"/>
      <c r="L1204" s="560"/>
    </row>
    <row r="1205" spans="1:12">
      <c r="A1205" s="101"/>
      <c r="B1205" s="72" t="s">
        <v>105</v>
      </c>
      <c r="C1205" s="559" t="str">
        <f ca="1">OFFSET('Bateria indicadores proceso'!$L$3,(RIGHT(A1198,3)),1)</f>
        <v xml:space="preserve">Sumatoria de número de Planes de autoprotección de organizaciones y colectividades de los sectores sociales LGBTIQ+ en los territorios, formulados </v>
      </c>
      <c r="D1205" s="559"/>
      <c r="E1205" s="559"/>
      <c r="F1205" s="559"/>
      <c r="G1205" s="559"/>
      <c r="H1205" s="559"/>
      <c r="I1205" s="559"/>
      <c r="J1205" s="559"/>
      <c r="K1205" s="559"/>
      <c r="L1205" s="560"/>
    </row>
    <row r="1206" spans="1:12">
      <c r="A1206" s="101"/>
      <c r="B1206" s="72" t="s">
        <v>106</v>
      </c>
      <c r="C1206" s="559" t="str">
        <f ca="1">OFFSET('Bateria indicadores proceso'!$Z$3,(RIGHT(A1198,3)),1)</f>
        <v xml:space="preserve">Trimestral </v>
      </c>
      <c r="D1206" s="559"/>
      <c r="E1206" s="559"/>
      <c r="F1206" s="559"/>
      <c r="G1206" s="559"/>
      <c r="H1206" s="559"/>
      <c r="I1206" s="559"/>
      <c r="J1206" s="559"/>
      <c r="K1206" s="559"/>
      <c r="L1206" s="560"/>
    </row>
    <row r="1207" spans="1:12">
      <c r="A1207" s="101"/>
      <c r="B1207" s="72" t="s">
        <v>107</v>
      </c>
      <c r="C1207" s="559" t="str">
        <f ca="1">OFFSET('Bateria indicadores proceso'!$X$3,(RIGHT(A1198,3)),1)</f>
        <v>La herramienta de la cual se obtine la información del indicador es el Plan Estrategico y de acción de cada vigencia.</v>
      </c>
      <c r="D1207" s="559"/>
      <c r="E1207" s="559"/>
      <c r="F1207" s="559"/>
      <c r="G1207" s="559"/>
      <c r="H1207" s="559"/>
      <c r="I1207" s="559"/>
      <c r="J1207" s="559"/>
      <c r="K1207" s="559"/>
      <c r="L1207" s="560"/>
    </row>
    <row r="1208" spans="1:12">
      <c r="A1208" s="101"/>
      <c r="B1208" s="72" t="s">
        <v>108</v>
      </c>
      <c r="C1208" s="561">
        <f ca="1">OFFSET('Bateria indicadores proceso'!$P$3,(RIGHT(A1198,3)),1)</f>
        <v>2022</v>
      </c>
      <c r="D1208" s="561"/>
      <c r="E1208" s="561"/>
      <c r="F1208" s="561"/>
      <c r="G1208" s="561"/>
      <c r="H1208" s="561"/>
      <c r="I1208" s="561"/>
      <c r="J1208" s="561"/>
      <c r="K1208" s="561"/>
      <c r="L1208" s="566"/>
    </row>
    <row r="1209" spans="1:12">
      <c r="A1209" s="101"/>
      <c r="B1209" s="72" t="s">
        <v>109</v>
      </c>
      <c r="C1209" s="561" t="str">
        <f ca="1">IF(C1203="Número",TEXT(OFFSET('Bateria indicadores proceso'!$Q$3,(RIGHT(A1198,3)),1),"######"),TEXT(OFFSET('Bateria indicadores proceso'!$Q$3,(RIGHT(A1198,3)),1),"0.0%"))</f>
        <v>32</v>
      </c>
      <c r="D1209" s="561"/>
      <c r="E1209" s="561"/>
      <c r="F1209" s="561"/>
      <c r="G1209" s="561"/>
      <c r="H1209" s="561"/>
      <c r="I1209" s="561"/>
      <c r="J1209" s="561"/>
      <c r="K1209" s="561"/>
      <c r="L1209" s="566"/>
    </row>
    <row r="1210" spans="1:12">
      <c r="A1210" s="101"/>
      <c r="B1210" s="72" t="s">
        <v>110</v>
      </c>
      <c r="C1210" s="593">
        <f ca="1">+OFFSET('Bateria indicadores proceso'!$R$3,(RIGHT(A1198,3)),1)</f>
        <v>46022</v>
      </c>
      <c r="D1210" s="593"/>
      <c r="E1210" s="593"/>
      <c r="F1210" s="593"/>
      <c r="G1210" s="593"/>
      <c r="H1210" s="593"/>
      <c r="I1210" s="593"/>
      <c r="J1210" s="593"/>
      <c r="K1210" s="593"/>
      <c r="L1210" s="594"/>
    </row>
    <row r="1211" spans="1:12">
      <c r="A1211" s="101"/>
      <c r="B1211" s="72" t="s">
        <v>111</v>
      </c>
      <c r="C1211" s="561" t="str">
        <f ca="1">OFFSET('Bateria indicadores proceso'!$M$3,(RIGHT(A1198,3)),1)</f>
        <v>Incrementar</v>
      </c>
      <c r="D1211" s="561"/>
      <c r="E1211" s="561"/>
      <c r="F1211" s="561"/>
      <c r="G1211" s="561"/>
      <c r="H1211" s="561"/>
      <c r="I1211" s="561"/>
      <c r="J1211" s="561"/>
      <c r="K1211" s="561"/>
      <c r="L1211" s="566"/>
    </row>
    <row r="1212" spans="1:12">
      <c r="A1212" s="101"/>
      <c r="B1212" s="72" t="s">
        <v>112</v>
      </c>
      <c r="C1212" s="561" t="str">
        <f ca="1">OFFSET('Bateria indicadores proceso'!$N$3,(RIGHT(A1198,3)),1)</f>
        <v>Acumulado</v>
      </c>
      <c r="D1212" s="561"/>
      <c r="E1212" s="561"/>
      <c r="F1212" s="561"/>
      <c r="G1212" s="561"/>
      <c r="H1212" s="561"/>
      <c r="I1212" s="561"/>
      <c r="J1212" s="561"/>
      <c r="K1212" s="561"/>
      <c r="L1212" s="566"/>
    </row>
    <row r="1213" spans="1:12">
      <c r="A1213" s="101"/>
      <c r="B1213" s="72" t="s">
        <v>113</v>
      </c>
      <c r="C1213" s="561" t="str">
        <f ca="1">IF(C1203="Número",TEXT(OFFSET('Bateria indicadores proceso'!$W$3,(RIGHT(A1198,3)),1),"######"),TEXT(OFFSET('Bateria indicadores proceso'!$W$3,(RIGHT(A1198,3)),1),"0.0%"))</f>
        <v>16</v>
      </c>
      <c r="D1213" s="561"/>
      <c r="E1213" s="561"/>
      <c r="F1213" s="561"/>
      <c r="G1213" s="561"/>
      <c r="H1213" s="561"/>
      <c r="I1213" s="561"/>
      <c r="J1213" s="561"/>
      <c r="K1213" s="561"/>
      <c r="L1213" s="566"/>
    </row>
    <row r="1214" spans="1:12">
      <c r="A1214" s="101"/>
      <c r="B1214" s="595" t="s">
        <v>114</v>
      </c>
      <c r="C1214" s="70" t="s">
        <v>115</v>
      </c>
      <c r="D1214" s="70" t="s">
        <v>116</v>
      </c>
      <c r="E1214" s="70" t="s">
        <v>117</v>
      </c>
      <c r="F1214" s="70" t="s">
        <v>118</v>
      </c>
      <c r="J1214" s="75"/>
      <c r="K1214" s="75"/>
      <c r="L1214" s="76"/>
    </row>
    <row r="1215" spans="1:12">
      <c r="A1215" s="101"/>
      <c r="B1215" s="595"/>
      <c r="C1215" s="70" t="str">
        <f ca="1">IF(C1203="Número",TEXT(OFFSET('Bateria indicadores proceso'!$S$3,(RIGHT(A1198,3)),1),"######"),TEXT(OFFSET('Bateria indicadores proceso'!$S$3,(RIGHT(A1198,3)),1),"0.0%"))</f>
        <v>3</v>
      </c>
      <c r="D1215" s="70" t="str">
        <f ca="1">IF(C1203="Número",TEXT(OFFSET('Bateria indicadores proceso'!$T$3,(RIGHT(A1198,3)),1),"######"),TEXT(OFFSET('Bateria indicadores proceso'!$T$3,(RIGHT(A1198,3)),1),"0.0%"))</f>
        <v>5</v>
      </c>
      <c r="E1215" s="70" t="str">
        <f ca="1">IF(C1203="Número",TEXT(OFFSET('Bateria indicadores proceso'!$U$3,(RIGHT(A1198,3)),1),"######"),TEXT(OFFSET('Bateria indicadores proceso'!$U$3,(RIGHT(A1198,3)),1),"0.0%"))</f>
        <v>5</v>
      </c>
      <c r="F1215" s="70" t="str">
        <f ca="1">IF(C1203="Número",TEXT(OFFSET('Bateria indicadores proceso'!$V$3,(RIGHT(A1198,3)),1),"######"),TEXT(OFFSET('Bateria indicadores proceso'!$V$3,(RIGHT(A1198,3)),1),"0.0%"))</f>
        <v>3</v>
      </c>
      <c r="J1215" s="77"/>
      <c r="K1215" s="77"/>
      <c r="L1215" s="78"/>
    </row>
    <row r="1216" spans="1:12">
      <c r="A1216" s="101"/>
      <c r="B1216" s="600" t="s">
        <v>119</v>
      </c>
      <c r="C1216" s="567" t="s">
        <v>120</v>
      </c>
      <c r="D1216" s="568"/>
      <c r="E1216" s="567" t="s">
        <v>121</v>
      </c>
      <c r="F1216" s="568"/>
      <c r="G1216" s="567" t="s">
        <v>122</v>
      </c>
      <c r="H1216" s="568"/>
      <c r="I1216" s="567" t="s">
        <v>123</v>
      </c>
      <c r="J1216" s="568"/>
      <c r="K1216" s="567" t="s">
        <v>124</v>
      </c>
      <c r="L1216" s="569"/>
    </row>
    <row r="1217" spans="1:12">
      <c r="A1217" s="101"/>
      <c r="B1217" s="601"/>
      <c r="C1217" s="570" t="s">
        <v>125</v>
      </c>
      <c r="D1217" s="571"/>
      <c r="E1217" s="577" t="s">
        <v>126</v>
      </c>
      <c r="F1217" s="578"/>
      <c r="G1217" s="579" t="s">
        <v>127</v>
      </c>
      <c r="H1217" s="580"/>
      <c r="I1217" s="581" t="s">
        <v>128</v>
      </c>
      <c r="J1217" s="582"/>
      <c r="K1217" s="583" t="s">
        <v>129</v>
      </c>
      <c r="L1217" s="584"/>
    </row>
    <row r="1218" spans="1:12">
      <c r="A1218" s="101"/>
      <c r="B1218" s="602"/>
      <c r="C1218" s="567" t="s">
        <v>130</v>
      </c>
      <c r="D1218" s="568"/>
      <c r="E1218" s="567" t="s">
        <v>131</v>
      </c>
      <c r="F1218" s="568"/>
      <c r="G1218" s="585" t="s">
        <v>132</v>
      </c>
      <c r="H1218" s="568"/>
      <c r="I1218" s="567" t="s">
        <v>133</v>
      </c>
      <c r="J1218" s="568"/>
      <c r="K1218" s="567" t="s">
        <v>134</v>
      </c>
      <c r="L1218" s="569"/>
    </row>
    <row r="1219" spans="1:12">
      <c r="A1219" s="101"/>
      <c r="B1219" s="72" t="s">
        <v>135</v>
      </c>
      <c r="C1219" s="559" t="str">
        <f ca="1">OFFSET('Bateria indicadores proceso'!$Y$3,(RIGHT(A1198,3)),1)</f>
        <v>Documentos Planes de autoprotección de organizaciones y colectividades de los sectores sociales LGBTIQ+</v>
      </c>
      <c r="D1219" s="559"/>
      <c r="E1219" s="559"/>
      <c r="F1219" s="559"/>
      <c r="G1219" s="559"/>
      <c r="H1219" s="559"/>
      <c r="I1219" s="559"/>
      <c r="J1219" s="559"/>
      <c r="K1219" s="559"/>
      <c r="L1219" s="560"/>
    </row>
    <row r="1220" spans="1:12">
      <c r="A1220" s="101"/>
      <c r="B1220" s="591" t="s">
        <v>136</v>
      </c>
      <c r="C1220" s="561" t="s">
        <v>137</v>
      </c>
      <c r="D1220" s="561"/>
      <c r="E1220" s="561"/>
      <c r="F1220" s="562" t="str">
        <f ca="1">OFFSET('Bateria indicadores proceso'!$B$3,(RIGHT(A1198,3)),1)</f>
        <v>GESTIÓN PARA LA PROTECCIÓN DE LOS DERECHOS</v>
      </c>
      <c r="G1220" s="562"/>
      <c r="H1220" s="562"/>
      <c r="I1220" s="562"/>
      <c r="J1220" s="562"/>
      <c r="K1220" s="562"/>
      <c r="L1220" s="563"/>
    </row>
    <row r="1221" spans="1:12">
      <c r="A1221" s="101"/>
      <c r="B1221" s="592"/>
      <c r="C1221" s="561" t="s">
        <v>138</v>
      </c>
      <c r="D1221" s="561"/>
      <c r="E1221" s="561"/>
      <c r="F1221" s="564">
        <f ca="1">OFFSET('Bateria indicadores proceso'!$C$3,(RIGHT(A1198,3)),1)</f>
        <v>0.11</v>
      </c>
      <c r="G1221" s="564"/>
      <c r="H1221" s="564"/>
      <c r="I1221" s="564"/>
      <c r="J1221" s="564"/>
      <c r="K1221" s="564"/>
      <c r="L1221" s="565"/>
    </row>
    <row r="1222" spans="1:12" ht="15.75" thickBot="1">
      <c r="A1222" s="101"/>
      <c r="B1222" s="592"/>
      <c r="C1222" s="561" t="s">
        <v>139</v>
      </c>
      <c r="D1222" s="561"/>
      <c r="E1222" s="561"/>
      <c r="F1222" s="564">
        <f ca="1">OFFSET('Bateria indicadores proceso'!$E$3,(RIGHT(A1198,3)),1)</f>
        <v>0.02</v>
      </c>
      <c r="G1222" s="564"/>
      <c r="H1222" s="564"/>
      <c r="I1222" s="564"/>
      <c r="J1222" s="564"/>
      <c r="K1222" s="564"/>
      <c r="L1222" s="565"/>
    </row>
    <row r="1223" spans="1:12" ht="16.5" thickBot="1">
      <c r="A1223" s="101"/>
      <c r="B1223" s="572" t="s">
        <v>140</v>
      </c>
      <c r="C1223" s="573"/>
      <c r="D1223" s="573"/>
      <c r="E1223" s="573"/>
      <c r="F1223" s="573"/>
      <c r="G1223" s="573"/>
      <c r="H1223" s="573"/>
      <c r="I1223" s="573"/>
      <c r="J1223" s="573"/>
      <c r="K1223" s="573"/>
      <c r="L1223" s="574"/>
    </row>
    <row r="1224" spans="1:12">
      <c r="A1224" s="101"/>
      <c r="B1224" s="72" t="s">
        <v>142</v>
      </c>
      <c r="C1224" s="561" t="str">
        <f ca="1">OFFSET('Bateria indicadores proceso'!$G$3,(RIGHT(A1198,3)),1)</f>
        <v>Director</v>
      </c>
      <c r="D1224" s="561"/>
      <c r="E1224" s="561"/>
      <c r="F1224" s="561"/>
      <c r="G1224" s="561"/>
      <c r="H1224" s="561"/>
      <c r="I1224" s="561"/>
      <c r="J1224" s="561"/>
      <c r="K1224" s="561"/>
      <c r="L1224" s="566"/>
    </row>
    <row r="1225" spans="1:12">
      <c r="A1225" s="101"/>
      <c r="B1225" s="72" t="s">
        <v>143</v>
      </c>
      <c r="C1225" s="561" t="str">
        <f ca="1">OFFSET('Bateria indicadores proceso'!$F$3,(RIGHT(A1198,3)),1)</f>
        <v>Dirección de Derechos Humanos</v>
      </c>
      <c r="D1225" s="561"/>
      <c r="E1225" s="561"/>
      <c r="F1225" s="561"/>
      <c r="G1225" s="561"/>
      <c r="H1225" s="561"/>
      <c r="I1225" s="561"/>
      <c r="J1225" s="561"/>
      <c r="K1225" s="561"/>
      <c r="L1225" s="566"/>
    </row>
    <row r="1226" spans="1:12">
      <c r="A1226" s="101"/>
      <c r="B1226" s="72" t="s">
        <v>144</v>
      </c>
      <c r="C1226" s="598" t="str">
        <f ca="1">OFFSET('Bateria indicadores proceso'!$H$3,(RIGHT(A1162,3)),1)</f>
        <v>jomary.ortegon@mininterior.gov.co</v>
      </c>
      <c r="D1226" s="598"/>
      <c r="E1226" s="598"/>
      <c r="F1226" s="598"/>
      <c r="G1226" s="598"/>
      <c r="H1226" s="598"/>
      <c r="I1226" s="598"/>
      <c r="J1226" s="598"/>
      <c r="K1226" s="598"/>
      <c r="L1226" s="599"/>
    </row>
    <row r="1227" spans="1:12" ht="15.75" thickBot="1">
      <c r="A1227" s="104"/>
      <c r="B1227" s="74" t="s">
        <v>145</v>
      </c>
      <c r="C1227" s="596" t="s">
        <v>146</v>
      </c>
      <c r="D1227" s="596"/>
      <c r="E1227" s="596"/>
      <c r="F1227" s="596"/>
      <c r="G1227" s="596"/>
      <c r="H1227" s="596"/>
      <c r="I1227" s="596"/>
      <c r="J1227" s="596"/>
      <c r="K1227" s="596"/>
      <c r="L1227" s="597"/>
    </row>
    <row r="1228" spans="1:12" ht="15.75" thickBot="1"/>
    <row r="1229" spans="1:12" ht="21.75" thickBot="1">
      <c r="A1229" s="586" t="s">
        <v>89</v>
      </c>
      <c r="B1229" s="587"/>
      <c r="C1229" s="587"/>
      <c r="D1229" s="587"/>
      <c r="E1229" s="587"/>
      <c r="F1229" s="587"/>
      <c r="G1229" s="587"/>
      <c r="H1229" s="587"/>
      <c r="I1229" s="587"/>
      <c r="J1229" s="587"/>
      <c r="K1229" s="587"/>
      <c r="L1229" s="588"/>
    </row>
    <row r="1230" spans="1:12" ht="32.25" thickBot="1">
      <c r="A1230" s="69" t="s">
        <v>90</v>
      </c>
      <c r="B1230" s="589" t="s">
        <v>91</v>
      </c>
      <c r="C1230" s="589"/>
      <c r="D1230" s="589"/>
      <c r="E1230" s="589"/>
      <c r="F1230" s="589"/>
      <c r="G1230" s="589"/>
      <c r="H1230" s="589"/>
      <c r="I1230" s="589"/>
      <c r="J1230" s="589"/>
      <c r="K1230" s="589"/>
      <c r="L1230" s="589"/>
    </row>
    <row r="1231" spans="1:12" ht="16.5" thickBot="1">
      <c r="A1231" s="100"/>
      <c r="B1231" s="71" t="s">
        <v>92</v>
      </c>
      <c r="C1231" s="575" t="s">
        <v>93</v>
      </c>
      <c r="D1231" s="575"/>
      <c r="E1231" s="575"/>
      <c r="F1231" s="575"/>
      <c r="G1231" s="575"/>
      <c r="H1231" s="575"/>
      <c r="I1231" s="575"/>
      <c r="J1231" s="575"/>
      <c r="K1231" s="575"/>
      <c r="L1231" s="576"/>
    </row>
    <row r="1232" spans="1:12" ht="16.5" thickBot="1">
      <c r="A1232" s="101"/>
      <c r="B1232" s="589" t="s">
        <v>94</v>
      </c>
      <c r="C1232" s="590"/>
      <c r="D1232" s="590"/>
      <c r="E1232" s="590"/>
      <c r="F1232" s="590"/>
      <c r="G1232" s="590"/>
      <c r="H1232" s="590"/>
      <c r="I1232" s="590"/>
      <c r="J1232" s="590"/>
      <c r="K1232" s="590"/>
      <c r="L1232" s="590"/>
    </row>
    <row r="1233" spans="1:12">
      <c r="A1233" s="101"/>
      <c r="B1233" s="71" t="s">
        <v>95</v>
      </c>
      <c r="C1233" s="559" t="s">
        <v>96</v>
      </c>
      <c r="D1233" s="559"/>
      <c r="E1233" s="559"/>
      <c r="F1233" s="559"/>
      <c r="G1233" s="559"/>
      <c r="H1233" s="559"/>
      <c r="I1233" s="559"/>
      <c r="J1233" s="559"/>
      <c r="K1233" s="559"/>
      <c r="L1233" s="560"/>
    </row>
    <row r="1234" spans="1:12">
      <c r="A1234" s="102" t="s">
        <v>180</v>
      </c>
      <c r="B1234" s="72" t="s">
        <v>98</v>
      </c>
      <c r="C1234" s="559" t="str">
        <f ca="1">OFFSET('Bateria indicadores proceso'!$F$3,(RIGHT(A1234,3)),1)</f>
        <v>Dirección de Derechos Humanos</v>
      </c>
      <c r="D1234" s="559"/>
      <c r="E1234" s="559"/>
      <c r="F1234" s="559"/>
      <c r="G1234" s="559"/>
      <c r="H1234" s="559"/>
      <c r="I1234" s="559"/>
      <c r="J1234" s="559"/>
      <c r="K1234" s="559"/>
      <c r="L1234" s="560"/>
    </row>
    <row r="1235" spans="1:12">
      <c r="A1235" s="101"/>
      <c r="B1235" s="72" t="s">
        <v>99</v>
      </c>
      <c r="C1235" s="559" t="str">
        <f ca="1">OFFSET('Bateria indicadores proceso'!$K$3,(RIGHT(A1234,3)),1)</f>
        <v>Porcentaje de actividades a cargo de la Dirección de Derechos Humanos fortalecidas e implementadas en el marco de la Política de Convivencia, Reconciliación, Tolerancia y No Estigmatización.</v>
      </c>
      <c r="D1235" s="559"/>
      <c r="E1235" s="559"/>
      <c r="F1235" s="559"/>
      <c r="G1235" s="559"/>
      <c r="H1235" s="559"/>
      <c r="I1235" s="559"/>
      <c r="J1235" s="559"/>
      <c r="K1235" s="559"/>
      <c r="L1235" s="560"/>
    </row>
    <row r="1236" spans="1:12">
      <c r="A1236" s="101"/>
      <c r="B1236" s="72" t="s">
        <v>100</v>
      </c>
      <c r="C1236" s="559" t="str">
        <f ca="1">OFFSET('Bateria indicadores proceso'!$I$3,(RIGHT(A1234,3)),1)</f>
        <v>Eficacia</v>
      </c>
      <c r="D1236" s="559"/>
      <c r="E1236" s="559"/>
      <c r="F1236" s="559"/>
      <c r="G1236" s="559"/>
      <c r="H1236" s="559"/>
      <c r="I1236" s="559"/>
      <c r="J1236" s="559"/>
      <c r="K1236" s="559"/>
      <c r="L1236" s="560"/>
    </row>
    <row r="1237" spans="1:12" ht="15.75" thickBot="1">
      <c r="A1237" s="103"/>
      <c r="B1237" s="73" t="s">
        <v>101</v>
      </c>
      <c r="C1237" s="559" t="str">
        <f ca="1">OFFSET('Bateria indicadores proceso'!$J$3,(RIGHT(A1234,3)),1)</f>
        <v>Fortalecer e implementar la Política de Convivencia, Reconciliación, Tolerancia, y No Estigmatización.</v>
      </c>
      <c r="D1237" s="559"/>
      <c r="E1237" s="559"/>
      <c r="F1237" s="559"/>
      <c r="G1237" s="559"/>
      <c r="H1237" s="559"/>
      <c r="I1237" s="559"/>
      <c r="J1237" s="559"/>
      <c r="K1237" s="559"/>
      <c r="L1237" s="560"/>
    </row>
    <row r="1238" spans="1:12" ht="16.5" thickBot="1">
      <c r="A1238" s="103"/>
      <c r="B1238" s="572" t="s">
        <v>102</v>
      </c>
      <c r="C1238" s="573"/>
      <c r="D1238" s="573"/>
      <c r="E1238" s="573"/>
      <c r="F1238" s="573"/>
      <c r="G1238" s="573"/>
      <c r="H1238" s="573"/>
      <c r="I1238" s="573"/>
      <c r="J1238" s="573"/>
      <c r="K1238" s="573"/>
      <c r="L1238" s="574"/>
    </row>
    <row r="1239" spans="1:12">
      <c r="A1239" s="101"/>
      <c r="B1239" s="71" t="s">
        <v>103</v>
      </c>
      <c r="C1239" s="559" t="str">
        <f ca="1">OFFSET('Bateria indicadores proceso'!$O$3,(RIGHT(A1234,3)),1)</f>
        <v>Porcentaje</v>
      </c>
      <c r="D1239" s="559"/>
      <c r="E1239" s="559"/>
      <c r="F1239" s="559"/>
      <c r="G1239" s="559"/>
      <c r="H1239" s="559"/>
      <c r="I1239" s="559"/>
      <c r="J1239" s="559"/>
      <c r="K1239" s="559"/>
      <c r="L1239" s="560"/>
    </row>
    <row r="1240" spans="1:12" ht="24">
      <c r="A1240" s="101"/>
      <c r="B1240" s="72" t="s">
        <v>104</v>
      </c>
      <c r="C1240" s="559"/>
      <c r="D1240" s="559"/>
      <c r="E1240" s="559"/>
      <c r="F1240" s="559"/>
      <c r="G1240" s="559"/>
      <c r="H1240" s="559"/>
      <c r="I1240" s="559"/>
      <c r="J1240" s="559"/>
      <c r="K1240" s="559"/>
      <c r="L1240" s="560"/>
    </row>
    <row r="1241" spans="1:12">
      <c r="A1241" s="101"/>
      <c r="B1241" s="72" t="s">
        <v>105</v>
      </c>
      <c r="C1241" s="559" t="str">
        <f ca="1">OFFSET('Bateria indicadores proceso'!$L$3,(RIGHT(A1234,3)),1)</f>
        <v xml:space="preserve">(Número de actividades realizadas para el fortalecimiento e implementación de la Política de Convivencia, Reconciliación, Tolerancia, y No Estigmatización a cargo de la Dirección de Derechos Humanos /número de actividades programadas para el fortalecimiento e implementación de la de la Política de Convivencia, Reconciliación, Tolerancia, y No Estigmatización a cargo de la Dirección de Derechos Humanos )*100% </v>
      </c>
      <c r="D1241" s="559"/>
      <c r="E1241" s="559"/>
      <c r="F1241" s="559"/>
      <c r="G1241" s="559"/>
      <c r="H1241" s="559"/>
      <c r="I1241" s="559"/>
      <c r="J1241" s="559"/>
      <c r="K1241" s="559"/>
      <c r="L1241" s="560"/>
    </row>
    <row r="1242" spans="1:12">
      <c r="A1242" s="101"/>
      <c r="B1242" s="72" t="s">
        <v>106</v>
      </c>
      <c r="C1242" s="559" t="str">
        <f ca="1">OFFSET('Bateria indicadores proceso'!$Z$3,(RIGHT(A1234,3)),1)</f>
        <v>Trimestral</v>
      </c>
      <c r="D1242" s="559"/>
      <c r="E1242" s="559"/>
      <c r="F1242" s="559"/>
      <c r="G1242" s="559"/>
      <c r="H1242" s="559"/>
      <c r="I1242" s="559"/>
      <c r="J1242" s="559"/>
      <c r="K1242" s="559"/>
      <c r="L1242" s="560"/>
    </row>
    <row r="1243" spans="1:12">
      <c r="A1243" s="101"/>
      <c r="B1243" s="72" t="s">
        <v>107</v>
      </c>
      <c r="C1243" s="559" t="str">
        <f ca="1">OFFSET('Bateria indicadores proceso'!$X$3,(RIGHT(A1234,3)),1)</f>
        <v>La herramienta de la cual se obtine la información del indicador es el Plan Estrategico y de acción de cada vigencia.</v>
      </c>
      <c r="D1243" s="559"/>
      <c r="E1243" s="559"/>
      <c r="F1243" s="559"/>
      <c r="G1243" s="559"/>
      <c r="H1243" s="559"/>
      <c r="I1243" s="559"/>
      <c r="J1243" s="559"/>
      <c r="K1243" s="559"/>
      <c r="L1243" s="560"/>
    </row>
    <row r="1244" spans="1:12">
      <c r="A1244" s="101"/>
      <c r="B1244" s="72" t="s">
        <v>108</v>
      </c>
      <c r="C1244" s="561">
        <f ca="1">OFFSET('Bateria indicadores proceso'!$P$3,(RIGHT(A1234,3)),1)</f>
        <v>2022</v>
      </c>
      <c r="D1244" s="561"/>
      <c r="E1244" s="561"/>
      <c r="F1244" s="561"/>
      <c r="G1244" s="561"/>
      <c r="H1244" s="561"/>
      <c r="I1244" s="561"/>
      <c r="J1244" s="561"/>
      <c r="K1244" s="561"/>
      <c r="L1244" s="566"/>
    </row>
    <row r="1245" spans="1:12">
      <c r="A1245" s="101"/>
      <c r="B1245" s="72" t="s">
        <v>109</v>
      </c>
      <c r="C1245" s="561" t="str">
        <f ca="1">IF(C1239="Número",TEXT(OFFSET('Bateria indicadores proceso'!$Q$3,(RIGHT(A1234,3)),1),"######"),TEXT(OFFSET('Bateria indicadores proceso'!$Q$3,(RIGHT(A1234,3)),1),"0.0%"))</f>
        <v>100%</v>
      </c>
      <c r="D1245" s="561"/>
      <c r="E1245" s="561"/>
      <c r="F1245" s="561"/>
      <c r="G1245" s="561"/>
      <c r="H1245" s="561"/>
      <c r="I1245" s="561"/>
      <c r="J1245" s="561"/>
      <c r="K1245" s="561"/>
      <c r="L1245" s="566"/>
    </row>
    <row r="1246" spans="1:12">
      <c r="A1246" s="101"/>
      <c r="B1246" s="72" t="s">
        <v>110</v>
      </c>
      <c r="C1246" s="593">
        <f ca="1">+OFFSET('Bateria indicadores proceso'!$R$3,(RIGHT(A1234,3)),1)</f>
        <v>46022</v>
      </c>
      <c r="D1246" s="593"/>
      <c r="E1246" s="593"/>
      <c r="F1246" s="593"/>
      <c r="G1246" s="593"/>
      <c r="H1246" s="593"/>
      <c r="I1246" s="593"/>
      <c r="J1246" s="593"/>
      <c r="K1246" s="593"/>
      <c r="L1246" s="594"/>
    </row>
    <row r="1247" spans="1:12">
      <c r="A1247" s="101"/>
      <c r="B1247" s="72" t="s">
        <v>111</v>
      </c>
      <c r="C1247" s="561" t="str">
        <f ca="1">OFFSET('Bateria indicadores proceso'!$M$3,(RIGHT(A1234,3)),1)</f>
        <v>Incrementar</v>
      </c>
      <c r="D1247" s="561"/>
      <c r="E1247" s="561"/>
      <c r="F1247" s="561"/>
      <c r="G1247" s="561"/>
      <c r="H1247" s="561"/>
      <c r="I1247" s="561"/>
      <c r="J1247" s="561"/>
      <c r="K1247" s="561"/>
      <c r="L1247" s="566"/>
    </row>
    <row r="1248" spans="1:12">
      <c r="A1248" s="101"/>
      <c r="B1248" s="72" t="s">
        <v>112</v>
      </c>
      <c r="C1248" s="561" t="str">
        <f ca="1">OFFSET('Bateria indicadores proceso'!$N$3,(RIGHT(A1234,3)),1)</f>
        <v>Acumulado</v>
      </c>
      <c r="D1248" s="561"/>
      <c r="E1248" s="561"/>
      <c r="F1248" s="561"/>
      <c r="G1248" s="561"/>
      <c r="H1248" s="561"/>
      <c r="I1248" s="561"/>
      <c r="J1248" s="561"/>
      <c r="K1248" s="561"/>
      <c r="L1248" s="566"/>
    </row>
    <row r="1249" spans="1:12">
      <c r="A1249" s="101"/>
      <c r="B1249" s="72" t="s">
        <v>113</v>
      </c>
      <c r="C1249" s="561" t="str">
        <f ca="1">IF(C1239="Número",TEXT(OFFSET('Bateria indicadores proceso'!$W$3,(RIGHT(A1234,3)),1),"######"),TEXT(OFFSET('Bateria indicadores proceso'!$W$3,(RIGHT(A1234,3)),1),"0.0%"))</f>
        <v>100%</v>
      </c>
      <c r="D1249" s="561"/>
      <c r="E1249" s="561"/>
      <c r="F1249" s="561"/>
      <c r="G1249" s="561"/>
      <c r="H1249" s="561"/>
      <c r="I1249" s="561"/>
      <c r="J1249" s="561"/>
      <c r="K1249" s="561"/>
      <c r="L1249" s="566"/>
    </row>
    <row r="1250" spans="1:12">
      <c r="A1250" s="101"/>
      <c r="B1250" s="595" t="s">
        <v>114</v>
      </c>
      <c r="C1250" s="70" t="s">
        <v>115</v>
      </c>
      <c r="D1250" s="70" t="s">
        <v>116</v>
      </c>
      <c r="E1250" s="70" t="s">
        <v>117</v>
      </c>
      <c r="F1250" s="70" t="s">
        <v>118</v>
      </c>
      <c r="J1250" s="75"/>
      <c r="K1250" s="75"/>
      <c r="L1250" s="76"/>
    </row>
    <row r="1251" spans="1:12">
      <c r="A1251" s="101"/>
      <c r="B1251" s="595"/>
      <c r="C1251" s="70" t="str">
        <f ca="1">IF(C1239="Número",TEXT(OFFSET('Bateria indicadores proceso'!$S$3,(RIGHT(A1234,3)),1),"######"),TEXT(OFFSET('Bateria indicadores proceso'!$S$3,(RIGHT(A1234,3)),1),"0.0%"))</f>
        <v>05%</v>
      </c>
      <c r="D1251" s="70" t="str">
        <f ca="1">IF(C1239="Número",TEXT(OFFSET('Bateria indicadores proceso'!$T$3,(RIGHT(A1234,3)),1),"######"),TEXT(OFFSET('Bateria indicadores proceso'!$T$3,(RIGHT(A1234,3)),1),"0.0%"))</f>
        <v>25%</v>
      </c>
      <c r="E1251" s="70" t="str">
        <f ca="1">IF(C1239="Número",TEXT(OFFSET('Bateria indicadores proceso'!$U$3,(RIGHT(A1234,3)),1),"######"),TEXT(OFFSET('Bateria indicadores proceso'!$U$3,(RIGHT(A1234,3)),1),"0.0%"))</f>
        <v>35%</v>
      </c>
      <c r="F1251" s="70" t="str">
        <f ca="1">IF(C1239="Número",TEXT(OFFSET('Bateria indicadores proceso'!$V$3,(RIGHT(A1234,3)),1),"######"),TEXT(OFFSET('Bateria indicadores proceso'!$V$3,(RIGHT(A1234,3)),1),"0.0%"))</f>
        <v>35%</v>
      </c>
      <c r="J1251" s="77"/>
      <c r="K1251" s="77"/>
      <c r="L1251" s="78"/>
    </row>
    <row r="1252" spans="1:12">
      <c r="A1252" s="101"/>
      <c r="B1252" s="600" t="s">
        <v>119</v>
      </c>
      <c r="C1252" s="567" t="s">
        <v>120</v>
      </c>
      <c r="D1252" s="568"/>
      <c r="E1252" s="567" t="s">
        <v>121</v>
      </c>
      <c r="F1252" s="568"/>
      <c r="G1252" s="567" t="s">
        <v>122</v>
      </c>
      <c r="H1252" s="568"/>
      <c r="I1252" s="567" t="s">
        <v>123</v>
      </c>
      <c r="J1252" s="568"/>
      <c r="K1252" s="567" t="s">
        <v>124</v>
      </c>
      <c r="L1252" s="569"/>
    </row>
    <row r="1253" spans="1:12">
      <c r="A1253" s="101"/>
      <c r="B1253" s="601"/>
      <c r="C1253" s="570" t="s">
        <v>125</v>
      </c>
      <c r="D1253" s="571"/>
      <c r="E1253" s="577" t="s">
        <v>126</v>
      </c>
      <c r="F1253" s="578"/>
      <c r="G1253" s="579" t="s">
        <v>127</v>
      </c>
      <c r="H1253" s="580"/>
      <c r="I1253" s="581" t="s">
        <v>128</v>
      </c>
      <c r="J1253" s="582"/>
      <c r="K1253" s="583" t="s">
        <v>129</v>
      </c>
      <c r="L1253" s="584"/>
    </row>
    <row r="1254" spans="1:12">
      <c r="A1254" s="101"/>
      <c r="B1254" s="602"/>
      <c r="C1254" s="567" t="s">
        <v>130</v>
      </c>
      <c r="D1254" s="568"/>
      <c r="E1254" s="567" t="s">
        <v>131</v>
      </c>
      <c r="F1254" s="568"/>
      <c r="G1254" s="585" t="s">
        <v>132</v>
      </c>
      <c r="H1254" s="568"/>
      <c r="I1254" s="567" t="s">
        <v>133</v>
      </c>
      <c r="J1254" s="568"/>
      <c r="K1254" s="567" t="s">
        <v>134</v>
      </c>
      <c r="L1254" s="569"/>
    </row>
    <row r="1255" spans="1:12">
      <c r="A1255" s="101"/>
      <c r="B1255" s="72" t="s">
        <v>135</v>
      </c>
      <c r="C1255" s="559" t="str">
        <f ca="1">OFFSET('Bateria indicadores proceso'!$Y$3,(RIGHT(A1234,3)),1)</f>
        <v>Informes de Gestión  de implementación de la  Política de Convivencia, Reconciliación, Tolerancia, y No Estigmatización a cargo de la Dirección de Derechos Humanos, Actas de seguimiento de la Politica.</v>
      </c>
      <c r="D1255" s="559"/>
      <c r="E1255" s="559"/>
      <c r="F1255" s="559"/>
      <c r="G1255" s="559"/>
      <c r="H1255" s="559"/>
      <c r="I1255" s="559"/>
      <c r="J1255" s="559"/>
      <c r="K1255" s="559"/>
      <c r="L1255" s="560"/>
    </row>
    <row r="1256" spans="1:12">
      <c r="A1256" s="101"/>
      <c r="B1256" s="591" t="s">
        <v>136</v>
      </c>
      <c r="C1256" s="561" t="s">
        <v>137</v>
      </c>
      <c r="D1256" s="561"/>
      <c r="E1256" s="561"/>
      <c r="F1256" s="562" t="str">
        <f ca="1">OFFSET('Bateria indicadores proceso'!$B$3,(RIGHT(A1234,3)),1)</f>
        <v>GESTIÓN PARA LA PROTECCIÓN DE LOS DERECHOS</v>
      </c>
      <c r="G1256" s="562"/>
      <c r="H1256" s="562"/>
      <c r="I1256" s="562"/>
      <c r="J1256" s="562"/>
      <c r="K1256" s="562"/>
      <c r="L1256" s="563"/>
    </row>
    <row r="1257" spans="1:12">
      <c r="A1257" s="101"/>
      <c r="B1257" s="592"/>
      <c r="C1257" s="561" t="s">
        <v>138</v>
      </c>
      <c r="D1257" s="561"/>
      <c r="E1257" s="561"/>
      <c r="F1257" s="564">
        <f ca="1">OFFSET('Bateria indicadores proceso'!$C$3,(RIGHT(A1234,3)),1)</f>
        <v>0.11</v>
      </c>
      <c r="G1257" s="564"/>
      <c r="H1257" s="564"/>
      <c r="I1257" s="564"/>
      <c r="J1257" s="564"/>
      <c r="K1257" s="564"/>
      <c r="L1257" s="565"/>
    </row>
    <row r="1258" spans="1:12" ht="15.75" thickBot="1">
      <c r="A1258" s="101"/>
      <c r="B1258" s="592"/>
      <c r="C1258" s="561" t="s">
        <v>139</v>
      </c>
      <c r="D1258" s="561"/>
      <c r="E1258" s="561"/>
      <c r="F1258" s="564">
        <f ca="1">OFFSET('Bateria indicadores proceso'!$E$3,(RIGHT(A1234,3)),1)</f>
        <v>0.02</v>
      </c>
      <c r="G1258" s="564"/>
      <c r="H1258" s="564"/>
      <c r="I1258" s="564"/>
      <c r="J1258" s="564"/>
      <c r="K1258" s="564"/>
      <c r="L1258" s="565"/>
    </row>
    <row r="1259" spans="1:12" ht="16.5" thickBot="1">
      <c r="A1259" s="101"/>
      <c r="B1259" s="572" t="s">
        <v>140</v>
      </c>
      <c r="C1259" s="573"/>
      <c r="D1259" s="573"/>
      <c r="E1259" s="573"/>
      <c r="F1259" s="573"/>
      <c r="G1259" s="573"/>
      <c r="H1259" s="573"/>
      <c r="I1259" s="573"/>
      <c r="J1259" s="573"/>
      <c r="K1259" s="573"/>
      <c r="L1259" s="574"/>
    </row>
    <row r="1260" spans="1:12">
      <c r="A1260" s="101"/>
      <c r="B1260" s="72" t="s">
        <v>142</v>
      </c>
      <c r="C1260" s="561" t="str">
        <f ca="1">OFFSET('Bateria indicadores proceso'!$G$3,(RIGHT(A1234,3)),1)</f>
        <v>Director</v>
      </c>
      <c r="D1260" s="561"/>
      <c r="E1260" s="561"/>
      <c r="F1260" s="561"/>
      <c r="G1260" s="561"/>
      <c r="H1260" s="561"/>
      <c r="I1260" s="561"/>
      <c r="J1260" s="561"/>
      <c r="K1260" s="561"/>
      <c r="L1260" s="566"/>
    </row>
    <row r="1261" spans="1:12">
      <c r="A1261" s="101"/>
      <c r="B1261" s="72" t="s">
        <v>143</v>
      </c>
      <c r="C1261" s="561" t="str">
        <f ca="1">OFFSET('Bateria indicadores proceso'!$F$3,(RIGHT(A1234,3)),1)</f>
        <v>Dirección de Derechos Humanos</v>
      </c>
      <c r="D1261" s="561"/>
      <c r="E1261" s="561"/>
      <c r="F1261" s="561"/>
      <c r="G1261" s="561"/>
      <c r="H1261" s="561"/>
      <c r="I1261" s="561"/>
      <c r="J1261" s="561"/>
      <c r="K1261" s="561"/>
      <c r="L1261" s="566"/>
    </row>
    <row r="1262" spans="1:12">
      <c r="A1262" s="101"/>
      <c r="B1262" s="72" t="s">
        <v>144</v>
      </c>
      <c r="C1262" s="598" t="str">
        <f ca="1">OFFSET('Bateria indicadores proceso'!$H$3,(RIGHT(A1234,3)),1)</f>
        <v>jomary.ortegon@mininterior.gov.co</v>
      </c>
      <c r="D1262" s="598"/>
      <c r="E1262" s="598"/>
      <c r="F1262" s="598"/>
      <c r="G1262" s="598"/>
      <c r="H1262" s="598"/>
      <c r="I1262" s="598"/>
      <c r="J1262" s="598"/>
      <c r="K1262" s="598"/>
      <c r="L1262" s="599"/>
    </row>
    <row r="1263" spans="1:12" ht="15.75" thickBot="1">
      <c r="A1263" s="104"/>
      <c r="B1263" s="74" t="s">
        <v>145</v>
      </c>
      <c r="C1263" s="596" t="s">
        <v>146</v>
      </c>
      <c r="D1263" s="596"/>
      <c r="E1263" s="596"/>
      <c r="F1263" s="596"/>
      <c r="G1263" s="596"/>
      <c r="H1263" s="596"/>
      <c r="I1263" s="596"/>
      <c r="J1263" s="596"/>
      <c r="K1263" s="596"/>
      <c r="L1263" s="597"/>
    </row>
    <row r="1264" spans="1:12" ht="15.75" thickBot="1"/>
    <row r="1265" spans="1:12" ht="21.75" thickBot="1">
      <c r="A1265" s="586" t="s">
        <v>89</v>
      </c>
      <c r="B1265" s="587"/>
      <c r="C1265" s="587"/>
      <c r="D1265" s="587"/>
      <c r="E1265" s="587"/>
      <c r="F1265" s="587"/>
      <c r="G1265" s="587"/>
      <c r="H1265" s="587"/>
      <c r="I1265" s="587"/>
      <c r="J1265" s="587"/>
      <c r="K1265" s="587"/>
      <c r="L1265" s="588"/>
    </row>
    <row r="1266" spans="1:12" ht="32.25" thickBot="1">
      <c r="A1266" s="69" t="s">
        <v>90</v>
      </c>
      <c r="B1266" s="589" t="s">
        <v>91</v>
      </c>
      <c r="C1266" s="589"/>
      <c r="D1266" s="589"/>
      <c r="E1266" s="589"/>
      <c r="F1266" s="589"/>
      <c r="G1266" s="589"/>
      <c r="H1266" s="589"/>
      <c r="I1266" s="589"/>
      <c r="J1266" s="589"/>
      <c r="K1266" s="589"/>
      <c r="L1266" s="589"/>
    </row>
    <row r="1267" spans="1:12" ht="16.5" thickBot="1">
      <c r="A1267" s="100"/>
      <c r="B1267" s="71" t="s">
        <v>92</v>
      </c>
      <c r="C1267" s="575" t="s">
        <v>93</v>
      </c>
      <c r="D1267" s="575"/>
      <c r="E1267" s="575"/>
      <c r="F1267" s="575"/>
      <c r="G1267" s="575"/>
      <c r="H1267" s="575"/>
      <c r="I1267" s="575"/>
      <c r="J1267" s="575"/>
      <c r="K1267" s="575"/>
      <c r="L1267" s="576"/>
    </row>
    <row r="1268" spans="1:12" ht="16.5" thickBot="1">
      <c r="A1268" s="101"/>
      <c r="B1268" s="589" t="s">
        <v>94</v>
      </c>
      <c r="C1268" s="590"/>
      <c r="D1268" s="590"/>
      <c r="E1268" s="590"/>
      <c r="F1268" s="590"/>
      <c r="G1268" s="590"/>
      <c r="H1268" s="590"/>
      <c r="I1268" s="590"/>
      <c r="J1268" s="590"/>
      <c r="K1268" s="590"/>
      <c r="L1268" s="590"/>
    </row>
    <row r="1269" spans="1:12">
      <c r="A1269" s="101"/>
      <c r="B1269" s="71" t="s">
        <v>95</v>
      </c>
      <c r="C1269" s="559" t="s">
        <v>96</v>
      </c>
      <c r="D1269" s="559"/>
      <c r="E1269" s="559"/>
      <c r="F1269" s="559"/>
      <c r="G1269" s="559"/>
      <c r="H1269" s="559"/>
      <c r="I1269" s="559"/>
      <c r="J1269" s="559"/>
      <c r="K1269" s="559"/>
      <c r="L1269" s="560"/>
    </row>
    <row r="1270" spans="1:12">
      <c r="A1270" s="102" t="s">
        <v>181</v>
      </c>
      <c r="B1270" s="72" t="s">
        <v>98</v>
      </c>
      <c r="C1270" s="559" t="str">
        <f ca="1">OFFSET('Bateria indicadores proceso'!$F$3,(RIGHT(A1270,3)),1)</f>
        <v>Dirección de Asuntos Indígenas, Rom y Minorías</v>
      </c>
      <c r="D1270" s="559"/>
      <c r="E1270" s="559"/>
      <c r="F1270" s="559"/>
      <c r="G1270" s="559"/>
      <c r="H1270" s="559"/>
      <c r="I1270" s="559"/>
      <c r="J1270" s="559"/>
      <c r="K1270" s="559"/>
      <c r="L1270" s="560"/>
    </row>
    <row r="1271" spans="1:12">
      <c r="A1271" s="101"/>
      <c r="B1271" s="72" t="s">
        <v>99</v>
      </c>
      <c r="C1271" s="559" t="str">
        <f ca="1">OFFSET('Bateria indicadores proceso'!$K$3,(RIGHT(A1270,3)),1)</f>
        <v>Espacios de diálogo y concertación de orden nacional realizados entre autoridaes de los Pueblos Indígenas y entidades estatales.</v>
      </c>
      <c r="D1271" s="559"/>
      <c r="E1271" s="559"/>
      <c r="F1271" s="559"/>
      <c r="G1271" s="559"/>
      <c r="H1271" s="559"/>
      <c r="I1271" s="559"/>
      <c r="J1271" s="559"/>
      <c r="K1271" s="559"/>
      <c r="L1271" s="560"/>
    </row>
    <row r="1272" spans="1:12">
      <c r="A1272" s="101"/>
      <c r="B1272" s="72" t="s">
        <v>100</v>
      </c>
      <c r="C1272" s="559" t="str">
        <f ca="1">OFFSET('Bateria indicadores proceso'!$I$3,(RIGHT(A1270,3)),1)</f>
        <v>Eficacia</v>
      </c>
      <c r="D1272" s="559"/>
      <c r="E1272" s="559"/>
      <c r="F1272" s="559"/>
      <c r="G1272" s="559"/>
      <c r="H1272" s="559"/>
      <c r="I1272" s="559"/>
      <c r="J1272" s="559"/>
      <c r="K1272" s="559"/>
      <c r="L1272" s="560"/>
    </row>
    <row r="1273" spans="1:12" ht="15.75" thickBot="1">
      <c r="A1273" s="103"/>
      <c r="B1273" s="73" t="s">
        <v>101</v>
      </c>
      <c r="C1273" s="559" t="str">
        <f ca="1">OFFSET('Bateria indicadores proceso'!$J$3,(RIGHT(A1270,3)),1)</f>
        <v>El indicador mide la realización de espacios de diálogo y concertación del orden nacional entre las autoridades de los pueblos indígenas y las entidades del Gobierno Nacional. Lo mide a través del porcentaje de los espacios efectivamente convocados y desarrollados durante el periodo de seguimiento. Su propósito es verificar el nivel de avance en la creación y garantía de escenarios formales para la participación, concertación y coordinación entre los pueblos indígenas y el Gobierno Nacional.</v>
      </c>
      <c r="D1273" s="559"/>
      <c r="E1273" s="559"/>
      <c r="F1273" s="559"/>
      <c r="G1273" s="559"/>
      <c r="H1273" s="559"/>
      <c r="I1273" s="559"/>
      <c r="J1273" s="559"/>
      <c r="K1273" s="559"/>
      <c r="L1273" s="560"/>
    </row>
    <row r="1274" spans="1:12" ht="16.5" thickBot="1">
      <c r="A1274" s="103"/>
      <c r="B1274" s="572" t="s">
        <v>102</v>
      </c>
      <c r="C1274" s="573"/>
      <c r="D1274" s="573"/>
      <c r="E1274" s="573"/>
      <c r="F1274" s="573"/>
      <c r="G1274" s="573"/>
      <c r="H1274" s="573"/>
      <c r="I1274" s="573"/>
      <c r="J1274" s="573"/>
      <c r="K1274" s="573"/>
      <c r="L1274" s="574"/>
    </row>
    <row r="1275" spans="1:12">
      <c r="A1275" s="101"/>
      <c r="B1275" s="71" t="s">
        <v>103</v>
      </c>
      <c r="C1275" s="559" t="str">
        <f ca="1">OFFSET('Bateria indicadores proceso'!$O$3,(RIGHT(A1270,3)),1)</f>
        <v>Porcentaje</v>
      </c>
      <c r="D1275" s="559"/>
      <c r="E1275" s="559"/>
      <c r="F1275" s="559"/>
      <c r="G1275" s="559"/>
      <c r="H1275" s="559"/>
      <c r="I1275" s="559"/>
      <c r="J1275" s="559"/>
      <c r="K1275" s="559"/>
      <c r="L1275" s="560"/>
    </row>
    <row r="1276" spans="1:12" ht="24">
      <c r="A1276" s="101"/>
      <c r="B1276" s="72" t="s">
        <v>104</v>
      </c>
      <c r="C1276" s="559"/>
      <c r="D1276" s="559"/>
      <c r="E1276" s="559"/>
      <c r="F1276" s="559"/>
      <c r="G1276" s="559"/>
      <c r="H1276" s="559"/>
      <c r="I1276" s="559"/>
      <c r="J1276" s="559"/>
      <c r="K1276" s="559"/>
      <c r="L1276" s="560"/>
    </row>
    <row r="1277" spans="1:12">
      <c r="A1277" s="101"/>
      <c r="B1277" s="72" t="s">
        <v>105</v>
      </c>
      <c r="C1277" s="559" t="str">
        <f ca="1">OFFSET('Bateria indicadores proceso'!$L$3,(RIGHT(A1270,3)),1)</f>
        <v>(Número de espacios de diálogo de orden nacional realizados/Número de espacios de diálogo de orden nacional programados)*100</v>
      </c>
      <c r="D1277" s="559"/>
      <c r="E1277" s="559"/>
      <c r="F1277" s="559"/>
      <c r="G1277" s="559"/>
      <c r="H1277" s="559"/>
      <c r="I1277" s="559"/>
      <c r="J1277" s="559"/>
      <c r="K1277" s="559"/>
      <c r="L1277" s="560"/>
    </row>
    <row r="1278" spans="1:12">
      <c r="A1278" s="101"/>
      <c r="B1278" s="72" t="s">
        <v>106</v>
      </c>
      <c r="C1278" s="559" t="str">
        <f ca="1">OFFSET('Bateria indicadores proceso'!$Z$3,(RIGHT(A1270,3)),1)</f>
        <v>Trimestral</v>
      </c>
      <c r="D1278" s="559"/>
      <c r="E1278" s="559"/>
      <c r="F1278" s="559"/>
      <c r="G1278" s="559"/>
      <c r="H1278" s="559"/>
      <c r="I1278" s="559"/>
      <c r="J1278" s="559"/>
      <c r="K1278" s="559"/>
      <c r="L1278" s="560"/>
    </row>
    <row r="1279" spans="1:12">
      <c r="A1279" s="101"/>
      <c r="B1279" s="72" t="s">
        <v>107</v>
      </c>
      <c r="C1279" s="559" t="str">
        <f ca="1">OFFSET('Bateria indicadores proceso'!$X$3,(RIGHT(A1270,3)),1)</f>
        <v>Cronograma de espacios convocados por la Coordinación de Dialogo</v>
      </c>
      <c r="D1279" s="559"/>
      <c r="E1279" s="559"/>
      <c r="F1279" s="559"/>
      <c r="G1279" s="559"/>
      <c r="H1279" s="559"/>
      <c r="I1279" s="559"/>
      <c r="J1279" s="559"/>
      <c r="K1279" s="559"/>
      <c r="L1279" s="560"/>
    </row>
    <row r="1280" spans="1:12">
      <c r="A1280" s="101"/>
      <c r="B1280" s="72" t="s">
        <v>108</v>
      </c>
      <c r="C1280" s="561">
        <f ca="1">OFFSET('Bateria indicadores proceso'!$P$3,(RIGHT(A1270,3)),1)</f>
        <v>2023</v>
      </c>
      <c r="D1280" s="561"/>
      <c r="E1280" s="561"/>
      <c r="F1280" s="561"/>
      <c r="G1280" s="561"/>
      <c r="H1280" s="561"/>
      <c r="I1280" s="561"/>
      <c r="J1280" s="561"/>
      <c r="K1280" s="561"/>
      <c r="L1280" s="566"/>
    </row>
    <row r="1281" spans="1:12">
      <c r="A1281" s="101"/>
      <c r="B1281" s="72" t="s">
        <v>109</v>
      </c>
      <c r="C1281" s="561" t="str">
        <f ca="1">IF(C1275="Número",TEXT(OFFSET('Bateria indicadores proceso'!$Q$3,(RIGHT(A1270,3)),1),"######"),TEXT(OFFSET('Bateria indicadores proceso'!$Q$3,(RIGHT(A1270,3)),1),"0.0%"))</f>
        <v>100%</v>
      </c>
      <c r="D1281" s="561"/>
      <c r="E1281" s="561"/>
      <c r="F1281" s="561"/>
      <c r="G1281" s="561"/>
      <c r="H1281" s="561"/>
      <c r="I1281" s="561"/>
      <c r="J1281" s="561"/>
      <c r="K1281" s="561"/>
      <c r="L1281" s="566"/>
    </row>
    <row r="1282" spans="1:12">
      <c r="A1282" s="101"/>
      <c r="B1282" s="72" t="s">
        <v>110</v>
      </c>
      <c r="C1282" s="593">
        <f ca="1">+OFFSET('Bateria indicadores proceso'!$R$3,(RIGHT(A1270,3)),1)</f>
        <v>45291</v>
      </c>
      <c r="D1282" s="593"/>
      <c r="E1282" s="593"/>
      <c r="F1282" s="593"/>
      <c r="G1282" s="593"/>
      <c r="H1282" s="593"/>
      <c r="I1282" s="593"/>
      <c r="J1282" s="593"/>
      <c r="K1282" s="593"/>
      <c r="L1282" s="594"/>
    </row>
    <row r="1283" spans="1:12">
      <c r="A1283" s="101"/>
      <c r="B1283" s="72" t="s">
        <v>111</v>
      </c>
      <c r="C1283" s="561" t="str">
        <f ca="1">OFFSET('Bateria indicadores proceso'!$M$3,(RIGHT(A1270,3)),1)</f>
        <v>Mantener</v>
      </c>
      <c r="D1283" s="561"/>
      <c r="E1283" s="561"/>
      <c r="F1283" s="561"/>
      <c r="G1283" s="561"/>
      <c r="H1283" s="561"/>
      <c r="I1283" s="561"/>
      <c r="J1283" s="561"/>
      <c r="K1283" s="561"/>
      <c r="L1283" s="566"/>
    </row>
    <row r="1284" spans="1:12">
      <c r="A1284" s="101"/>
      <c r="B1284" s="72" t="s">
        <v>112</v>
      </c>
      <c r="C1284" s="561" t="str">
        <f ca="1">OFFSET('Bateria indicadores proceso'!$N$3,(RIGHT(A1270,3)),1)</f>
        <v>Flujo</v>
      </c>
      <c r="D1284" s="561"/>
      <c r="E1284" s="561"/>
      <c r="F1284" s="561"/>
      <c r="G1284" s="561"/>
      <c r="H1284" s="561"/>
      <c r="I1284" s="561"/>
      <c r="J1284" s="561"/>
      <c r="K1284" s="561"/>
      <c r="L1284" s="566"/>
    </row>
    <row r="1285" spans="1:12">
      <c r="A1285" s="101"/>
      <c r="B1285" s="72" t="s">
        <v>113</v>
      </c>
      <c r="C1285" s="561" t="str">
        <f ca="1">IF(C1275="Número",TEXT(OFFSET('Bateria indicadores proceso'!$W$3,(RIGHT(A1270,3)),1),"######"),TEXT(OFFSET('Bateria indicadores proceso'!$W$3,(RIGHT(A1270,3)),1),"0.0%"))</f>
        <v>100%</v>
      </c>
      <c r="D1285" s="561"/>
      <c r="E1285" s="561"/>
      <c r="F1285" s="561"/>
      <c r="G1285" s="561"/>
      <c r="H1285" s="561"/>
      <c r="I1285" s="561"/>
      <c r="J1285" s="561"/>
      <c r="K1285" s="561"/>
      <c r="L1285" s="566"/>
    </row>
    <row r="1286" spans="1:12">
      <c r="A1286" s="101"/>
      <c r="B1286" s="595" t="s">
        <v>114</v>
      </c>
      <c r="C1286" s="70" t="s">
        <v>115</v>
      </c>
      <c r="D1286" s="70" t="s">
        <v>116</v>
      </c>
      <c r="E1286" s="70" t="s">
        <v>117</v>
      </c>
      <c r="F1286" s="70" t="s">
        <v>118</v>
      </c>
      <c r="J1286" s="75"/>
      <c r="K1286" s="75"/>
      <c r="L1286" s="76"/>
    </row>
    <row r="1287" spans="1:12">
      <c r="A1287" s="101"/>
      <c r="B1287" s="595"/>
      <c r="C1287" s="70" t="str">
        <f ca="1">IF(C1275="Número",TEXT(OFFSET('Bateria indicadores proceso'!$S$3,(RIGHT(A1270,3)),1),"######"),TEXT(OFFSET('Bateria indicadores proceso'!$S$3,(RIGHT(A1270,3)),1),"0.0%"))</f>
        <v>100%</v>
      </c>
      <c r="D1287" s="70" t="str">
        <f ca="1">IF(C1275="Número",TEXT(OFFSET('Bateria indicadores proceso'!$T$3,(RIGHT(A1270,3)),1),"######"),TEXT(OFFSET('Bateria indicadores proceso'!$T$3,(RIGHT(A1270,3)),1),"0.0%"))</f>
        <v>100%</v>
      </c>
      <c r="E1287" s="70" t="str">
        <f ca="1">IF(C1275="Número",TEXT(OFFSET('Bateria indicadores proceso'!$U$3,(RIGHT(A1270,3)),1),"######"),TEXT(OFFSET('Bateria indicadores proceso'!$U$3,(RIGHT(A1270,3)),1),"0.0%"))</f>
        <v>100%</v>
      </c>
      <c r="F1287" s="70" t="str">
        <f ca="1">IF(C1275="Número",TEXT(OFFSET('Bateria indicadores proceso'!$V$3,(RIGHT(A1270,3)),1),"######"),TEXT(OFFSET('Bateria indicadores proceso'!$V$3,(RIGHT(A1270,3)),1),"0.0%"))</f>
        <v>100%</v>
      </c>
      <c r="J1287" s="77"/>
      <c r="K1287" s="77"/>
      <c r="L1287" s="78"/>
    </row>
    <row r="1288" spans="1:12">
      <c r="A1288" s="101"/>
      <c r="B1288" s="600" t="s">
        <v>119</v>
      </c>
      <c r="C1288" s="567" t="s">
        <v>120</v>
      </c>
      <c r="D1288" s="568"/>
      <c r="E1288" s="567" t="s">
        <v>121</v>
      </c>
      <c r="F1288" s="568"/>
      <c r="G1288" s="567" t="s">
        <v>122</v>
      </c>
      <c r="H1288" s="568"/>
      <c r="I1288" s="567" t="s">
        <v>123</v>
      </c>
      <c r="J1288" s="568"/>
      <c r="K1288" s="567" t="s">
        <v>124</v>
      </c>
      <c r="L1288" s="569"/>
    </row>
    <row r="1289" spans="1:12">
      <c r="A1289" s="101"/>
      <c r="B1289" s="601"/>
      <c r="C1289" s="570" t="s">
        <v>125</v>
      </c>
      <c r="D1289" s="571"/>
      <c r="E1289" s="577" t="s">
        <v>126</v>
      </c>
      <c r="F1289" s="578"/>
      <c r="G1289" s="579" t="s">
        <v>127</v>
      </c>
      <c r="H1289" s="580"/>
      <c r="I1289" s="581" t="s">
        <v>128</v>
      </c>
      <c r="J1289" s="582"/>
      <c r="K1289" s="583" t="s">
        <v>129</v>
      </c>
      <c r="L1289" s="584"/>
    </row>
    <row r="1290" spans="1:12">
      <c r="A1290" s="101"/>
      <c r="B1290" s="602"/>
      <c r="C1290" s="567" t="s">
        <v>130</v>
      </c>
      <c r="D1290" s="568"/>
      <c r="E1290" s="567" t="s">
        <v>131</v>
      </c>
      <c r="F1290" s="568"/>
      <c r="G1290" s="585" t="s">
        <v>132</v>
      </c>
      <c r="H1290" s="568"/>
      <c r="I1290" s="567" t="s">
        <v>133</v>
      </c>
      <c r="J1290" s="568"/>
      <c r="K1290" s="567" t="s">
        <v>134</v>
      </c>
      <c r="L1290" s="569"/>
    </row>
    <row r="1291" spans="1:12">
      <c r="A1291" s="101"/>
      <c r="B1291" s="72" t="s">
        <v>135</v>
      </c>
      <c r="C1291" s="559" t="str">
        <f ca="1">OFFSET('Bateria indicadores proceso'!$Y$3,(RIGHT(A1270,3)),1)</f>
        <v>Matriz de seguimiento de espacios de diálogo programados</v>
      </c>
      <c r="D1291" s="559"/>
      <c r="E1291" s="559"/>
      <c r="F1291" s="559"/>
      <c r="G1291" s="559"/>
      <c r="H1291" s="559"/>
      <c r="I1291" s="559"/>
      <c r="J1291" s="559"/>
      <c r="K1291" s="559"/>
      <c r="L1291" s="560"/>
    </row>
    <row r="1292" spans="1:12">
      <c r="A1292" s="101"/>
      <c r="B1292" s="591" t="s">
        <v>136</v>
      </c>
      <c r="C1292" s="561" t="s">
        <v>137</v>
      </c>
      <c r="D1292" s="561"/>
      <c r="E1292" s="561"/>
      <c r="F1292" s="562" t="str">
        <f ca="1">OFFSET('Bateria indicadores proceso'!$B$3,(RIGHT(A1270,3)),1)</f>
        <v>GESTIÓN PARA LA PROTECCIÓN DE LOS DERECHOS</v>
      </c>
      <c r="G1292" s="562"/>
      <c r="H1292" s="562"/>
      <c r="I1292" s="562"/>
      <c r="J1292" s="562"/>
      <c r="K1292" s="562"/>
      <c r="L1292" s="563"/>
    </row>
    <row r="1293" spans="1:12">
      <c r="A1293" s="101"/>
      <c r="B1293" s="592"/>
      <c r="C1293" s="561" t="s">
        <v>138</v>
      </c>
      <c r="D1293" s="561"/>
      <c r="E1293" s="561"/>
      <c r="F1293" s="564">
        <f ca="1">OFFSET('Bateria indicadores proceso'!$C$3,(RIGHT(A1270,3)),1)</f>
        <v>0.11</v>
      </c>
      <c r="G1293" s="564"/>
      <c r="H1293" s="564"/>
      <c r="I1293" s="564"/>
      <c r="J1293" s="564"/>
      <c r="K1293" s="564"/>
      <c r="L1293" s="565"/>
    </row>
    <row r="1294" spans="1:12" ht="15.75" thickBot="1">
      <c r="A1294" s="101"/>
      <c r="B1294" s="592"/>
      <c r="C1294" s="561" t="s">
        <v>139</v>
      </c>
      <c r="D1294" s="561"/>
      <c r="E1294" s="561"/>
      <c r="F1294" s="564">
        <f ca="1">OFFSET('Bateria indicadores proceso'!$E$3,(RIGHT(A1270,3)),1)</f>
        <v>0.06</v>
      </c>
      <c r="G1294" s="564"/>
      <c r="H1294" s="564"/>
      <c r="I1294" s="564"/>
      <c r="J1294" s="564"/>
      <c r="K1294" s="564"/>
      <c r="L1294" s="565"/>
    </row>
    <row r="1295" spans="1:12" ht="16.5" thickBot="1">
      <c r="A1295" s="101"/>
      <c r="B1295" s="572" t="s">
        <v>140</v>
      </c>
      <c r="C1295" s="573"/>
      <c r="D1295" s="573"/>
      <c r="E1295" s="573"/>
      <c r="F1295" s="573"/>
      <c r="G1295" s="573"/>
      <c r="H1295" s="573"/>
      <c r="I1295" s="573"/>
      <c r="J1295" s="573"/>
      <c r="K1295" s="573"/>
      <c r="L1295" s="574"/>
    </row>
    <row r="1296" spans="1:12">
      <c r="A1296" s="101"/>
      <c r="B1296" s="72" t="s">
        <v>142</v>
      </c>
      <c r="C1296" s="561" t="str">
        <f ca="1">OFFSET('Bateria indicadores proceso'!$G$3,(RIGHT(A1270,3)),1)</f>
        <v>Director</v>
      </c>
      <c r="D1296" s="561"/>
      <c r="E1296" s="561"/>
      <c r="F1296" s="561"/>
      <c r="G1296" s="561"/>
      <c r="H1296" s="561"/>
      <c r="I1296" s="561"/>
      <c r="J1296" s="561"/>
      <c r="K1296" s="561"/>
      <c r="L1296" s="566"/>
    </row>
    <row r="1297" spans="1:12">
      <c r="A1297" s="101"/>
      <c r="B1297" s="72" t="s">
        <v>143</v>
      </c>
      <c r="C1297" s="561" t="str">
        <f ca="1">OFFSET('Bateria indicadores proceso'!$F$3,(RIGHT(A1270,3)),1)</f>
        <v>Dirección de Asuntos Indígenas, Rom y Minorías</v>
      </c>
      <c r="D1297" s="561"/>
      <c r="E1297" s="561"/>
      <c r="F1297" s="561"/>
      <c r="G1297" s="561"/>
      <c r="H1297" s="561"/>
      <c r="I1297" s="561"/>
      <c r="J1297" s="561"/>
      <c r="K1297" s="561"/>
      <c r="L1297" s="566"/>
    </row>
    <row r="1298" spans="1:12">
      <c r="A1298" s="101"/>
      <c r="B1298" s="72" t="s">
        <v>144</v>
      </c>
      <c r="C1298" s="598" t="str">
        <f ca="1">OFFSET('Bateria indicadores proceso'!$H$3,(RIGHT(A1234,3)),1)</f>
        <v>jomary.ortegon@mininterior.gov.co</v>
      </c>
      <c r="D1298" s="598"/>
      <c r="E1298" s="598"/>
      <c r="F1298" s="598"/>
      <c r="G1298" s="598"/>
      <c r="H1298" s="598"/>
      <c r="I1298" s="598"/>
      <c r="J1298" s="598"/>
      <c r="K1298" s="598"/>
      <c r="L1298" s="599"/>
    </row>
    <row r="1299" spans="1:12" ht="15.75" thickBot="1">
      <c r="A1299" s="104"/>
      <c r="B1299" s="74" t="s">
        <v>145</v>
      </c>
      <c r="C1299" s="596" t="s">
        <v>146</v>
      </c>
      <c r="D1299" s="596"/>
      <c r="E1299" s="596"/>
      <c r="F1299" s="596"/>
      <c r="G1299" s="596"/>
      <c r="H1299" s="596"/>
      <c r="I1299" s="596"/>
      <c r="J1299" s="596"/>
      <c r="K1299" s="596"/>
      <c r="L1299" s="597"/>
    </row>
    <row r="1300" spans="1:12" ht="15.75" thickBot="1"/>
    <row r="1301" spans="1:12" ht="21.75" thickBot="1">
      <c r="A1301" s="586" t="s">
        <v>89</v>
      </c>
      <c r="B1301" s="587"/>
      <c r="C1301" s="587"/>
      <c r="D1301" s="587"/>
      <c r="E1301" s="587"/>
      <c r="F1301" s="587"/>
      <c r="G1301" s="587"/>
      <c r="H1301" s="587"/>
      <c r="I1301" s="587"/>
      <c r="J1301" s="587"/>
      <c r="K1301" s="587"/>
      <c r="L1301" s="588"/>
    </row>
    <row r="1302" spans="1:12" ht="32.25" thickBot="1">
      <c r="A1302" s="69" t="s">
        <v>90</v>
      </c>
      <c r="B1302" s="589" t="s">
        <v>91</v>
      </c>
      <c r="C1302" s="589"/>
      <c r="D1302" s="589"/>
      <c r="E1302" s="589"/>
      <c r="F1302" s="589"/>
      <c r="G1302" s="589"/>
      <c r="H1302" s="589"/>
      <c r="I1302" s="589"/>
      <c r="J1302" s="589"/>
      <c r="K1302" s="589"/>
      <c r="L1302" s="589"/>
    </row>
    <row r="1303" spans="1:12" ht="16.5" thickBot="1">
      <c r="A1303" s="100"/>
      <c r="B1303" s="71" t="s">
        <v>92</v>
      </c>
      <c r="C1303" s="575" t="s">
        <v>93</v>
      </c>
      <c r="D1303" s="575"/>
      <c r="E1303" s="575"/>
      <c r="F1303" s="575"/>
      <c r="G1303" s="575"/>
      <c r="H1303" s="575"/>
      <c r="I1303" s="575"/>
      <c r="J1303" s="575"/>
      <c r="K1303" s="575"/>
      <c r="L1303" s="576"/>
    </row>
    <row r="1304" spans="1:12" ht="16.5" thickBot="1">
      <c r="A1304" s="101"/>
      <c r="B1304" s="589" t="s">
        <v>94</v>
      </c>
      <c r="C1304" s="590"/>
      <c r="D1304" s="590"/>
      <c r="E1304" s="590"/>
      <c r="F1304" s="590"/>
      <c r="G1304" s="590"/>
      <c r="H1304" s="590"/>
      <c r="I1304" s="590"/>
      <c r="J1304" s="590"/>
      <c r="K1304" s="590"/>
      <c r="L1304" s="590"/>
    </row>
    <row r="1305" spans="1:12">
      <c r="A1305" s="101"/>
      <c r="B1305" s="71" t="s">
        <v>95</v>
      </c>
      <c r="C1305" s="559" t="s">
        <v>96</v>
      </c>
      <c r="D1305" s="559"/>
      <c r="E1305" s="559"/>
      <c r="F1305" s="559"/>
      <c r="G1305" s="559"/>
      <c r="H1305" s="559"/>
      <c r="I1305" s="559"/>
      <c r="J1305" s="559"/>
      <c r="K1305" s="559"/>
      <c r="L1305" s="560"/>
    </row>
    <row r="1306" spans="1:12">
      <c r="A1306" s="102" t="s">
        <v>182</v>
      </c>
      <c r="B1306" s="72" t="s">
        <v>98</v>
      </c>
      <c r="C1306" s="559" t="str">
        <f ca="1">OFFSET('Bateria indicadores proceso'!$F$3,(RIGHT(A1306,3)),1)</f>
        <v>Dirección de Asuntos Indígenas, Rom y Minorías</v>
      </c>
      <c r="D1306" s="559"/>
      <c r="E1306" s="559"/>
      <c r="F1306" s="559"/>
      <c r="G1306" s="559"/>
      <c r="H1306" s="559"/>
      <c r="I1306" s="559"/>
      <c r="J1306" s="559"/>
      <c r="K1306" s="559"/>
      <c r="L1306" s="560"/>
    </row>
    <row r="1307" spans="1:12">
      <c r="A1307" s="101"/>
      <c r="B1307" s="72" t="s">
        <v>99</v>
      </c>
      <c r="C1307" s="559" t="str">
        <f ca="1">OFFSET('Bateria indicadores proceso'!$K$3,(RIGHT(A1306,3)),1)</f>
        <v xml:space="preserve">Órdenes judiciales de las altas cortes cumplidas por la entidad que vinculan a la DAIRM									</v>
      </c>
      <c r="D1307" s="559"/>
      <c r="E1307" s="559"/>
      <c r="F1307" s="559"/>
      <c r="G1307" s="559"/>
      <c r="H1307" s="559"/>
      <c r="I1307" s="559"/>
      <c r="J1307" s="559"/>
      <c r="K1307" s="559"/>
      <c r="L1307" s="560"/>
    </row>
    <row r="1308" spans="1:12">
      <c r="A1308" s="101"/>
      <c r="B1308" s="72" t="s">
        <v>100</v>
      </c>
      <c r="C1308" s="559" t="str">
        <f ca="1">OFFSET('Bateria indicadores proceso'!$I$3,(RIGHT(A1306,3)),1)</f>
        <v>Eficacia</v>
      </c>
      <c r="D1308" s="559"/>
      <c r="E1308" s="559"/>
      <c r="F1308" s="559"/>
      <c r="G1308" s="559"/>
      <c r="H1308" s="559"/>
      <c r="I1308" s="559"/>
      <c r="J1308" s="559"/>
      <c r="K1308" s="559"/>
      <c r="L1308" s="560"/>
    </row>
    <row r="1309" spans="1:12" ht="15.75" thickBot="1">
      <c r="A1309" s="103"/>
      <c r="B1309" s="73" t="s">
        <v>101</v>
      </c>
      <c r="C1309" s="559" t="str">
        <f ca="1">OFFSET('Bateria indicadores proceso'!$J$3,(RIGHT(A1306,3)),1)</f>
        <v>El indicador mide el nivel de cumplimiento de las órdenes judiciales emitidas por las altas cortes dirigidas a la entidad. Lo mide mediante la verificación y registro del porcentaje de órdenes atendidas frente al total de órdenes recibidas durante el periodo evaluado. Su propósito es garantizar el acatamiento oportuno y adecuado de los mandatos judiciales, asegurando la responsabilidad institucional y la protección de los derechos asociados a dichas decisiones.</v>
      </c>
      <c r="D1309" s="559"/>
      <c r="E1309" s="559"/>
      <c r="F1309" s="559"/>
      <c r="G1309" s="559"/>
      <c r="H1309" s="559"/>
      <c r="I1309" s="559"/>
      <c r="J1309" s="559"/>
      <c r="K1309" s="559"/>
      <c r="L1309" s="560"/>
    </row>
    <row r="1310" spans="1:12" ht="16.5" thickBot="1">
      <c r="A1310" s="103"/>
      <c r="B1310" s="572" t="s">
        <v>102</v>
      </c>
      <c r="C1310" s="573"/>
      <c r="D1310" s="573"/>
      <c r="E1310" s="573"/>
      <c r="F1310" s="573"/>
      <c r="G1310" s="573"/>
      <c r="H1310" s="573"/>
      <c r="I1310" s="573"/>
      <c r="J1310" s="573"/>
      <c r="K1310" s="573"/>
      <c r="L1310" s="574"/>
    </row>
    <row r="1311" spans="1:12">
      <c r="A1311" s="101"/>
      <c r="B1311" s="71" t="s">
        <v>103</v>
      </c>
      <c r="C1311" s="559" t="str">
        <f ca="1">OFFSET('Bateria indicadores proceso'!$O$3,(RIGHT(A1306,3)),1)</f>
        <v>Porcentaje</v>
      </c>
      <c r="D1311" s="559"/>
      <c r="E1311" s="559"/>
      <c r="F1311" s="559"/>
      <c r="G1311" s="559"/>
      <c r="H1311" s="559"/>
      <c r="I1311" s="559"/>
      <c r="J1311" s="559"/>
      <c r="K1311" s="559"/>
      <c r="L1311" s="560"/>
    </row>
    <row r="1312" spans="1:12" ht="24">
      <c r="A1312" s="101"/>
      <c r="B1312" s="72" t="s">
        <v>104</v>
      </c>
      <c r="C1312" s="559"/>
      <c r="D1312" s="559"/>
      <c r="E1312" s="559"/>
      <c r="F1312" s="559"/>
      <c r="G1312" s="559"/>
      <c r="H1312" s="559"/>
      <c r="I1312" s="559"/>
      <c r="J1312" s="559"/>
      <c r="K1312" s="559"/>
      <c r="L1312" s="560"/>
    </row>
    <row r="1313" spans="1:12">
      <c r="A1313" s="101"/>
      <c r="B1313" s="72" t="s">
        <v>105</v>
      </c>
      <c r="C1313" s="559" t="str">
        <f ca="1">OFFSET('Bateria indicadores proceso'!$L$3,(RIGHT(A1306,3)),1)</f>
        <v>(Número de órdenes judiciales atendidas/Número total de órdenes judiciales recibidas)*100</v>
      </c>
      <c r="D1313" s="559"/>
      <c r="E1313" s="559"/>
      <c r="F1313" s="559"/>
      <c r="G1313" s="559"/>
      <c r="H1313" s="559"/>
      <c r="I1313" s="559"/>
      <c r="J1313" s="559"/>
      <c r="K1313" s="559"/>
      <c r="L1313" s="560"/>
    </row>
    <row r="1314" spans="1:12">
      <c r="A1314" s="101"/>
      <c r="B1314" s="72" t="s">
        <v>106</v>
      </c>
      <c r="C1314" s="559" t="str">
        <f ca="1">OFFSET('Bateria indicadores proceso'!$Z$3,(RIGHT(A1306,3)),1)</f>
        <v>Trimestral</v>
      </c>
      <c r="D1314" s="559"/>
      <c r="E1314" s="559"/>
      <c r="F1314" s="559"/>
      <c r="G1314" s="559"/>
      <c r="H1314" s="559"/>
      <c r="I1314" s="559"/>
      <c r="J1314" s="559"/>
      <c r="K1314" s="559"/>
      <c r="L1314" s="560"/>
    </row>
    <row r="1315" spans="1:12">
      <c r="A1315" s="101"/>
      <c r="B1315" s="72" t="s">
        <v>107</v>
      </c>
      <c r="C1315" s="559" t="str">
        <f ca="1">OFFSET('Bateria indicadores proceso'!$X$3,(RIGHT(A1306,3)),1)</f>
        <v>Matriz de control de seguimiento del equipo Juridico de la DAI</v>
      </c>
      <c r="D1315" s="559"/>
      <c r="E1315" s="559"/>
      <c r="F1315" s="559"/>
      <c r="G1315" s="559"/>
      <c r="H1315" s="559"/>
      <c r="I1315" s="559"/>
      <c r="J1315" s="559"/>
      <c r="K1315" s="559"/>
      <c r="L1315" s="560"/>
    </row>
    <row r="1316" spans="1:12">
      <c r="A1316" s="101"/>
      <c r="B1316" s="72" t="s">
        <v>108</v>
      </c>
      <c r="C1316" s="561">
        <f ca="1">OFFSET('Bateria indicadores proceso'!$P$3,(RIGHT(A1306,3)),1)</f>
        <v>2023</v>
      </c>
      <c r="D1316" s="561"/>
      <c r="E1316" s="561"/>
      <c r="F1316" s="561"/>
      <c r="G1316" s="561"/>
      <c r="H1316" s="561"/>
      <c r="I1316" s="561"/>
      <c r="J1316" s="561"/>
      <c r="K1316" s="561"/>
      <c r="L1316" s="566"/>
    </row>
    <row r="1317" spans="1:12">
      <c r="A1317" s="101"/>
      <c r="B1317" s="72" t="s">
        <v>109</v>
      </c>
      <c r="C1317" s="561" t="str">
        <f ca="1">IF(C1311="Número",TEXT(OFFSET('Bateria indicadores proceso'!$Q$3,(RIGHT(A1306,3)),1),"######"),TEXT(OFFSET('Bateria indicadores proceso'!$Q$3,(RIGHT(A1306,3)),1),"0.0%"))</f>
        <v>100%</v>
      </c>
      <c r="D1317" s="561"/>
      <c r="E1317" s="561"/>
      <c r="F1317" s="561"/>
      <c r="G1317" s="561"/>
      <c r="H1317" s="561"/>
      <c r="I1317" s="561"/>
      <c r="J1317" s="561"/>
      <c r="K1317" s="561"/>
      <c r="L1317" s="566"/>
    </row>
    <row r="1318" spans="1:12">
      <c r="A1318" s="101"/>
      <c r="B1318" s="72" t="s">
        <v>110</v>
      </c>
      <c r="C1318" s="593">
        <f ca="1">+OFFSET('Bateria indicadores proceso'!$R$3,(RIGHT(A1306,3)),1)</f>
        <v>45291</v>
      </c>
      <c r="D1318" s="593"/>
      <c r="E1318" s="593"/>
      <c r="F1318" s="593"/>
      <c r="G1318" s="593"/>
      <c r="H1318" s="593"/>
      <c r="I1318" s="593"/>
      <c r="J1318" s="593"/>
      <c r="K1318" s="593"/>
      <c r="L1318" s="594"/>
    </row>
    <row r="1319" spans="1:12">
      <c r="A1319" s="101"/>
      <c r="B1319" s="72" t="s">
        <v>111</v>
      </c>
      <c r="C1319" s="561" t="str">
        <f ca="1">OFFSET('Bateria indicadores proceso'!$M$3,(RIGHT(A1306,3)),1)</f>
        <v>Mantener</v>
      </c>
      <c r="D1319" s="561"/>
      <c r="E1319" s="561"/>
      <c r="F1319" s="561"/>
      <c r="G1319" s="561"/>
      <c r="H1319" s="561"/>
      <c r="I1319" s="561"/>
      <c r="J1319" s="561"/>
      <c r="K1319" s="561"/>
      <c r="L1319" s="566"/>
    </row>
    <row r="1320" spans="1:12">
      <c r="A1320" s="101"/>
      <c r="B1320" s="72" t="s">
        <v>112</v>
      </c>
      <c r="C1320" s="561" t="str">
        <f ca="1">OFFSET('Bateria indicadores proceso'!$N$3,(RIGHT(A1306,3)),1)</f>
        <v>Flujo</v>
      </c>
      <c r="D1320" s="561"/>
      <c r="E1320" s="561"/>
      <c r="F1320" s="561"/>
      <c r="G1320" s="561"/>
      <c r="H1320" s="561"/>
      <c r="I1320" s="561"/>
      <c r="J1320" s="561"/>
      <c r="K1320" s="561"/>
      <c r="L1320" s="566"/>
    </row>
    <row r="1321" spans="1:12">
      <c r="A1321" s="101"/>
      <c r="B1321" s="72" t="s">
        <v>113</v>
      </c>
      <c r="C1321" s="561" t="str">
        <f ca="1">IF(C1311="Número",TEXT(OFFSET('Bateria indicadores proceso'!$W$3,(RIGHT(A1306,3)),1),"######"),TEXT(OFFSET('Bateria indicadores proceso'!$W$3,(RIGHT(A1306,3)),1),"0.0%"))</f>
        <v>100%</v>
      </c>
      <c r="D1321" s="561"/>
      <c r="E1321" s="561"/>
      <c r="F1321" s="561"/>
      <c r="G1321" s="561"/>
      <c r="H1321" s="561"/>
      <c r="I1321" s="561"/>
      <c r="J1321" s="561"/>
      <c r="K1321" s="561"/>
      <c r="L1321" s="566"/>
    </row>
    <row r="1322" spans="1:12">
      <c r="A1322" s="101"/>
      <c r="B1322" s="595" t="s">
        <v>114</v>
      </c>
      <c r="C1322" s="70" t="s">
        <v>115</v>
      </c>
      <c r="D1322" s="70" t="s">
        <v>116</v>
      </c>
      <c r="E1322" s="70" t="s">
        <v>117</v>
      </c>
      <c r="F1322" s="70" t="s">
        <v>118</v>
      </c>
      <c r="J1322" s="75"/>
      <c r="K1322" s="75"/>
      <c r="L1322" s="76"/>
    </row>
    <row r="1323" spans="1:12">
      <c r="A1323" s="101"/>
      <c r="B1323" s="595"/>
      <c r="C1323" s="70" t="str">
        <f ca="1">IF(C1311="Número",TEXT(OFFSET('Bateria indicadores proceso'!$S$3,(RIGHT(A1306,3)),1),"######"),TEXT(OFFSET('Bateria indicadores proceso'!$S$3,(RIGHT(A1306,3)),1),"0.0%"))</f>
        <v>100%</v>
      </c>
      <c r="D1323" s="70" t="str">
        <f ca="1">IF(C1311="Número",TEXT(OFFSET('Bateria indicadores proceso'!$T$3,(RIGHT(A1306,3)),1),"######"),TEXT(OFFSET('Bateria indicadores proceso'!$T$3,(RIGHT(A1306,3)),1),"0.0%"))</f>
        <v>100%</v>
      </c>
      <c r="E1323" s="70" t="str">
        <f ca="1">IF(C1311="Número",TEXT(OFFSET('Bateria indicadores proceso'!$U$3,(RIGHT(A1306,3)),1),"######"),TEXT(OFFSET('Bateria indicadores proceso'!$U$3,(RIGHT(A1306,3)),1),"0.0%"))</f>
        <v>100%</v>
      </c>
      <c r="F1323" s="70" t="str">
        <f ca="1">IF(C1311="Número",TEXT(OFFSET('Bateria indicadores proceso'!$V$3,(RIGHT(A1306,3)),1),"######"),TEXT(OFFSET('Bateria indicadores proceso'!$V$3,(RIGHT(A1306,3)),1),"0.0%"))</f>
        <v>100%</v>
      </c>
      <c r="J1323" s="77"/>
      <c r="K1323" s="77"/>
      <c r="L1323" s="78"/>
    </row>
    <row r="1324" spans="1:12">
      <c r="A1324" s="101"/>
      <c r="B1324" s="600" t="s">
        <v>119</v>
      </c>
      <c r="C1324" s="567" t="s">
        <v>120</v>
      </c>
      <c r="D1324" s="568"/>
      <c r="E1324" s="567" t="s">
        <v>121</v>
      </c>
      <c r="F1324" s="568"/>
      <c r="G1324" s="567" t="s">
        <v>122</v>
      </c>
      <c r="H1324" s="568"/>
      <c r="I1324" s="567" t="s">
        <v>123</v>
      </c>
      <c r="J1324" s="568"/>
      <c r="K1324" s="567" t="s">
        <v>124</v>
      </c>
      <c r="L1324" s="569"/>
    </row>
    <row r="1325" spans="1:12">
      <c r="A1325" s="101"/>
      <c r="B1325" s="601"/>
      <c r="C1325" s="570" t="s">
        <v>125</v>
      </c>
      <c r="D1325" s="571"/>
      <c r="E1325" s="577" t="s">
        <v>126</v>
      </c>
      <c r="F1325" s="578"/>
      <c r="G1325" s="579" t="s">
        <v>127</v>
      </c>
      <c r="H1325" s="580"/>
      <c r="I1325" s="581" t="s">
        <v>128</v>
      </c>
      <c r="J1325" s="582"/>
      <c r="K1325" s="583" t="s">
        <v>129</v>
      </c>
      <c r="L1325" s="584"/>
    </row>
    <row r="1326" spans="1:12">
      <c r="A1326" s="101"/>
      <c r="B1326" s="602"/>
      <c r="C1326" s="567" t="s">
        <v>130</v>
      </c>
      <c r="D1326" s="568"/>
      <c r="E1326" s="567" t="s">
        <v>131</v>
      </c>
      <c r="F1326" s="568"/>
      <c r="G1326" s="585" t="s">
        <v>132</v>
      </c>
      <c r="H1326" s="568"/>
      <c r="I1326" s="567" t="s">
        <v>133</v>
      </c>
      <c r="J1326" s="568"/>
      <c r="K1326" s="567" t="s">
        <v>134</v>
      </c>
      <c r="L1326" s="569"/>
    </row>
    <row r="1327" spans="1:12">
      <c r="A1327" s="101"/>
      <c r="B1327" s="72" t="s">
        <v>135</v>
      </c>
      <c r="C1327" s="559" t="str">
        <f ca="1">OFFSET('Bateria indicadores proceso'!$Y$3,(RIGHT(A1306,3)),1)</f>
        <v xml:space="preserve">Matriz de control ordenes judiciales </v>
      </c>
      <c r="D1327" s="559"/>
      <c r="E1327" s="559"/>
      <c r="F1327" s="559"/>
      <c r="G1327" s="559"/>
      <c r="H1327" s="559"/>
      <c r="I1327" s="559"/>
      <c r="J1327" s="559"/>
      <c r="K1327" s="559"/>
      <c r="L1327" s="560"/>
    </row>
    <row r="1328" spans="1:12">
      <c r="A1328" s="101"/>
      <c r="B1328" s="591" t="s">
        <v>136</v>
      </c>
      <c r="C1328" s="561" t="s">
        <v>137</v>
      </c>
      <c r="D1328" s="561"/>
      <c r="E1328" s="561"/>
      <c r="F1328" s="562" t="str">
        <f ca="1">OFFSET('Bateria indicadores proceso'!$B$3,(RIGHT(A1306,3)),1)</f>
        <v>GESTIÓN PARA LA PROTECCIÓN DE LOS DERECHOS</v>
      </c>
      <c r="G1328" s="562"/>
      <c r="H1328" s="562"/>
      <c r="I1328" s="562"/>
      <c r="J1328" s="562"/>
      <c r="K1328" s="562"/>
      <c r="L1328" s="563"/>
    </row>
    <row r="1329" spans="1:12">
      <c r="A1329" s="101"/>
      <c r="B1329" s="592"/>
      <c r="C1329" s="561" t="s">
        <v>138</v>
      </c>
      <c r="D1329" s="561"/>
      <c r="E1329" s="561"/>
      <c r="F1329" s="564">
        <f ca="1">OFFSET('Bateria indicadores proceso'!$C$3,(RIGHT(A1306,3)),1)</f>
        <v>0.11</v>
      </c>
      <c r="G1329" s="564"/>
      <c r="H1329" s="564"/>
      <c r="I1329" s="564"/>
      <c r="J1329" s="564"/>
      <c r="K1329" s="564"/>
      <c r="L1329" s="565"/>
    </row>
    <row r="1330" spans="1:12" ht="15.75" thickBot="1">
      <c r="A1330" s="101"/>
      <c r="B1330" s="592"/>
      <c r="C1330" s="561" t="s">
        <v>139</v>
      </c>
      <c r="D1330" s="561"/>
      <c r="E1330" s="561"/>
      <c r="F1330" s="564">
        <f ca="1">OFFSET('Bateria indicadores proceso'!$E$3,(RIGHT(A1306,3)),1)</f>
        <v>0.03</v>
      </c>
      <c r="G1330" s="564"/>
      <c r="H1330" s="564"/>
      <c r="I1330" s="564"/>
      <c r="J1330" s="564"/>
      <c r="K1330" s="564"/>
      <c r="L1330" s="565"/>
    </row>
    <row r="1331" spans="1:12" ht="16.5" thickBot="1">
      <c r="A1331" s="101"/>
      <c r="B1331" s="572" t="s">
        <v>140</v>
      </c>
      <c r="C1331" s="573"/>
      <c r="D1331" s="573"/>
      <c r="E1331" s="573"/>
      <c r="F1331" s="573"/>
      <c r="G1331" s="573"/>
      <c r="H1331" s="573"/>
      <c r="I1331" s="573"/>
      <c r="J1331" s="573"/>
      <c r="K1331" s="573"/>
      <c r="L1331" s="574"/>
    </row>
    <row r="1332" spans="1:12">
      <c r="A1332" s="101"/>
      <c r="B1332" s="72" t="s">
        <v>142</v>
      </c>
      <c r="C1332" s="561" t="str">
        <f ca="1">OFFSET('Bateria indicadores proceso'!$G$3,(RIGHT(A1306,3)),1)</f>
        <v>Director</v>
      </c>
      <c r="D1332" s="561"/>
      <c r="E1332" s="561"/>
      <c r="F1332" s="561"/>
      <c r="G1332" s="561"/>
      <c r="H1332" s="561"/>
      <c r="I1332" s="561"/>
      <c r="J1332" s="561"/>
      <c r="K1332" s="561"/>
      <c r="L1332" s="566"/>
    </row>
    <row r="1333" spans="1:12">
      <c r="A1333" s="101"/>
      <c r="B1333" s="72" t="s">
        <v>143</v>
      </c>
      <c r="C1333" s="561" t="str">
        <f ca="1">OFFSET('Bateria indicadores proceso'!$F$3,(RIGHT(A1306,3)),1)</f>
        <v>Dirección de Asuntos Indígenas, Rom y Minorías</v>
      </c>
      <c r="D1333" s="561"/>
      <c r="E1333" s="561"/>
      <c r="F1333" s="561"/>
      <c r="G1333" s="561"/>
      <c r="H1333" s="561"/>
      <c r="I1333" s="561"/>
      <c r="J1333" s="561"/>
      <c r="K1333" s="561"/>
      <c r="L1333" s="566"/>
    </row>
    <row r="1334" spans="1:12">
      <c r="A1334" s="101"/>
      <c r="B1334" s="72" t="s">
        <v>144</v>
      </c>
      <c r="C1334" s="598" t="str">
        <f ca="1">OFFSET('Bateria indicadores proceso'!$H$3,(RIGHT(A1306,3)),1)</f>
        <v>roquelina.blanco@mininterior.gov.co</v>
      </c>
      <c r="D1334" s="598"/>
      <c r="E1334" s="598"/>
      <c r="F1334" s="598"/>
      <c r="G1334" s="598"/>
      <c r="H1334" s="598"/>
      <c r="I1334" s="598"/>
      <c r="J1334" s="598"/>
      <c r="K1334" s="598"/>
      <c r="L1334" s="599"/>
    </row>
    <row r="1335" spans="1:12" ht="15.75" thickBot="1">
      <c r="A1335" s="104"/>
      <c r="B1335" s="74" t="s">
        <v>145</v>
      </c>
      <c r="C1335" s="596" t="s">
        <v>146</v>
      </c>
      <c r="D1335" s="596"/>
      <c r="E1335" s="596"/>
      <c r="F1335" s="596"/>
      <c r="G1335" s="596"/>
      <c r="H1335" s="596"/>
      <c r="I1335" s="596"/>
      <c r="J1335" s="596"/>
      <c r="K1335" s="596"/>
      <c r="L1335" s="597"/>
    </row>
    <row r="1336" spans="1:12" ht="15.75" thickBot="1"/>
    <row r="1337" spans="1:12" ht="21.75" thickBot="1">
      <c r="A1337" s="586" t="s">
        <v>89</v>
      </c>
      <c r="B1337" s="587"/>
      <c r="C1337" s="587"/>
      <c r="D1337" s="587"/>
      <c r="E1337" s="587"/>
      <c r="F1337" s="587"/>
      <c r="G1337" s="587"/>
      <c r="H1337" s="587"/>
      <c r="I1337" s="587"/>
      <c r="J1337" s="587"/>
      <c r="K1337" s="587"/>
      <c r="L1337" s="588"/>
    </row>
    <row r="1338" spans="1:12" ht="32.25" thickBot="1">
      <c r="A1338" s="69" t="s">
        <v>90</v>
      </c>
      <c r="B1338" s="589" t="s">
        <v>91</v>
      </c>
      <c r="C1338" s="589"/>
      <c r="D1338" s="589"/>
      <c r="E1338" s="589"/>
      <c r="F1338" s="589"/>
      <c r="G1338" s="589"/>
      <c r="H1338" s="589"/>
      <c r="I1338" s="589"/>
      <c r="J1338" s="589"/>
      <c r="K1338" s="589"/>
      <c r="L1338" s="589"/>
    </row>
    <row r="1339" spans="1:12" ht="16.5" thickBot="1">
      <c r="A1339" s="100"/>
      <c r="B1339" s="71" t="s">
        <v>92</v>
      </c>
      <c r="C1339" s="575" t="s">
        <v>93</v>
      </c>
      <c r="D1339" s="575"/>
      <c r="E1339" s="575"/>
      <c r="F1339" s="575"/>
      <c r="G1339" s="575"/>
      <c r="H1339" s="575"/>
      <c r="I1339" s="575"/>
      <c r="J1339" s="575"/>
      <c r="K1339" s="575"/>
      <c r="L1339" s="576"/>
    </row>
    <row r="1340" spans="1:12" ht="16.5" thickBot="1">
      <c r="A1340" s="101"/>
      <c r="B1340" s="589" t="s">
        <v>94</v>
      </c>
      <c r="C1340" s="590"/>
      <c r="D1340" s="590"/>
      <c r="E1340" s="590"/>
      <c r="F1340" s="590"/>
      <c r="G1340" s="590"/>
      <c r="H1340" s="590"/>
      <c r="I1340" s="590"/>
      <c r="J1340" s="590"/>
      <c r="K1340" s="590"/>
      <c r="L1340" s="590"/>
    </row>
    <row r="1341" spans="1:12">
      <c r="A1341" s="101"/>
      <c r="B1341" s="71" t="s">
        <v>95</v>
      </c>
      <c r="C1341" s="559" t="s">
        <v>96</v>
      </c>
      <c r="D1341" s="559"/>
      <c r="E1341" s="559"/>
      <c r="F1341" s="559"/>
      <c r="G1341" s="559"/>
      <c r="H1341" s="559"/>
      <c r="I1341" s="559"/>
      <c r="J1341" s="559"/>
      <c r="K1341" s="559"/>
      <c r="L1341" s="560"/>
    </row>
    <row r="1342" spans="1:12">
      <c r="A1342" s="102" t="s">
        <v>183</v>
      </c>
      <c r="B1342" s="72" t="s">
        <v>98</v>
      </c>
      <c r="C1342" s="559" t="str">
        <f ca="1">OFFSET('Bateria indicadores proceso'!$F$3,(RIGHT(A1342,3)),1)</f>
        <v>Dirección de Asuntos Indígenas, Rom y Minorías</v>
      </c>
      <c r="D1342" s="559"/>
      <c r="E1342" s="559"/>
      <c r="F1342" s="559"/>
      <c r="G1342" s="559"/>
      <c r="H1342" s="559"/>
      <c r="I1342" s="559"/>
      <c r="J1342" s="559"/>
      <c r="K1342" s="559"/>
      <c r="L1342" s="560"/>
    </row>
    <row r="1343" spans="1:12">
      <c r="A1343" s="101"/>
      <c r="B1343" s="72" t="s">
        <v>99</v>
      </c>
      <c r="C1343" s="559" t="str">
        <f ca="1">OFFSET('Bateria indicadores proceso'!$K$3,(RIGHT(A1342,3)),1)</f>
        <v>Registro de asociaciones de autoridades tradicionales y/o cabildos indígenas revisadas en cumplimiento de los requisitos establecidos en la DAIRM</v>
      </c>
      <c r="D1343" s="559"/>
      <c r="E1343" s="559"/>
      <c r="F1343" s="559"/>
      <c r="G1343" s="559"/>
      <c r="H1343" s="559"/>
      <c r="I1343" s="559"/>
      <c r="J1343" s="559"/>
      <c r="K1343" s="559"/>
      <c r="L1343" s="560"/>
    </row>
    <row r="1344" spans="1:12">
      <c r="A1344" s="101"/>
      <c r="B1344" s="72" t="s">
        <v>100</v>
      </c>
      <c r="C1344" s="559" t="str">
        <f ca="1">OFFSET('Bateria indicadores proceso'!$I$3,(RIGHT(A1342,3)),1)</f>
        <v>Eficacia</v>
      </c>
      <c r="D1344" s="559"/>
      <c r="E1344" s="559"/>
      <c r="F1344" s="559"/>
      <c r="G1344" s="559"/>
      <c r="H1344" s="559"/>
      <c r="I1344" s="559"/>
      <c r="J1344" s="559"/>
      <c r="K1344" s="559"/>
      <c r="L1344" s="560"/>
    </row>
    <row r="1345" spans="1:12" ht="15.75" thickBot="1">
      <c r="A1345" s="103"/>
      <c r="B1345" s="73" t="s">
        <v>101</v>
      </c>
      <c r="C1345" s="559" t="str">
        <f ca="1">OFFSET('Bateria indicadores proceso'!$J$3,(RIGHT(A1342,3)),1)</f>
        <v>El indicador mide el análisis realizado a las solicitudes de registro de asociaciones de autoridades tradicionales y/o cabildos indígenas, así como a sus novedades. Lo mide mediante el porcentaje de las solicitudes  a través de los actos administrativos en firme. Su propósito es verificar el avance y la oportunidad en la gestión en el marco de los registros generados, garantizando la actualización en la información de las autoridades tradicionales indígenas.</v>
      </c>
      <c r="D1345" s="559"/>
      <c r="E1345" s="559"/>
      <c r="F1345" s="559"/>
      <c r="G1345" s="559"/>
      <c r="H1345" s="559"/>
      <c r="I1345" s="559"/>
      <c r="J1345" s="559"/>
      <c r="K1345" s="559"/>
      <c r="L1345" s="560"/>
    </row>
    <row r="1346" spans="1:12" ht="16.5" thickBot="1">
      <c r="A1346" s="103"/>
      <c r="B1346" s="572" t="s">
        <v>102</v>
      </c>
      <c r="C1346" s="573"/>
      <c r="D1346" s="573"/>
      <c r="E1346" s="573"/>
      <c r="F1346" s="573"/>
      <c r="G1346" s="573"/>
      <c r="H1346" s="573"/>
      <c r="I1346" s="573"/>
      <c r="J1346" s="573"/>
      <c r="K1346" s="573"/>
      <c r="L1346" s="574"/>
    </row>
    <row r="1347" spans="1:12">
      <c r="A1347" s="101"/>
      <c r="B1347" s="71" t="s">
        <v>103</v>
      </c>
      <c r="C1347" s="559" t="str">
        <f ca="1">OFFSET('Bateria indicadores proceso'!$O$3,(RIGHT(A1342,3)),1)</f>
        <v>Porcentaje</v>
      </c>
      <c r="D1347" s="559"/>
      <c r="E1347" s="559"/>
      <c r="F1347" s="559"/>
      <c r="G1347" s="559"/>
      <c r="H1347" s="559"/>
      <c r="I1347" s="559"/>
      <c r="J1347" s="559"/>
      <c r="K1347" s="559"/>
      <c r="L1347" s="560"/>
    </row>
    <row r="1348" spans="1:12" ht="24">
      <c r="A1348" s="101"/>
      <c r="B1348" s="72" t="s">
        <v>104</v>
      </c>
      <c r="C1348" s="559"/>
      <c r="D1348" s="559"/>
      <c r="E1348" s="559"/>
      <c r="F1348" s="559"/>
      <c r="G1348" s="559"/>
      <c r="H1348" s="559"/>
      <c r="I1348" s="559"/>
      <c r="J1348" s="559"/>
      <c r="K1348" s="559"/>
      <c r="L1348" s="560"/>
    </row>
    <row r="1349" spans="1:12">
      <c r="A1349" s="101"/>
      <c r="B1349" s="72" t="s">
        <v>105</v>
      </c>
      <c r="C1349" s="559" t="str">
        <f ca="1">OFFSET('Bateria indicadores proceso'!$L$3,(RIGHT(A1342,3)),1)</f>
        <v>(Número total de actos administrativos de registro en firme /Número de solicitudes de registro recibidas)×100</v>
      </c>
      <c r="D1349" s="559"/>
      <c r="E1349" s="559"/>
      <c r="F1349" s="559"/>
      <c r="G1349" s="559"/>
      <c r="H1349" s="559"/>
      <c r="I1349" s="559"/>
      <c r="J1349" s="559"/>
      <c r="K1349" s="559"/>
      <c r="L1349" s="560"/>
    </row>
    <row r="1350" spans="1:12">
      <c r="A1350" s="101"/>
      <c r="B1350" s="72" t="s">
        <v>106</v>
      </c>
      <c r="C1350" s="559" t="str">
        <f ca="1">OFFSET('Bateria indicadores proceso'!$Z$3,(RIGHT(A1342,3)),1)</f>
        <v>Trimestral</v>
      </c>
      <c r="D1350" s="559"/>
      <c r="E1350" s="559"/>
      <c r="F1350" s="559"/>
      <c r="G1350" s="559"/>
      <c r="H1350" s="559"/>
      <c r="I1350" s="559"/>
      <c r="J1350" s="559"/>
      <c r="K1350" s="559"/>
      <c r="L1350" s="560"/>
    </row>
    <row r="1351" spans="1:12">
      <c r="A1351" s="101"/>
      <c r="B1351" s="72" t="s">
        <v>107</v>
      </c>
      <c r="C1351" s="559" t="str">
        <f ca="1">OFFSET('Bateria indicadores proceso'!$X$3,(RIGHT(A1342,3)),1)</f>
        <v>Sistema Indigena de Información Colombiano y la matriz de consecutivos de actos administrativos generados.</v>
      </c>
      <c r="D1351" s="559"/>
      <c r="E1351" s="559"/>
      <c r="F1351" s="559"/>
      <c r="G1351" s="559"/>
      <c r="H1351" s="559"/>
      <c r="I1351" s="559"/>
      <c r="J1351" s="559"/>
      <c r="K1351" s="559"/>
      <c r="L1351" s="560"/>
    </row>
    <row r="1352" spans="1:12">
      <c r="A1352" s="101"/>
      <c r="B1352" s="72" t="s">
        <v>108</v>
      </c>
      <c r="C1352" s="561" t="str">
        <f ca="1">OFFSET('Bateria indicadores proceso'!$P$3,(RIGHT(A1342,3)),1)</f>
        <v>No aplica</v>
      </c>
      <c r="D1352" s="561"/>
      <c r="E1352" s="561"/>
      <c r="F1352" s="561"/>
      <c r="G1352" s="561"/>
      <c r="H1352" s="561"/>
      <c r="I1352" s="561"/>
      <c r="J1352" s="561"/>
      <c r="K1352" s="561"/>
      <c r="L1352" s="566"/>
    </row>
    <row r="1353" spans="1:12">
      <c r="A1353" s="101"/>
      <c r="B1353" s="72" t="s">
        <v>109</v>
      </c>
      <c r="C1353" s="561" t="str">
        <f ca="1">IF(C1347="Número",TEXT(OFFSET('Bateria indicadores proceso'!$Q$3,(RIGHT(A1342,3)),1),"######"),TEXT(OFFSET('Bateria indicadores proceso'!$Q$3,(RIGHT(A1342,3)),1),"0.0%"))</f>
        <v>No aplica</v>
      </c>
      <c r="D1353" s="561"/>
      <c r="E1353" s="561"/>
      <c r="F1353" s="561"/>
      <c r="G1353" s="561"/>
      <c r="H1353" s="561"/>
      <c r="I1353" s="561"/>
      <c r="J1353" s="561"/>
      <c r="K1353" s="561"/>
      <c r="L1353" s="566"/>
    </row>
    <row r="1354" spans="1:12">
      <c r="A1354" s="101"/>
      <c r="B1354" s="72" t="s">
        <v>110</v>
      </c>
      <c r="C1354" s="593" t="str">
        <f ca="1">+OFFSET('Bateria indicadores proceso'!$R$3,(RIGHT(A1342,3)),1)</f>
        <v>No aplica</v>
      </c>
      <c r="D1354" s="593"/>
      <c r="E1354" s="593"/>
      <c r="F1354" s="593"/>
      <c r="G1354" s="593"/>
      <c r="H1354" s="593"/>
      <c r="I1354" s="593"/>
      <c r="J1354" s="593"/>
      <c r="K1354" s="593"/>
      <c r="L1354" s="594"/>
    </row>
    <row r="1355" spans="1:12">
      <c r="A1355" s="101"/>
      <c r="B1355" s="72" t="s">
        <v>111</v>
      </c>
      <c r="C1355" s="561" t="str">
        <f ca="1">OFFSET('Bateria indicadores proceso'!$M$3,(RIGHT(A1342,3)),1)</f>
        <v>Mantener</v>
      </c>
      <c r="D1355" s="561"/>
      <c r="E1355" s="561"/>
      <c r="F1355" s="561"/>
      <c r="G1355" s="561"/>
      <c r="H1355" s="561"/>
      <c r="I1355" s="561"/>
      <c r="J1355" s="561"/>
      <c r="K1355" s="561"/>
      <c r="L1355" s="566"/>
    </row>
    <row r="1356" spans="1:12">
      <c r="A1356" s="101"/>
      <c r="B1356" s="72" t="s">
        <v>112</v>
      </c>
      <c r="C1356" s="561" t="str">
        <f ca="1">OFFSET('Bateria indicadores proceso'!$N$3,(RIGHT(A1342,3)),1)</f>
        <v>Flujo</v>
      </c>
      <c r="D1356" s="561"/>
      <c r="E1356" s="561"/>
      <c r="F1356" s="561"/>
      <c r="G1356" s="561"/>
      <c r="H1356" s="561"/>
      <c r="I1356" s="561"/>
      <c r="J1356" s="561"/>
      <c r="K1356" s="561"/>
      <c r="L1356" s="566"/>
    </row>
    <row r="1357" spans="1:12">
      <c r="A1357" s="101"/>
      <c r="B1357" s="72" t="s">
        <v>113</v>
      </c>
      <c r="C1357" s="561" t="str">
        <f ca="1">IF(C1347="Número",TEXT(OFFSET('Bateria indicadores proceso'!$W$3,(RIGHT(A1342,3)),1),"######"),TEXT(OFFSET('Bateria indicadores proceso'!$W$3,(RIGHT(A1342,3)),1),"0.0%"))</f>
        <v>100%</v>
      </c>
      <c r="D1357" s="561"/>
      <c r="E1357" s="561"/>
      <c r="F1357" s="561"/>
      <c r="G1357" s="561"/>
      <c r="H1357" s="561"/>
      <c r="I1357" s="561"/>
      <c r="J1357" s="561"/>
      <c r="K1357" s="561"/>
      <c r="L1357" s="566"/>
    </row>
    <row r="1358" spans="1:12">
      <c r="A1358" s="101"/>
      <c r="B1358" s="595" t="s">
        <v>114</v>
      </c>
      <c r="C1358" s="70" t="s">
        <v>115</v>
      </c>
      <c r="D1358" s="70" t="s">
        <v>116</v>
      </c>
      <c r="E1358" s="70" t="s">
        <v>117</v>
      </c>
      <c r="F1358" s="70" t="s">
        <v>118</v>
      </c>
      <c r="J1358" s="75"/>
      <c r="K1358" s="75"/>
      <c r="L1358" s="76"/>
    </row>
    <row r="1359" spans="1:12">
      <c r="A1359" s="101"/>
      <c r="B1359" s="595"/>
      <c r="C1359" s="70" t="str">
        <f ca="1">IF(C1347="Número",TEXT(OFFSET('Bateria indicadores proceso'!$S$3,(RIGHT(A1342,3)),1),"######"),TEXT(OFFSET('Bateria indicadores proceso'!$S$3,(RIGHT(A1342,3)),1),"0.0%"))</f>
        <v>100%</v>
      </c>
      <c r="D1359" s="70" t="str">
        <f ca="1">IF(C1347="Número",TEXT(OFFSET('Bateria indicadores proceso'!$T$3,(RIGHT(A1342,3)),1),"######"),TEXT(OFFSET('Bateria indicadores proceso'!$T$3,(RIGHT(A1342,3)),1),"0.0%"))</f>
        <v>100%</v>
      </c>
      <c r="E1359" s="70" t="str">
        <f ca="1">IF(C1347="Número",TEXT(OFFSET('Bateria indicadores proceso'!$U$3,(RIGHT(A1342,3)),1),"######"),TEXT(OFFSET('Bateria indicadores proceso'!$U$3,(RIGHT(A1342,3)),1),"0.0%"))</f>
        <v>100%</v>
      </c>
      <c r="F1359" s="70" t="str">
        <f ca="1">IF(C1347="Número",TEXT(OFFSET('Bateria indicadores proceso'!$V$3,(RIGHT(A1342,3)),1),"######"),TEXT(OFFSET('Bateria indicadores proceso'!$V$3,(RIGHT(A1342,3)),1),"0.0%"))</f>
        <v>100%</v>
      </c>
      <c r="J1359" s="77"/>
      <c r="K1359" s="77"/>
      <c r="L1359" s="78"/>
    </row>
    <row r="1360" spans="1:12">
      <c r="A1360" s="101"/>
      <c r="B1360" s="600" t="s">
        <v>119</v>
      </c>
      <c r="C1360" s="567" t="s">
        <v>120</v>
      </c>
      <c r="D1360" s="568"/>
      <c r="E1360" s="567" t="s">
        <v>121</v>
      </c>
      <c r="F1360" s="568"/>
      <c r="G1360" s="567" t="s">
        <v>122</v>
      </c>
      <c r="H1360" s="568"/>
      <c r="I1360" s="567" t="s">
        <v>123</v>
      </c>
      <c r="J1360" s="568"/>
      <c r="K1360" s="567" t="s">
        <v>124</v>
      </c>
      <c r="L1360" s="569"/>
    </row>
    <row r="1361" spans="1:12">
      <c r="A1361" s="101"/>
      <c r="B1361" s="601"/>
      <c r="C1361" s="570" t="s">
        <v>125</v>
      </c>
      <c r="D1361" s="571"/>
      <c r="E1361" s="577" t="s">
        <v>126</v>
      </c>
      <c r="F1361" s="578"/>
      <c r="G1361" s="579" t="s">
        <v>127</v>
      </c>
      <c r="H1361" s="580"/>
      <c r="I1361" s="581" t="s">
        <v>128</v>
      </c>
      <c r="J1361" s="582"/>
      <c r="K1361" s="583" t="s">
        <v>129</v>
      </c>
      <c r="L1361" s="584"/>
    </row>
    <row r="1362" spans="1:12">
      <c r="A1362" s="101"/>
      <c r="B1362" s="602"/>
      <c r="C1362" s="567" t="s">
        <v>130</v>
      </c>
      <c r="D1362" s="568"/>
      <c r="E1362" s="567" t="s">
        <v>131</v>
      </c>
      <c r="F1362" s="568"/>
      <c r="G1362" s="585" t="s">
        <v>132</v>
      </c>
      <c r="H1362" s="568"/>
      <c r="I1362" s="567" t="s">
        <v>133</v>
      </c>
      <c r="J1362" s="568"/>
      <c r="K1362" s="567" t="s">
        <v>134</v>
      </c>
      <c r="L1362" s="569"/>
    </row>
    <row r="1363" spans="1:12">
      <c r="A1363" s="101"/>
      <c r="B1363" s="72" t="s">
        <v>135</v>
      </c>
      <c r="C1363" s="559" t="str">
        <f ca="1">OFFSET('Bateria indicadores proceso'!$Y$3,(RIGHT(A1342,3)),1)</f>
        <v>Matriz solicitudes realizadas versus actos administrativos en firme</v>
      </c>
      <c r="D1363" s="559"/>
      <c r="E1363" s="559"/>
      <c r="F1363" s="559"/>
      <c r="G1363" s="559"/>
      <c r="H1363" s="559"/>
      <c r="I1363" s="559"/>
      <c r="J1363" s="559"/>
      <c r="K1363" s="559"/>
      <c r="L1363" s="560"/>
    </row>
    <row r="1364" spans="1:12">
      <c r="A1364" s="101"/>
      <c r="B1364" s="591" t="s">
        <v>136</v>
      </c>
      <c r="C1364" s="561" t="s">
        <v>137</v>
      </c>
      <c r="D1364" s="561"/>
      <c r="E1364" s="561"/>
      <c r="F1364" s="562" t="str">
        <f ca="1">OFFSET('Bateria indicadores proceso'!$B$3,(RIGHT(A1342,3)),1)</f>
        <v>GESTIÓN PARA LA PROTECCIÓN DE LOS DERECHOS</v>
      </c>
      <c r="G1364" s="562"/>
      <c r="H1364" s="562"/>
      <c r="I1364" s="562"/>
      <c r="J1364" s="562"/>
      <c r="K1364" s="562"/>
      <c r="L1364" s="563"/>
    </row>
    <row r="1365" spans="1:12">
      <c r="A1365" s="101"/>
      <c r="B1365" s="592"/>
      <c r="C1365" s="561" t="s">
        <v>138</v>
      </c>
      <c r="D1365" s="561"/>
      <c r="E1365" s="561"/>
      <c r="F1365" s="564">
        <f ca="1">OFFSET('Bateria indicadores proceso'!$C$3,(RIGHT(A1342,3)),1)</f>
        <v>0.11</v>
      </c>
      <c r="G1365" s="564"/>
      <c r="H1365" s="564"/>
      <c r="I1365" s="564"/>
      <c r="J1365" s="564"/>
      <c r="K1365" s="564"/>
      <c r="L1365" s="565"/>
    </row>
    <row r="1366" spans="1:12" ht="15.75" thickBot="1">
      <c r="A1366" s="101"/>
      <c r="B1366" s="592"/>
      <c r="C1366" s="561" t="s">
        <v>139</v>
      </c>
      <c r="D1366" s="561"/>
      <c r="E1366" s="561"/>
      <c r="F1366" s="564">
        <f ca="1">OFFSET('Bateria indicadores proceso'!$E$3,(RIGHT(A1342,3)),1)</f>
        <v>0.03</v>
      </c>
      <c r="G1366" s="564"/>
      <c r="H1366" s="564"/>
      <c r="I1366" s="564"/>
      <c r="J1366" s="564"/>
      <c r="K1366" s="564"/>
      <c r="L1366" s="565"/>
    </row>
    <row r="1367" spans="1:12" ht="16.5" thickBot="1">
      <c r="A1367" s="101"/>
      <c r="B1367" s="572" t="s">
        <v>140</v>
      </c>
      <c r="C1367" s="573"/>
      <c r="D1367" s="573"/>
      <c r="E1367" s="573"/>
      <c r="F1367" s="573"/>
      <c r="G1367" s="573"/>
      <c r="H1367" s="573"/>
      <c r="I1367" s="573"/>
      <c r="J1367" s="573"/>
      <c r="K1367" s="573"/>
      <c r="L1367" s="574"/>
    </row>
    <row r="1368" spans="1:12">
      <c r="A1368" s="101"/>
      <c r="B1368" s="72" t="s">
        <v>142</v>
      </c>
      <c r="C1368" s="561" t="str">
        <f ca="1">OFFSET('Bateria indicadores proceso'!$G$3,(RIGHT(A1342,3)),1)</f>
        <v>Director</v>
      </c>
      <c r="D1368" s="561"/>
      <c r="E1368" s="561"/>
      <c r="F1368" s="561"/>
      <c r="G1368" s="561"/>
      <c r="H1368" s="561"/>
      <c r="I1368" s="561"/>
      <c r="J1368" s="561"/>
      <c r="K1368" s="561"/>
      <c r="L1368" s="566"/>
    </row>
    <row r="1369" spans="1:12">
      <c r="A1369" s="101"/>
      <c r="B1369" s="72" t="s">
        <v>143</v>
      </c>
      <c r="C1369" s="561" t="str">
        <f ca="1">OFFSET('Bateria indicadores proceso'!$F$3,(RIGHT(A1342,3)),1)</f>
        <v>Dirección de Asuntos Indígenas, Rom y Minorías</v>
      </c>
      <c r="D1369" s="561"/>
      <c r="E1369" s="561"/>
      <c r="F1369" s="561"/>
      <c r="G1369" s="561"/>
      <c r="H1369" s="561"/>
      <c r="I1369" s="561"/>
      <c r="J1369" s="561"/>
      <c r="K1369" s="561"/>
      <c r="L1369" s="566"/>
    </row>
    <row r="1370" spans="1:12">
      <c r="A1370" s="101"/>
      <c r="B1370" s="72" t="s">
        <v>144</v>
      </c>
      <c r="C1370" s="598" t="str">
        <f ca="1">OFFSET('Bateria indicadores proceso'!$H$3,(RIGHT(A1306,3)),1)</f>
        <v>roquelina.blanco@mininterior.gov.co</v>
      </c>
      <c r="D1370" s="598"/>
      <c r="E1370" s="598"/>
      <c r="F1370" s="598"/>
      <c r="G1370" s="598"/>
      <c r="H1370" s="598"/>
      <c r="I1370" s="598"/>
      <c r="J1370" s="598"/>
      <c r="K1370" s="598"/>
      <c r="L1370" s="599"/>
    </row>
    <row r="1371" spans="1:12" ht="15.75" thickBot="1">
      <c r="A1371" s="104"/>
      <c r="B1371" s="74" t="s">
        <v>145</v>
      </c>
      <c r="C1371" s="596" t="s">
        <v>146</v>
      </c>
      <c r="D1371" s="596"/>
      <c r="E1371" s="596"/>
      <c r="F1371" s="596"/>
      <c r="G1371" s="596"/>
      <c r="H1371" s="596"/>
      <c r="I1371" s="596"/>
      <c r="J1371" s="596"/>
      <c r="K1371" s="596"/>
      <c r="L1371" s="597"/>
    </row>
    <row r="1372" spans="1:12" ht="15.75" thickBot="1"/>
    <row r="1373" spans="1:12" ht="21.75" thickBot="1">
      <c r="A1373" s="586" t="s">
        <v>89</v>
      </c>
      <c r="B1373" s="587"/>
      <c r="C1373" s="587"/>
      <c r="D1373" s="587"/>
      <c r="E1373" s="587"/>
      <c r="F1373" s="587"/>
      <c r="G1373" s="587"/>
      <c r="H1373" s="587"/>
      <c r="I1373" s="587"/>
      <c r="J1373" s="587"/>
      <c r="K1373" s="587"/>
      <c r="L1373" s="588"/>
    </row>
    <row r="1374" spans="1:12" ht="32.25" thickBot="1">
      <c r="A1374" s="69" t="s">
        <v>90</v>
      </c>
      <c r="B1374" s="589" t="s">
        <v>91</v>
      </c>
      <c r="C1374" s="589"/>
      <c r="D1374" s="589"/>
      <c r="E1374" s="589"/>
      <c r="F1374" s="589"/>
      <c r="G1374" s="589"/>
      <c r="H1374" s="589"/>
      <c r="I1374" s="589"/>
      <c r="J1374" s="589"/>
      <c r="K1374" s="589"/>
      <c r="L1374" s="589"/>
    </row>
    <row r="1375" spans="1:12" ht="16.5" thickBot="1">
      <c r="A1375" s="100"/>
      <c r="B1375" s="71" t="s">
        <v>92</v>
      </c>
      <c r="C1375" s="575" t="s">
        <v>93</v>
      </c>
      <c r="D1375" s="575"/>
      <c r="E1375" s="575"/>
      <c r="F1375" s="575"/>
      <c r="G1375" s="575"/>
      <c r="H1375" s="575"/>
      <c r="I1375" s="575"/>
      <c r="J1375" s="575"/>
      <c r="K1375" s="575"/>
      <c r="L1375" s="576"/>
    </row>
    <row r="1376" spans="1:12" ht="16.5" thickBot="1">
      <c r="A1376" s="101"/>
      <c r="B1376" s="589" t="s">
        <v>94</v>
      </c>
      <c r="C1376" s="590"/>
      <c r="D1376" s="590"/>
      <c r="E1376" s="590"/>
      <c r="F1376" s="590"/>
      <c r="G1376" s="590"/>
      <c r="H1376" s="590"/>
      <c r="I1376" s="590"/>
      <c r="J1376" s="590"/>
      <c r="K1376" s="590"/>
      <c r="L1376" s="590"/>
    </row>
    <row r="1377" spans="1:12">
      <c r="A1377" s="101"/>
      <c r="B1377" s="71" t="s">
        <v>95</v>
      </c>
      <c r="C1377" s="559" t="s">
        <v>96</v>
      </c>
      <c r="D1377" s="559"/>
      <c r="E1377" s="559"/>
      <c r="F1377" s="559"/>
      <c r="G1377" s="559"/>
      <c r="H1377" s="559"/>
      <c r="I1377" s="559"/>
      <c r="J1377" s="559"/>
      <c r="K1377" s="559"/>
      <c r="L1377" s="560"/>
    </row>
    <row r="1378" spans="1:12">
      <c r="A1378" s="102" t="s">
        <v>184</v>
      </c>
      <c r="B1378" s="72" t="s">
        <v>98</v>
      </c>
      <c r="C1378" s="559" t="str">
        <f ca="1">OFFSET('Bateria indicadores proceso'!$F$3,(RIGHT(A1378,3)),1)</f>
        <v>Grupo Enfoque de Género y Diversidad del Ministerio Interior</v>
      </c>
      <c r="D1378" s="559"/>
      <c r="E1378" s="559"/>
      <c r="F1378" s="559"/>
      <c r="G1378" s="559"/>
      <c r="H1378" s="559"/>
      <c r="I1378" s="559"/>
      <c r="J1378" s="559"/>
      <c r="K1378" s="559"/>
      <c r="L1378" s="560"/>
    </row>
    <row r="1379" spans="1:12">
      <c r="A1379" s="101"/>
      <c r="B1379" s="72" t="s">
        <v>99</v>
      </c>
      <c r="C1379" s="559" t="str">
        <f ca="1">OFFSET('Bateria indicadores proceso'!$K$3,(RIGHT(A1378,3)),1)</f>
        <v>Proceso de incorporación del enfoque de género y diversidad en los instrumentos de planificación territorial, socializado a las entidades territoriales</v>
      </c>
      <c r="D1379" s="559"/>
      <c r="E1379" s="559"/>
      <c r="F1379" s="559"/>
      <c r="G1379" s="559"/>
      <c r="H1379" s="559"/>
      <c r="I1379" s="559"/>
      <c r="J1379" s="559"/>
      <c r="K1379" s="559"/>
      <c r="L1379" s="560"/>
    </row>
    <row r="1380" spans="1:12">
      <c r="A1380" s="101"/>
      <c r="B1380" s="72" t="s">
        <v>100</v>
      </c>
      <c r="C1380" s="559" t="str">
        <f ca="1">OFFSET('Bateria indicadores proceso'!$I$3,(RIGHT(A1378,3)),1)</f>
        <v>Eficacia</v>
      </c>
      <c r="D1380" s="559"/>
      <c r="E1380" s="559"/>
      <c r="F1380" s="559"/>
      <c r="G1380" s="559"/>
      <c r="H1380" s="559"/>
      <c r="I1380" s="559"/>
      <c r="J1380" s="559"/>
      <c r="K1380" s="559"/>
      <c r="L1380" s="560"/>
    </row>
    <row r="1381" spans="1:12" ht="15.75" thickBot="1">
      <c r="A1381" s="103"/>
      <c r="B1381" s="73" t="s">
        <v>101</v>
      </c>
      <c r="C1381" s="559" t="str">
        <f ca="1">OFFSET('Bateria indicadores proceso'!$J$3,(RIGHT(A1378,3)),1)</f>
        <v>Número de entidades territoriales que reciben socialización sobre el proceso de incorporación del enfoque de género, identidad de género, orientación sexual y/o perspectiva interseccional en los instrumentos de planificación territorial, con el propósito de fortalecer sus capacidades para integrar estos enfoques en la planeación pública, impulsar la garantía del derecho a una vida libre de violencias y ampliar los espacios de socialización y apropiación institucional para su implementación efectiva.</v>
      </c>
      <c r="D1381" s="559"/>
      <c r="E1381" s="559"/>
      <c r="F1381" s="559"/>
      <c r="G1381" s="559"/>
      <c r="H1381" s="559"/>
      <c r="I1381" s="559"/>
      <c r="J1381" s="559"/>
      <c r="K1381" s="559"/>
      <c r="L1381" s="560"/>
    </row>
    <row r="1382" spans="1:12" ht="16.5" thickBot="1">
      <c r="A1382" s="103"/>
      <c r="B1382" s="572" t="s">
        <v>102</v>
      </c>
      <c r="C1382" s="573"/>
      <c r="D1382" s="573"/>
      <c r="E1382" s="573"/>
      <c r="F1382" s="573"/>
      <c r="G1382" s="573"/>
      <c r="H1382" s="573"/>
      <c r="I1382" s="573"/>
      <c r="J1382" s="573"/>
      <c r="K1382" s="573"/>
      <c r="L1382" s="574"/>
    </row>
    <row r="1383" spans="1:12">
      <c r="A1383" s="101"/>
      <c r="B1383" s="71" t="s">
        <v>103</v>
      </c>
      <c r="C1383" s="559" t="str">
        <f ca="1">OFFSET('Bateria indicadores proceso'!$O$3,(RIGHT(A1378,3)),1)</f>
        <v>Número</v>
      </c>
      <c r="D1383" s="559"/>
      <c r="E1383" s="559"/>
      <c r="F1383" s="559"/>
      <c r="G1383" s="559"/>
      <c r="H1383" s="559"/>
      <c r="I1383" s="559"/>
      <c r="J1383" s="559"/>
      <c r="K1383" s="559"/>
      <c r="L1383" s="560"/>
    </row>
    <row r="1384" spans="1:12" ht="24">
      <c r="A1384" s="101"/>
      <c r="B1384" s="72" t="s">
        <v>104</v>
      </c>
      <c r="C1384" s="559"/>
      <c r="D1384" s="559"/>
      <c r="E1384" s="559"/>
      <c r="F1384" s="559"/>
      <c r="G1384" s="559"/>
      <c r="H1384" s="559"/>
      <c r="I1384" s="559"/>
      <c r="J1384" s="559"/>
      <c r="K1384" s="559"/>
      <c r="L1384" s="560"/>
    </row>
    <row r="1385" spans="1:12">
      <c r="A1385" s="101"/>
      <c r="B1385" s="72" t="s">
        <v>105</v>
      </c>
      <c r="C1385" s="559" t="str">
        <f ca="1">OFFSET('Bateria indicadores proceso'!$L$3,(RIGHT(A1378,3)),1)</f>
        <v>Número de espacios virtuales o presenciales de socialización realizados con entidades territoriales</v>
      </c>
      <c r="D1385" s="559"/>
      <c r="E1385" s="559"/>
      <c r="F1385" s="559"/>
      <c r="G1385" s="559"/>
      <c r="H1385" s="559"/>
      <c r="I1385" s="559"/>
      <c r="J1385" s="559"/>
      <c r="K1385" s="559"/>
      <c r="L1385" s="560"/>
    </row>
    <row r="1386" spans="1:12">
      <c r="A1386" s="101"/>
      <c r="B1386" s="72" t="s">
        <v>106</v>
      </c>
      <c r="C1386" s="559" t="str">
        <f ca="1">OFFSET('Bateria indicadores proceso'!$Z$3,(RIGHT(A1378,3)),1)</f>
        <v>Trimestral</v>
      </c>
      <c r="D1386" s="559"/>
      <c r="E1386" s="559"/>
      <c r="F1386" s="559"/>
      <c r="G1386" s="559"/>
      <c r="H1386" s="559"/>
      <c r="I1386" s="559"/>
      <c r="J1386" s="559"/>
      <c r="K1386" s="559"/>
      <c r="L1386" s="560"/>
    </row>
    <row r="1387" spans="1:12">
      <c r="A1387" s="101"/>
      <c r="B1387" s="72" t="s">
        <v>107</v>
      </c>
      <c r="C1387" s="559" t="str">
        <f ca="1">OFFSET('Bateria indicadores proceso'!$X$3,(RIGHT(A1378,3)),1)</f>
        <v xml:space="preserve">Actas de reunión									</v>
      </c>
      <c r="D1387" s="559"/>
      <c r="E1387" s="559"/>
      <c r="F1387" s="559"/>
      <c r="G1387" s="559"/>
      <c r="H1387" s="559"/>
      <c r="I1387" s="559"/>
      <c r="J1387" s="559"/>
      <c r="K1387" s="559"/>
      <c r="L1387" s="560"/>
    </row>
    <row r="1388" spans="1:12">
      <c r="A1388" s="101"/>
      <c r="B1388" s="72" t="s">
        <v>108</v>
      </c>
      <c r="C1388" s="561" t="str">
        <f ca="1">OFFSET('Bateria indicadores proceso'!$P$3,(RIGHT(A1378,3)),1)</f>
        <v>No aplica</v>
      </c>
      <c r="D1388" s="561"/>
      <c r="E1388" s="561"/>
      <c r="F1388" s="561"/>
      <c r="G1388" s="561"/>
      <c r="H1388" s="561"/>
      <c r="I1388" s="561"/>
      <c r="J1388" s="561"/>
      <c r="K1388" s="561"/>
      <c r="L1388" s="566"/>
    </row>
    <row r="1389" spans="1:12">
      <c r="A1389" s="101"/>
      <c r="B1389" s="72" t="s">
        <v>109</v>
      </c>
      <c r="C1389" s="561" t="str">
        <f ca="1">IF(C1383="Número",TEXT(OFFSET('Bateria indicadores proceso'!$Q$3,(RIGHT(A1378,3)),1),"######"),TEXT(OFFSET('Bateria indicadores proceso'!$Q$3,(RIGHT(A1378,3)),1),"0.0%"))</f>
        <v>No aplica</v>
      </c>
      <c r="D1389" s="561"/>
      <c r="E1389" s="561"/>
      <c r="F1389" s="561"/>
      <c r="G1389" s="561"/>
      <c r="H1389" s="561"/>
      <c r="I1389" s="561"/>
      <c r="J1389" s="561"/>
      <c r="K1389" s="561"/>
      <c r="L1389" s="566"/>
    </row>
    <row r="1390" spans="1:12">
      <c r="A1390" s="101"/>
      <c r="B1390" s="72" t="s">
        <v>110</v>
      </c>
      <c r="C1390" s="593" t="str">
        <f ca="1">+OFFSET('Bateria indicadores proceso'!$R$3,(RIGHT(A1378,3)),1)</f>
        <v>No aplica</v>
      </c>
      <c r="D1390" s="593"/>
      <c r="E1390" s="593"/>
      <c r="F1390" s="593"/>
      <c r="G1390" s="593"/>
      <c r="H1390" s="593"/>
      <c r="I1390" s="593"/>
      <c r="J1390" s="593"/>
      <c r="K1390" s="593"/>
      <c r="L1390" s="594"/>
    </row>
    <row r="1391" spans="1:12">
      <c r="A1391" s="101"/>
      <c r="B1391" s="72" t="s">
        <v>111</v>
      </c>
      <c r="C1391" s="561" t="str">
        <f ca="1">OFFSET('Bateria indicadores proceso'!$M$3,(RIGHT(A1378,3)),1)</f>
        <v>Mantener</v>
      </c>
      <c r="D1391" s="561"/>
      <c r="E1391" s="561"/>
      <c r="F1391" s="561"/>
      <c r="G1391" s="561"/>
      <c r="H1391" s="561"/>
      <c r="I1391" s="561"/>
      <c r="J1391" s="561"/>
      <c r="K1391" s="561"/>
      <c r="L1391" s="566"/>
    </row>
    <row r="1392" spans="1:12">
      <c r="A1392" s="101"/>
      <c r="B1392" s="72" t="s">
        <v>112</v>
      </c>
      <c r="C1392" s="561" t="str">
        <f ca="1">OFFSET('Bateria indicadores proceso'!$N$3,(RIGHT(A1378,3)),1)</f>
        <v>Stock</v>
      </c>
      <c r="D1392" s="561"/>
      <c r="E1392" s="561"/>
      <c r="F1392" s="561"/>
      <c r="G1392" s="561"/>
      <c r="H1392" s="561"/>
      <c r="I1392" s="561"/>
      <c r="J1392" s="561"/>
      <c r="K1392" s="561"/>
      <c r="L1392" s="566"/>
    </row>
    <row r="1393" spans="1:12">
      <c r="A1393" s="101"/>
      <c r="B1393" s="72" t="s">
        <v>113</v>
      </c>
      <c r="C1393" s="561" t="str">
        <f ca="1">IF(C1383="Número",TEXT(OFFSET('Bateria indicadores proceso'!$W$3,(RIGHT(A1378,3)),1),"######"),TEXT(OFFSET('Bateria indicadores proceso'!$W$3,(RIGHT(A1378,3)),1),"0.0%"))</f>
        <v>12</v>
      </c>
      <c r="D1393" s="561"/>
      <c r="E1393" s="561"/>
      <c r="F1393" s="561"/>
      <c r="G1393" s="561"/>
      <c r="H1393" s="561"/>
      <c r="I1393" s="561"/>
      <c r="J1393" s="561"/>
      <c r="K1393" s="561"/>
      <c r="L1393" s="566"/>
    </row>
    <row r="1394" spans="1:12">
      <c r="A1394" s="101"/>
      <c r="B1394" s="595" t="s">
        <v>114</v>
      </c>
      <c r="C1394" s="70" t="s">
        <v>115</v>
      </c>
      <c r="D1394" s="70" t="s">
        <v>116</v>
      </c>
      <c r="E1394" s="70" t="s">
        <v>117</v>
      </c>
      <c r="F1394" s="70" t="s">
        <v>118</v>
      </c>
      <c r="J1394" s="75"/>
      <c r="K1394" s="75"/>
      <c r="L1394" s="76"/>
    </row>
    <row r="1395" spans="1:12">
      <c r="A1395" s="101"/>
      <c r="B1395" s="595"/>
      <c r="C1395" s="70" t="str">
        <f ca="1">IF(C1383="Número",TEXT(OFFSET('Bateria indicadores proceso'!$S$3,(RIGHT(A1378,3)),1),"######"),TEXT(OFFSET('Bateria indicadores proceso'!$S$3,(RIGHT(A1378,3)),1),"0.0%"))</f>
        <v>2</v>
      </c>
      <c r="D1395" s="70" t="str">
        <f ca="1">IF(C1383="Número",TEXT(OFFSET('Bateria indicadores proceso'!$T$3,(RIGHT(A1378,3)),1),"######"),TEXT(OFFSET('Bateria indicadores proceso'!$T$3,(RIGHT(A1378,3)),1),"0.0%"))</f>
        <v>4</v>
      </c>
      <c r="E1395" s="70" t="str">
        <f ca="1">IF(C1383="Número",TEXT(OFFSET('Bateria indicadores proceso'!$U$3,(RIGHT(A1378,3)),1),"######"),TEXT(OFFSET('Bateria indicadores proceso'!$U$3,(RIGHT(A1378,3)),1),"0.0%"))</f>
        <v>3</v>
      </c>
      <c r="F1395" s="70" t="str">
        <f ca="1">IF(C1383="Número",TEXT(OFFSET('Bateria indicadores proceso'!$V$3,(RIGHT(A1378,3)),1),"######"),TEXT(OFFSET('Bateria indicadores proceso'!$V$3,(RIGHT(A1378,3)),1),"0.0%"))</f>
        <v>3</v>
      </c>
      <c r="J1395" s="77"/>
      <c r="K1395" s="77"/>
      <c r="L1395" s="78"/>
    </row>
    <row r="1396" spans="1:12">
      <c r="A1396" s="101"/>
      <c r="B1396" s="600" t="s">
        <v>119</v>
      </c>
      <c r="C1396" s="567" t="s">
        <v>120</v>
      </c>
      <c r="D1396" s="568"/>
      <c r="E1396" s="567" t="s">
        <v>121</v>
      </c>
      <c r="F1396" s="568"/>
      <c r="G1396" s="567" t="s">
        <v>122</v>
      </c>
      <c r="H1396" s="568"/>
      <c r="I1396" s="567" t="s">
        <v>123</v>
      </c>
      <c r="J1396" s="568"/>
      <c r="K1396" s="567" t="s">
        <v>124</v>
      </c>
      <c r="L1396" s="569"/>
    </row>
    <row r="1397" spans="1:12">
      <c r="A1397" s="101"/>
      <c r="B1397" s="601"/>
      <c r="C1397" s="570" t="s">
        <v>125</v>
      </c>
      <c r="D1397" s="571"/>
      <c r="E1397" s="577" t="s">
        <v>126</v>
      </c>
      <c r="F1397" s="578"/>
      <c r="G1397" s="579" t="s">
        <v>127</v>
      </c>
      <c r="H1397" s="580"/>
      <c r="I1397" s="581" t="s">
        <v>128</v>
      </c>
      <c r="J1397" s="582"/>
      <c r="K1397" s="583" t="s">
        <v>129</v>
      </c>
      <c r="L1397" s="584"/>
    </row>
    <row r="1398" spans="1:12">
      <c r="A1398" s="101"/>
      <c r="B1398" s="602"/>
      <c r="C1398" s="567" t="s">
        <v>130</v>
      </c>
      <c r="D1398" s="568"/>
      <c r="E1398" s="567" t="s">
        <v>131</v>
      </c>
      <c r="F1398" s="568"/>
      <c r="G1398" s="585" t="s">
        <v>132</v>
      </c>
      <c r="H1398" s="568"/>
      <c r="I1398" s="567" t="s">
        <v>133</v>
      </c>
      <c r="J1398" s="568"/>
      <c r="K1398" s="567" t="s">
        <v>134</v>
      </c>
      <c r="L1398" s="569"/>
    </row>
    <row r="1399" spans="1:12">
      <c r="A1399" s="101"/>
      <c r="B1399" s="72" t="s">
        <v>135</v>
      </c>
      <c r="C1399" s="559" t="str">
        <f ca="1">OFFSET('Bateria indicadores proceso'!$Y$3,(RIGHT(A1378,3)),1)</f>
        <v>Actas</v>
      </c>
      <c r="D1399" s="559"/>
      <c r="E1399" s="559"/>
      <c r="F1399" s="559"/>
      <c r="G1399" s="559"/>
      <c r="H1399" s="559"/>
      <c r="I1399" s="559"/>
      <c r="J1399" s="559"/>
      <c r="K1399" s="559"/>
      <c r="L1399" s="560"/>
    </row>
    <row r="1400" spans="1:12">
      <c r="A1400" s="101"/>
      <c r="B1400" s="591" t="s">
        <v>136</v>
      </c>
      <c r="C1400" s="561" t="s">
        <v>137</v>
      </c>
      <c r="D1400" s="561"/>
      <c r="E1400" s="561"/>
      <c r="F1400" s="562" t="str">
        <f ca="1">OFFSET('Bateria indicadores proceso'!$B$3,(RIGHT(A1378,3)),1)</f>
        <v>GESTIÓN PARA LA PROTECCIÓN DE LOS DERECHOS</v>
      </c>
      <c r="G1400" s="562"/>
      <c r="H1400" s="562"/>
      <c r="I1400" s="562"/>
      <c r="J1400" s="562"/>
      <c r="K1400" s="562"/>
      <c r="L1400" s="563"/>
    </row>
    <row r="1401" spans="1:12">
      <c r="A1401" s="101"/>
      <c r="B1401" s="592"/>
      <c r="C1401" s="561" t="s">
        <v>138</v>
      </c>
      <c r="D1401" s="561"/>
      <c r="E1401" s="561"/>
      <c r="F1401" s="564">
        <f ca="1">OFFSET('Bateria indicadores proceso'!$C$3,(RIGHT(A1378,3)),1)</f>
        <v>0.06</v>
      </c>
      <c r="G1401" s="564"/>
      <c r="H1401" s="564"/>
      <c r="I1401" s="564"/>
      <c r="J1401" s="564"/>
      <c r="K1401" s="564"/>
      <c r="L1401" s="565"/>
    </row>
    <row r="1402" spans="1:12" ht="15.75" thickBot="1">
      <c r="A1402" s="101"/>
      <c r="B1402" s="592"/>
      <c r="C1402" s="561" t="s">
        <v>139</v>
      </c>
      <c r="D1402" s="561"/>
      <c r="E1402" s="561"/>
      <c r="F1402" s="564">
        <f ca="1">OFFSET('Bateria indicadores proceso'!$E$3,(RIGHT(A1378,3)),1)</f>
        <v>0.06</v>
      </c>
      <c r="G1402" s="564"/>
      <c r="H1402" s="564"/>
      <c r="I1402" s="564"/>
      <c r="J1402" s="564"/>
      <c r="K1402" s="564"/>
      <c r="L1402" s="565"/>
    </row>
    <row r="1403" spans="1:12" ht="16.5" thickBot="1">
      <c r="A1403" s="101"/>
      <c r="B1403" s="572" t="s">
        <v>140</v>
      </c>
      <c r="C1403" s="573"/>
      <c r="D1403" s="573"/>
      <c r="E1403" s="573"/>
      <c r="F1403" s="573"/>
      <c r="G1403" s="573"/>
      <c r="H1403" s="573"/>
      <c r="I1403" s="573"/>
      <c r="J1403" s="573"/>
      <c r="K1403" s="573"/>
      <c r="L1403" s="574"/>
    </row>
    <row r="1404" spans="1:12">
      <c r="A1404" s="101"/>
      <c r="B1404" s="72" t="s">
        <v>142</v>
      </c>
      <c r="C1404" s="561" t="str">
        <f ca="1">OFFSET('Bateria indicadores proceso'!$G$3,(RIGHT(A1378,3)),1)</f>
        <v>Coordinador</v>
      </c>
      <c r="D1404" s="561"/>
      <c r="E1404" s="561"/>
      <c r="F1404" s="561"/>
      <c r="G1404" s="561"/>
      <c r="H1404" s="561"/>
      <c r="I1404" s="561"/>
      <c r="J1404" s="561"/>
      <c r="K1404" s="561"/>
      <c r="L1404" s="566"/>
    </row>
    <row r="1405" spans="1:12">
      <c r="A1405" s="101"/>
      <c r="B1405" s="72" t="s">
        <v>143</v>
      </c>
      <c r="C1405" s="561" t="str">
        <f ca="1">OFFSET('Bateria indicadores proceso'!$F$3,(RIGHT(A1378,3)),1)</f>
        <v>Grupo Enfoque de Género y Diversidad del Ministerio Interior</v>
      </c>
      <c r="D1405" s="561"/>
      <c r="E1405" s="561"/>
      <c r="F1405" s="561"/>
      <c r="G1405" s="561"/>
      <c r="H1405" s="561"/>
      <c r="I1405" s="561"/>
      <c r="J1405" s="561"/>
      <c r="K1405" s="561"/>
      <c r="L1405" s="566"/>
    </row>
    <row r="1406" spans="1:12">
      <c r="A1406" s="101"/>
      <c r="B1406" s="72" t="s">
        <v>144</v>
      </c>
      <c r="C1406" s="598" t="str">
        <f ca="1">OFFSET('Bateria indicadores proceso'!$H$3,(RIGHT(A1378,3)),1)</f>
        <v>dickson.gomez@mininterior.gov.co</v>
      </c>
      <c r="D1406" s="598"/>
      <c r="E1406" s="598"/>
      <c r="F1406" s="598"/>
      <c r="G1406" s="598"/>
      <c r="H1406" s="598"/>
      <c r="I1406" s="598"/>
      <c r="J1406" s="598"/>
      <c r="K1406" s="598"/>
      <c r="L1406" s="599"/>
    </row>
    <row r="1407" spans="1:12" ht="15.75" thickBot="1">
      <c r="A1407" s="104"/>
      <c r="B1407" s="74" t="s">
        <v>145</v>
      </c>
      <c r="C1407" s="596" t="s">
        <v>146</v>
      </c>
      <c r="D1407" s="596"/>
      <c r="E1407" s="596"/>
      <c r="F1407" s="596"/>
      <c r="G1407" s="596"/>
      <c r="H1407" s="596"/>
      <c r="I1407" s="596"/>
      <c r="J1407" s="596"/>
      <c r="K1407" s="596"/>
      <c r="L1407" s="597"/>
    </row>
    <row r="1408" spans="1:12" ht="15.75" thickBot="1"/>
    <row r="1409" spans="1:12" ht="21.75" thickBot="1">
      <c r="A1409" s="586" t="s">
        <v>89</v>
      </c>
      <c r="B1409" s="587"/>
      <c r="C1409" s="587"/>
      <c r="D1409" s="587"/>
      <c r="E1409" s="587"/>
      <c r="F1409" s="587"/>
      <c r="G1409" s="587"/>
      <c r="H1409" s="587"/>
      <c r="I1409" s="587"/>
      <c r="J1409" s="587"/>
      <c r="K1409" s="587"/>
      <c r="L1409" s="588"/>
    </row>
    <row r="1410" spans="1:12" ht="32.25" thickBot="1">
      <c r="A1410" s="69" t="s">
        <v>90</v>
      </c>
      <c r="B1410" s="589" t="s">
        <v>91</v>
      </c>
      <c r="C1410" s="589"/>
      <c r="D1410" s="589"/>
      <c r="E1410" s="589"/>
      <c r="F1410" s="589"/>
      <c r="G1410" s="589"/>
      <c r="H1410" s="589"/>
      <c r="I1410" s="589"/>
      <c r="J1410" s="589"/>
      <c r="K1410" s="589"/>
      <c r="L1410" s="589"/>
    </row>
    <row r="1411" spans="1:12" ht="16.5" thickBot="1">
      <c r="A1411" s="100"/>
      <c r="B1411" s="71" t="s">
        <v>92</v>
      </c>
      <c r="C1411" s="575" t="s">
        <v>93</v>
      </c>
      <c r="D1411" s="575"/>
      <c r="E1411" s="575"/>
      <c r="F1411" s="575"/>
      <c r="G1411" s="575"/>
      <c r="H1411" s="575"/>
      <c r="I1411" s="575"/>
      <c r="J1411" s="575"/>
      <c r="K1411" s="575"/>
      <c r="L1411" s="576"/>
    </row>
    <row r="1412" spans="1:12" ht="16.5" thickBot="1">
      <c r="A1412" s="101"/>
      <c r="B1412" s="589" t="s">
        <v>94</v>
      </c>
      <c r="C1412" s="590"/>
      <c r="D1412" s="590"/>
      <c r="E1412" s="590"/>
      <c r="F1412" s="590"/>
      <c r="G1412" s="590"/>
      <c r="H1412" s="590"/>
      <c r="I1412" s="590"/>
      <c r="J1412" s="590"/>
      <c r="K1412" s="590"/>
      <c r="L1412" s="590"/>
    </row>
    <row r="1413" spans="1:12">
      <c r="A1413" s="101"/>
      <c r="B1413" s="71" t="s">
        <v>95</v>
      </c>
      <c r="C1413" s="559" t="s">
        <v>96</v>
      </c>
      <c r="D1413" s="559"/>
      <c r="E1413" s="559"/>
      <c r="F1413" s="559"/>
      <c r="G1413" s="559"/>
      <c r="H1413" s="559"/>
      <c r="I1413" s="559"/>
      <c r="J1413" s="559"/>
      <c r="K1413" s="559"/>
      <c r="L1413" s="560"/>
    </row>
    <row r="1414" spans="1:12">
      <c r="A1414" s="102" t="s">
        <v>185</v>
      </c>
      <c r="B1414" s="72" t="s">
        <v>98</v>
      </c>
      <c r="C1414" s="559" t="str">
        <f ca="1">OFFSET('Bateria indicadores proceso'!$F$3,(RIGHT(A1414,3)),1)</f>
        <v>Dirección de Seguridad, Convivencia Ciudadana y Gobierno</v>
      </c>
      <c r="D1414" s="559"/>
      <c r="E1414" s="559"/>
      <c r="F1414" s="559"/>
      <c r="G1414" s="559"/>
      <c r="H1414" s="559"/>
      <c r="I1414" s="559"/>
      <c r="J1414" s="559"/>
      <c r="K1414" s="559"/>
      <c r="L1414" s="560"/>
    </row>
    <row r="1415" spans="1:12">
      <c r="A1415" s="101"/>
      <c r="B1415" s="72" t="s">
        <v>99</v>
      </c>
      <c r="C1415" s="559" t="str">
        <f ca="1">OFFSET('Bateria indicadores proceso'!$K$3,(RIGHT(A1414,3)),1)</f>
        <v>Alertas tempranas atendidas por la CIPRAT de conformidad con el Decreto 2124 de 2017</v>
      </c>
      <c r="D1415" s="559"/>
      <c r="E1415" s="559"/>
      <c r="F1415" s="559"/>
      <c r="G1415" s="559"/>
      <c r="H1415" s="559"/>
      <c r="I1415" s="559"/>
      <c r="J1415" s="559"/>
      <c r="K1415" s="559"/>
      <c r="L1415" s="560"/>
    </row>
    <row r="1416" spans="1:12">
      <c r="A1416" s="101"/>
      <c r="B1416" s="72" t="s">
        <v>100</v>
      </c>
      <c r="C1416" s="559" t="str">
        <f ca="1">OFFSET('Bateria indicadores proceso'!$I$3,(RIGHT(A1414,3)),1)</f>
        <v>Eficacia</v>
      </c>
      <c r="D1416" s="559"/>
      <c r="E1416" s="559"/>
      <c r="F1416" s="559"/>
      <c r="G1416" s="559"/>
      <c r="H1416" s="559"/>
      <c r="I1416" s="559"/>
      <c r="J1416" s="559"/>
      <c r="K1416" s="559"/>
      <c r="L1416" s="560"/>
    </row>
    <row r="1417" spans="1:12" ht="15.75" thickBot="1">
      <c r="A1417" s="103"/>
      <c r="B1417" s="73" t="s">
        <v>101</v>
      </c>
      <c r="C1417" s="559" t="str">
        <f ca="1">OFFSET('Bateria indicadores proceso'!$J$3,(RIGHT(A1414,3)),1)</f>
        <v xml:space="preserve">Mide el porcentaje de atención y/o gestión a las alertas tempranas emitidas por la Defensoria del Pueblo por parte de la Secretaría Técnica de la Comisión Intersectorial para la Respuesta Rápida a las Alertas Tempranas -CIPRAT de la Dirección de Seguridad, Convivencia Ciudadana y Gobierno, en concordancia con las funciones descritas en el Decreto 2124 de 2017. Es importante medirlo, porque la CIPRAT debe dar atención dentro de los 10 dias habiles establecidos apenas se emite la Alerta Temprana, con el fin de que se articulen las entidades tanto del territorio Nacional como Territorial para formular acciones y/o estrategias que contribuyan a la prevencion, mitigacion  de los riesgos advertidos en los territorios. El indicador debe mantenerse en un 100% de cumplimiento de atención a las Alertas por la normatividad mencionada anteriormente y dado que también la vida y seguridad de la población. </v>
      </c>
      <c r="D1417" s="559"/>
      <c r="E1417" s="559"/>
      <c r="F1417" s="559"/>
      <c r="G1417" s="559"/>
      <c r="H1417" s="559"/>
      <c r="I1417" s="559"/>
      <c r="J1417" s="559"/>
      <c r="K1417" s="559"/>
      <c r="L1417" s="560"/>
    </row>
    <row r="1418" spans="1:12" ht="16.5" thickBot="1">
      <c r="A1418" s="103"/>
      <c r="B1418" s="572" t="s">
        <v>102</v>
      </c>
      <c r="C1418" s="573"/>
      <c r="D1418" s="573"/>
      <c r="E1418" s="573"/>
      <c r="F1418" s="573"/>
      <c r="G1418" s="573"/>
      <c r="H1418" s="573"/>
      <c r="I1418" s="573"/>
      <c r="J1418" s="573"/>
      <c r="K1418" s="573"/>
      <c r="L1418" s="574"/>
    </row>
    <row r="1419" spans="1:12">
      <c r="A1419" s="101"/>
      <c r="B1419" s="71" t="s">
        <v>103</v>
      </c>
      <c r="C1419" s="559" t="str">
        <f ca="1">OFFSET('Bateria indicadores proceso'!$O$3,(RIGHT(A1414,3)),1)</f>
        <v>Porcentaje</v>
      </c>
      <c r="D1419" s="559"/>
      <c r="E1419" s="559"/>
      <c r="F1419" s="559"/>
      <c r="G1419" s="559"/>
      <c r="H1419" s="559"/>
      <c r="I1419" s="559"/>
      <c r="J1419" s="559"/>
      <c r="K1419" s="559"/>
      <c r="L1419" s="560"/>
    </row>
    <row r="1420" spans="1:12" ht="24">
      <c r="A1420" s="101"/>
      <c r="B1420" s="72" t="s">
        <v>104</v>
      </c>
      <c r="C1420" s="559"/>
      <c r="D1420" s="559"/>
      <c r="E1420" s="559"/>
      <c r="F1420" s="559"/>
      <c r="G1420" s="559"/>
      <c r="H1420" s="559"/>
      <c r="I1420" s="559"/>
      <c r="J1420" s="559"/>
      <c r="K1420" s="559"/>
      <c r="L1420" s="560"/>
    </row>
    <row r="1421" spans="1:12">
      <c r="A1421" s="101"/>
      <c r="B1421" s="72" t="s">
        <v>105</v>
      </c>
      <c r="C1421" s="559" t="str">
        <f ca="1">OFFSET('Bateria indicadores proceso'!$L$3,(RIGHT(A1414,3)),1)</f>
        <v xml:space="preserve">(Número de sesiones de articulación para la atención de alertas tempranas / No de alertas tempranas emitidas por la Defensoria del Pueblo)* 100%									</v>
      </c>
      <c r="D1421" s="559"/>
      <c r="E1421" s="559"/>
      <c r="F1421" s="559"/>
      <c r="G1421" s="559"/>
      <c r="H1421" s="559"/>
      <c r="I1421" s="559"/>
      <c r="J1421" s="559"/>
      <c r="K1421" s="559"/>
      <c r="L1421" s="560"/>
    </row>
    <row r="1422" spans="1:12">
      <c r="A1422" s="101"/>
      <c r="B1422" s="72" t="s">
        <v>106</v>
      </c>
      <c r="C1422" s="559" t="str">
        <f ca="1">OFFSET('Bateria indicadores proceso'!$Z$3,(RIGHT(A1414,3)),1)</f>
        <v>Trimestral</v>
      </c>
      <c r="D1422" s="559"/>
      <c r="E1422" s="559"/>
      <c r="F1422" s="559"/>
      <c r="G1422" s="559"/>
      <c r="H1422" s="559"/>
      <c r="I1422" s="559"/>
      <c r="J1422" s="559"/>
      <c r="K1422" s="559"/>
      <c r="L1422" s="560"/>
    </row>
    <row r="1423" spans="1:12">
      <c r="A1423" s="101"/>
      <c r="B1423" s="72" t="s">
        <v>107</v>
      </c>
      <c r="C1423" s="559" t="str">
        <f ca="1">OFFSET('Bateria indicadores proceso'!$X$3,(RIGHT(A1414,3)),1)</f>
        <v>Actas de sesiones de seguimiento a las alertas tempranas y  Sistema de Información de seguimiento a la CIPRAT</v>
      </c>
      <c r="D1423" s="559"/>
      <c r="E1423" s="559"/>
      <c r="F1423" s="559"/>
      <c r="G1423" s="559"/>
      <c r="H1423" s="559"/>
      <c r="I1423" s="559"/>
      <c r="J1423" s="559"/>
      <c r="K1423" s="559"/>
      <c r="L1423" s="560"/>
    </row>
    <row r="1424" spans="1:12">
      <c r="A1424" s="101"/>
      <c r="B1424" s="72" t="s">
        <v>108</v>
      </c>
      <c r="C1424" s="561">
        <f ca="1">OFFSET('Bateria indicadores proceso'!$P$3,(RIGHT(A1414,3)),1)</f>
        <v>2023</v>
      </c>
      <c r="D1424" s="561"/>
      <c r="E1424" s="561"/>
      <c r="F1424" s="561"/>
      <c r="G1424" s="561"/>
      <c r="H1424" s="561"/>
      <c r="I1424" s="561"/>
      <c r="J1424" s="561"/>
      <c r="K1424" s="561"/>
      <c r="L1424" s="566"/>
    </row>
    <row r="1425" spans="1:12">
      <c r="A1425" s="101"/>
      <c r="B1425" s="72" t="s">
        <v>109</v>
      </c>
      <c r="C1425" s="561" t="str">
        <f ca="1">IF(C1419="Número",TEXT(OFFSET('Bateria indicadores proceso'!$Q$3,(RIGHT(A1414,3)),1),"######"),TEXT(OFFSET('Bateria indicadores proceso'!$Q$3,(RIGHT(A1414,3)),1),"0.0%"))</f>
        <v>100%</v>
      </c>
      <c r="D1425" s="561"/>
      <c r="E1425" s="561"/>
      <c r="F1425" s="561"/>
      <c r="G1425" s="561"/>
      <c r="H1425" s="561"/>
      <c r="I1425" s="561"/>
      <c r="J1425" s="561"/>
      <c r="K1425" s="561"/>
      <c r="L1425" s="566"/>
    </row>
    <row r="1426" spans="1:12">
      <c r="A1426" s="101"/>
      <c r="B1426" s="72" t="s">
        <v>110</v>
      </c>
      <c r="C1426" s="593" t="str">
        <f ca="1">+OFFSET('Bateria indicadores proceso'!$R$3,(RIGHT(A1414,3)),1)</f>
        <v>Diciembre de 2025</v>
      </c>
      <c r="D1426" s="593"/>
      <c r="E1426" s="593"/>
      <c r="F1426" s="593"/>
      <c r="G1426" s="593"/>
      <c r="H1426" s="593"/>
      <c r="I1426" s="593"/>
      <c r="J1426" s="593"/>
      <c r="K1426" s="593"/>
      <c r="L1426" s="594"/>
    </row>
    <row r="1427" spans="1:12">
      <c r="A1427" s="101"/>
      <c r="B1427" s="72" t="s">
        <v>111</v>
      </c>
      <c r="C1427" s="561" t="str">
        <f ca="1">OFFSET('Bateria indicadores proceso'!$M$3,(RIGHT(A1414,3)),1)</f>
        <v>Mantener</v>
      </c>
      <c r="D1427" s="561"/>
      <c r="E1427" s="561"/>
      <c r="F1427" s="561"/>
      <c r="G1427" s="561"/>
      <c r="H1427" s="561"/>
      <c r="I1427" s="561"/>
      <c r="J1427" s="561"/>
      <c r="K1427" s="561"/>
      <c r="L1427" s="566"/>
    </row>
    <row r="1428" spans="1:12">
      <c r="A1428" s="101"/>
      <c r="B1428" s="72" t="s">
        <v>112</v>
      </c>
      <c r="C1428" s="561" t="str">
        <f ca="1">OFFSET('Bateria indicadores proceso'!$N$3,(RIGHT(A1414,3)),1)</f>
        <v>Stock</v>
      </c>
      <c r="D1428" s="561"/>
      <c r="E1428" s="561"/>
      <c r="F1428" s="561"/>
      <c r="G1428" s="561"/>
      <c r="H1428" s="561"/>
      <c r="I1428" s="561"/>
      <c r="J1428" s="561"/>
      <c r="K1428" s="561"/>
      <c r="L1428" s="566"/>
    </row>
    <row r="1429" spans="1:12">
      <c r="A1429" s="101"/>
      <c r="B1429" s="72" t="s">
        <v>113</v>
      </c>
      <c r="C1429" s="561" t="str">
        <f ca="1">IF(C1419="Número",TEXT(OFFSET('Bateria indicadores proceso'!$W$3,(RIGHT(A1414,3)),1),"######"),TEXT(OFFSET('Bateria indicadores proceso'!$W$3,(RIGHT(A1414,3)),1),"0.0%"))</f>
        <v>100%</v>
      </c>
      <c r="D1429" s="561"/>
      <c r="E1429" s="561"/>
      <c r="F1429" s="561"/>
      <c r="G1429" s="561"/>
      <c r="H1429" s="561"/>
      <c r="I1429" s="561"/>
      <c r="J1429" s="561"/>
      <c r="K1429" s="561"/>
      <c r="L1429" s="566"/>
    </row>
    <row r="1430" spans="1:12">
      <c r="A1430" s="101"/>
      <c r="B1430" s="595" t="s">
        <v>114</v>
      </c>
      <c r="C1430" s="70" t="s">
        <v>115</v>
      </c>
      <c r="D1430" s="70" t="s">
        <v>116</v>
      </c>
      <c r="E1430" s="70" t="s">
        <v>117</v>
      </c>
      <c r="F1430" s="70" t="s">
        <v>118</v>
      </c>
      <c r="J1430" s="75"/>
      <c r="K1430" s="75"/>
      <c r="L1430" s="76"/>
    </row>
    <row r="1431" spans="1:12">
      <c r="A1431" s="101"/>
      <c r="B1431" s="595"/>
      <c r="C1431" s="70" t="str">
        <f ca="1">IF(C1419="Número",TEXT(OFFSET('Bateria indicadores proceso'!$S$3,(RIGHT(A1414,3)),1),"######"),TEXT(OFFSET('Bateria indicadores proceso'!$S$3,(RIGHT(A1414,3)),1),"0.0%"))</f>
        <v>100%</v>
      </c>
      <c r="D1431" s="70" t="str">
        <f ca="1">IF(C1419="Número",TEXT(OFFSET('Bateria indicadores proceso'!$T$3,(RIGHT(A1414,3)),1),"######"),TEXT(OFFSET('Bateria indicadores proceso'!$T$3,(RIGHT(A1414,3)),1),"0.0%"))</f>
        <v>100%</v>
      </c>
      <c r="E1431" s="70" t="str">
        <f ca="1">IF(C1419="Número",TEXT(OFFSET('Bateria indicadores proceso'!$U$3,(RIGHT(A1414,3)),1),"######"),TEXT(OFFSET('Bateria indicadores proceso'!$U$3,(RIGHT(A1414,3)),1),"0.0%"))</f>
        <v>100%</v>
      </c>
      <c r="F1431" s="70" t="str">
        <f ca="1">IF(C1419="Número",TEXT(OFFSET('Bateria indicadores proceso'!$V$3,(RIGHT(A1414,3)),1),"######"),TEXT(OFFSET('Bateria indicadores proceso'!$V$3,(RIGHT(A1414,3)),1),"0.0%"))</f>
        <v>100%</v>
      </c>
      <c r="J1431" s="77"/>
      <c r="K1431" s="77"/>
      <c r="L1431" s="78"/>
    </row>
    <row r="1432" spans="1:12">
      <c r="A1432" s="101"/>
      <c r="B1432" s="600" t="s">
        <v>119</v>
      </c>
      <c r="C1432" s="567" t="s">
        <v>120</v>
      </c>
      <c r="D1432" s="568"/>
      <c r="E1432" s="567" t="s">
        <v>121</v>
      </c>
      <c r="F1432" s="568"/>
      <c r="G1432" s="567" t="s">
        <v>122</v>
      </c>
      <c r="H1432" s="568"/>
      <c r="I1432" s="567" t="s">
        <v>123</v>
      </c>
      <c r="J1432" s="568"/>
      <c r="K1432" s="567" t="s">
        <v>124</v>
      </c>
      <c r="L1432" s="569"/>
    </row>
    <row r="1433" spans="1:12">
      <c r="A1433" s="101"/>
      <c r="B1433" s="601"/>
      <c r="C1433" s="570" t="s">
        <v>125</v>
      </c>
      <c r="D1433" s="571"/>
      <c r="E1433" s="577" t="s">
        <v>126</v>
      </c>
      <c r="F1433" s="578"/>
      <c r="G1433" s="579" t="s">
        <v>127</v>
      </c>
      <c r="H1433" s="580"/>
      <c r="I1433" s="581" t="s">
        <v>128</v>
      </c>
      <c r="J1433" s="582"/>
      <c r="K1433" s="583" t="s">
        <v>129</v>
      </c>
      <c r="L1433" s="584"/>
    </row>
    <row r="1434" spans="1:12">
      <c r="A1434" s="101"/>
      <c r="B1434" s="602"/>
      <c r="C1434" s="567" t="s">
        <v>130</v>
      </c>
      <c r="D1434" s="568"/>
      <c r="E1434" s="567" t="s">
        <v>131</v>
      </c>
      <c r="F1434" s="568"/>
      <c r="G1434" s="585" t="s">
        <v>132</v>
      </c>
      <c r="H1434" s="568"/>
      <c r="I1434" s="567" t="s">
        <v>133</v>
      </c>
      <c r="J1434" s="568"/>
      <c r="K1434" s="567" t="s">
        <v>134</v>
      </c>
      <c r="L1434" s="569"/>
    </row>
    <row r="1435" spans="1:12">
      <c r="A1435" s="101"/>
      <c r="B1435" s="72" t="s">
        <v>135</v>
      </c>
      <c r="C1435" s="559" t="str">
        <f ca="1">OFFSET('Bateria indicadores proceso'!$Y$3,(RIGHT(A1414,3)),1)</f>
        <v xml:space="preserve">Actas de seguimiento y/o listados de asistencia </v>
      </c>
      <c r="D1435" s="559"/>
      <c r="E1435" s="559"/>
      <c r="F1435" s="559"/>
      <c r="G1435" s="559"/>
      <c r="H1435" s="559"/>
      <c r="I1435" s="559"/>
      <c r="J1435" s="559"/>
      <c r="K1435" s="559"/>
      <c r="L1435" s="560"/>
    </row>
    <row r="1436" spans="1:12">
      <c r="A1436" s="101"/>
      <c r="B1436" s="591" t="s">
        <v>136</v>
      </c>
      <c r="C1436" s="561" t="s">
        <v>137</v>
      </c>
      <c r="D1436" s="561"/>
      <c r="E1436" s="561"/>
      <c r="F1436" s="562" t="str">
        <f ca="1">OFFSET('Bateria indicadores proceso'!$B$3,(RIGHT(A1414,3)),1)</f>
        <v>GESTIÓN PARA LA PROTECCIÓN DE LOS DERECHOS</v>
      </c>
      <c r="G1436" s="562"/>
      <c r="H1436" s="562"/>
      <c r="I1436" s="562"/>
      <c r="J1436" s="562"/>
      <c r="K1436" s="562"/>
      <c r="L1436" s="563"/>
    </row>
    <row r="1437" spans="1:12">
      <c r="A1437" s="101"/>
      <c r="B1437" s="592"/>
      <c r="C1437" s="561" t="s">
        <v>138</v>
      </c>
      <c r="D1437" s="561"/>
      <c r="E1437" s="561"/>
      <c r="F1437" s="564">
        <f ca="1">OFFSET('Bateria indicadores proceso'!$C$3,(RIGHT(A1414,3)),1)</f>
        <v>0.11</v>
      </c>
      <c r="G1437" s="564"/>
      <c r="H1437" s="564"/>
      <c r="I1437" s="564"/>
      <c r="J1437" s="564"/>
      <c r="K1437" s="564"/>
      <c r="L1437" s="565"/>
    </row>
    <row r="1438" spans="1:12" ht="15.75" thickBot="1">
      <c r="A1438" s="101"/>
      <c r="B1438" s="592"/>
      <c r="C1438" s="561" t="s">
        <v>139</v>
      </c>
      <c r="D1438" s="561"/>
      <c r="E1438" s="561"/>
      <c r="F1438" s="564">
        <f ca="1">OFFSET('Bateria indicadores proceso'!$E$3,(RIGHT(A1414,3)),1)</f>
        <v>0.04</v>
      </c>
      <c r="G1438" s="564"/>
      <c r="H1438" s="564"/>
      <c r="I1438" s="564"/>
      <c r="J1438" s="564"/>
      <c r="K1438" s="564"/>
      <c r="L1438" s="565"/>
    </row>
    <row r="1439" spans="1:12" ht="16.5" thickBot="1">
      <c r="A1439" s="101"/>
      <c r="B1439" s="572" t="s">
        <v>140</v>
      </c>
      <c r="C1439" s="573"/>
      <c r="D1439" s="573"/>
      <c r="E1439" s="573"/>
      <c r="F1439" s="573"/>
      <c r="G1439" s="573"/>
      <c r="H1439" s="573"/>
      <c r="I1439" s="573"/>
      <c r="J1439" s="573"/>
      <c r="K1439" s="573"/>
      <c r="L1439" s="574"/>
    </row>
    <row r="1440" spans="1:12">
      <c r="A1440" s="101"/>
      <c r="B1440" s="72" t="s">
        <v>142</v>
      </c>
      <c r="C1440" s="561" t="str">
        <f ca="1">OFFSET('Bateria indicadores proceso'!$G$3,(RIGHT(A1414,3)),1)</f>
        <v>Director</v>
      </c>
      <c r="D1440" s="561"/>
      <c r="E1440" s="561"/>
      <c r="F1440" s="561"/>
      <c r="G1440" s="561"/>
      <c r="H1440" s="561"/>
      <c r="I1440" s="561"/>
      <c r="J1440" s="561"/>
      <c r="K1440" s="561"/>
      <c r="L1440" s="566"/>
    </row>
    <row r="1441" spans="1:12">
      <c r="A1441" s="101"/>
      <c r="B1441" s="72" t="s">
        <v>143</v>
      </c>
      <c r="C1441" s="561" t="str">
        <f ca="1">OFFSET('Bateria indicadores proceso'!$F$3,(RIGHT(A1414,3)),1)</f>
        <v>Dirección de Seguridad, Convivencia Ciudadana y Gobierno</v>
      </c>
      <c r="D1441" s="561"/>
      <c r="E1441" s="561"/>
      <c r="F1441" s="561"/>
      <c r="G1441" s="561"/>
      <c r="H1441" s="561"/>
      <c r="I1441" s="561"/>
      <c r="J1441" s="561"/>
      <c r="K1441" s="561"/>
      <c r="L1441" s="566"/>
    </row>
    <row r="1442" spans="1:12">
      <c r="A1442" s="101"/>
      <c r="B1442" s="72" t="s">
        <v>144</v>
      </c>
      <c r="C1442" s="598" t="str">
        <f ca="1">OFFSET('Bateria indicadores proceso'!$H$3,(RIGHT(A1378,3)),1)</f>
        <v>dickson.gomez@mininterior.gov.co</v>
      </c>
      <c r="D1442" s="598"/>
      <c r="E1442" s="598"/>
      <c r="F1442" s="598"/>
      <c r="G1442" s="598"/>
      <c r="H1442" s="598"/>
      <c r="I1442" s="598"/>
      <c r="J1442" s="598"/>
      <c r="K1442" s="598"/>
      <c r="L1442" s="599"/>
    </row>
    <row r="1443" spans="1:12" ht="15.75" thickBot="1">
      <c r="A1443" s="104"/>
      <c r="B1443" s="74" t="s">
        <v>145</v>
      </c>
      <c r="C1443" s="596" t="s">
        <v>146</v>
      </c>
      <c r="D1443" s="596"/>
      <c r="E1443" s="596"/>
      <c r="F1443" s="596"/>
      <c r="G1443" s="596"/>
      <c r="H1443" s="596"/>
      <c r="I1443" s="596"/>
      <c r="J1443" s="596"/>
      <c r="K1443" s="596"/>
      <c r="L1443" s="597"/>
    </row>
    <row r="1444" spans="1:12" ht="15.75" thickBot="1"/>
    <row r="1445" spans="1:12" ht="21.75" thickBot="1">
      <c r="A1445" s="586" t="s">
        <v>89</v>
      </c>
      <c r="B1445" s="587"/>
      <c r="C1445" s="587"/>
      <c r="D1445" s="587"/>
      <c r="E1445" s="587"/>
      <c r="F1445" s="587"/>
      <c r="G1445" s="587"/>
      <c r="H1445" s="587"/>
      <c r="I1445" s="587"/>
      <c r="J1445" s="587"/>
      <c r="K1445" s="587"/>
      <c r="L1445" s="588"/>
    </row>
    <row r="1446" spans="1:12" ht="32.25" thickBot="1">
      <c r="A1446" s="69" t="s">
        <v>90</v>
      </c>
      <c r="B1446" s="589" t="s">
        <v>91</v>
      </c>
      <c r="C1446" s="589"/>
      <c r="D1446" s="589"/>
      <c r="E1446" s="589"/>
      <c r="F1446" s="589"/>
      <c r="G1446" s="589"/>
      <c r="H1446" s="589"/>
      <c r="I1446" s="589"/>
      <c r="J1446" s="589"/>
      <c r="K1446" s="589"/>
      <c r="L1446" s="589"/>
    </row>
    <row r="1447" spans="1:12" ht="16.5" thickBot="1">
      <c r="A1447" s="100"/>
      <c r="B1447" s="71" t="s">
        <v>92</v>
      </c>
      <c r="C1447" s="575" t="s">
        <v>93</v>
      </c>
      <c r="D1447" s="575"/>
      <c r="E1447" s="575"/>
      <c r="F1447" s="575"/>
      <c r="G1447" s="575"/>
      <c r="H1447" s="575"/>
      <c r="I1447" s="575"/>
      <c r="J1447" s="575"/>
      <c r="K1447" s="575"/>
      <c r="L1447" s="576"/>
    </row>
    <row r="1448" spans="1:12" ht="16.5" thickBot="1">
      <c r="A1448" s="101"/>
      <c r="B1448" s="589" t="s">
        <v>94</v>
      </c>
      <c r="C1448" s="590"/>
      <c r="D1448" s="590"/>
      <c r="E1448" s="590"/>
      <c r="F1448" s="590"/>
      <c r="G1448" s="590"/>
      <c r="H1448" s="590"/>
      <c r="I1448" s="590"/>
      <c r="J1448" s="590"/>
      <c r="K1448" s="590"/>
      <c r="L1448" s="590"/>
    </row>
    <row r="1449" spans="1:12">
      <c r="A1449" s="101"/>
      <c r="B1449" s="71" t="s">
        <v>95</v>
      </c>
      <c r="C1449" s="559" t="s">
        <v>96</v>
      </c>
      <c r="D1449" s="559"/>
      <c r="E1449" s="559"/>
      <c r="F1449" s="559"/>
      <c r="G1449" s="559"/>
      <c r="H1449" s="559"/>
      <c r="I1449" s="559"/>
      <c r="J1449" s="559"/>
      <c r="K1449" s="559"/>
      <c r="L1449" s="560"/>
    </row>
    <row r="1450" spans="1:12">
      <c r="A1450" s="102" t="s">
        <v>186</v>
      </c>
      <c r="B1450" s="72" t="s">
        <v>98</v>
      </c>
      <c r="C1450" s="559" t="str">
        <f ca="1">OFFSET('Bateria indicadores proceso'!$F$3,(RIGHT(A1450,3)),1)</f>
        <v>Dirección de Seguridad, Convivencia Ciudadana y Gobierno</v>
      </c>
      <c r="D1450" s="559"/>
      <c r="E1450" s="559"/>
      <c r="F1450" s="559"/>
      <c r="G1450" s="559"/>
      <c r="H1450" s="559"/>
      <c r="I1450" s="559"/>
      <c r="J1450" s="559"/>
      <c r="K1450" s="559"/>
      <c r="L1450" s="560"/>
    </row>
    <row r="1451" spans="1:12">
      <c r="A1451" s="101"/>
      <c r="B1451" s="72" t="s">
        <v>99</v>
      </c>
      <c r="C1451" s="559" t="str">
        <f ca="1">OFFSET('Bateria indicadores proceso'!$K$3,(RIGHT(A1450,3)),1)</f>
        <v>Asistencias técnicas realizadas a entidades territoriales para fortalecer la gestión territorial de la convivencia y seguridad ciudadana</v>
      </c>
      <c r="D1451" s="559"/>
      <c r="E1451" s="559"/>
      <c r="F1451" s="559"/>
      <c r="G1451" s="559"/>
      <c r="H1451" s="559"/>
      <c r="I1451" s="559"/>
      <c r="J1451" s="559"/>
      <c r="K1451" s="559"/>
      <c r="L1451" s="560"/>
    </row>
    <row r="1452" spans="1:12">
      <c r="A1452" s="101"/>
      <c r="B1452" s="72" t="s">
        <v>100</v>
      </c>
      <c r="C1452" s="559" t="str">
        <f ca="1">OFFSET('Bateria indicadores proceso'!$I$3,(RIGHT(A1450,3)),1)</f>
        <v>Eficacia</v>
      </c>
      <c r="D1452" s="559"/>
      <c r="E1452" s="559"/>
      <c r="F1452" s="559"/>
      <c r="G1452" s="559"/>
      <c r="H1452" s="559"/>
      <c r="I1452" s="559"/>
      <c r="J1452" s="559"/>
      <c r="K1452" s="559"/>
      <c r="L1452" s="560"/>
    </row>
    <row r="1453" spans="1:12" ht="15.75" thickBot="1">
      <c r="A1453" s="103"/>
      <c r="B1453" s="73" t="s">
        <v>101</v>
      </c>
      <c r="C1453" s="559" t="str">
        <f ca="1">OFFSET('Bateria indicadores proceso'!$J$3,(RIGHT(A1450,3)),1)</f>
        <v xml:space="preserve">Mide el número de entidades territoriales asistidas en temas relacionados con la gestión territorial de la convivencia y seguridad ciudadana (Planes integrales de Seguridad y Convivencia Ciudadana, administración de Fondos de Seguridad Territorial, Socialización de politica pública de seguridad y convivencia, Socialización del Código Nacional de Convivencia Ciudadana), dado que misionalmente la Dirección de Seguridad, Convivencia Ciudadana y Gobierno tiene la competencia de asistir técnicamente a las entidades territoriales,  dada la importancia de  fortalecer los territorios en los temas relacionados con la seguridad y convivencia ciudadana.Para este indicador se programa una meta, pero también se atiende bajo demanda de las entidades territoriales y/o entidades del orden Nacional que las soliciten. La orientación de este indicador es aumentar el número de entidades territoriales asistidas durante la vigencia. 													</v>
      </c>
      <c r="D1453" s="559"/>
      <c r="E1453" s="559"/>
      <c r="F1453" s="559"/>
      <c r="G1453" s="559"/>
      <c r="H1453" s="559"/>
      <c r="I1453" s="559"/>
      <c r="J1453" s="559"/>
      <c r="K1453" s="559"/>
      <c r="L1453" s="560"/>
    </row>
    <row r="1454" spans="1:12" ht="16.5" thickBot="1">
      <c r="A1454" s="103"/>
      <c r="B1454" s="572" t="s">
        <v>102</v>
      </c>
      <c r="C1454" s="573"/>
      <c r="D1454" s="573"/>
      <c r="E1454" s="573"/>
      <c r="F1454" s="573"/>
      <c r="G1454" s="573"/>
      <c r="H1454" s="573"/>
      <c r="I1454" s="573"/>
      <c r="J1454" s="573"/>
      <c r="K1454" s="573"/>
      <c r="L1454" s="574"/>
    </row>
    <row r="1455" spans="1:12">
      <c r="A1455" s="101"/>
      <c r="B1455" s="71" t="s">
        <v>103</v>
      </c>
      <c r="C1455" s="559" t="str">
        <f ca="1">OFFSET('Bateria indicadores proceso'!$O$3,(RIGHT(A1450,3)),1)</f>
        <v>Número</v>
      </c>
      <c r="D1455" s="559"/>
      <c r="E1455" s="559"/>
      <c r="F1455" s="559"/>
      <c r="G1455" s="559"/>
      <c r="H1455" s="559"/>
      <c r="I1455" s="559"/>
      <c r="J1455" s="559"/>
      <c r="K1455" s="559"/>
      <c r="L1455" s="560"/>
    </row>
    <row r="1456" spans="1:12" ht="24">
      <c r="A1456" s="101"/>
      <c r="B1456" s="72" t="s">
        <v>104</v>
      </c>
      <c r="C1456" s="559"/>
      <c r="D1456" s="559"/>
      <c r="E1456" s="559"/>
      <c r="F1456" s="559"/>
      <c r="G1456" s="559"/>
      <c r="H1456" s="559"/>
      <c r="I1456" s="559"/>
      <c r="J1456" s="559"/>
      <c r="K1456" s="559"/>
      <c r="L1456" s="560"/>
    </row>
    <row r="1457" spans="1:12">
      <c r="A1457" s="101"/>
      <c r="B1457" s="72" t="s">
        <v>105</v>
      </c>
      <c r="C1457" s="559" t="str">
        <f ca="1">OFFSET('Bateria indicadores proceso'!$L$3,(RIGHT(A1450,3)),1)</f>
        <v>Sumatoria del número de entidades territoriales asistidas en temáticas de gestión territorial.</v>
      </c>
      <c r="D1457" s="559"/>
      <c r="E1457" s="559"/>
      <c r="F1457" s="559"/>
      <c r="G1457" s="559"/>
      <c r="H1457" s="559"/>
      <c r="I1457" s="559"/>
      <c r="J1457" s="559"/>
      <c r="K1457" s="559"/>
      <c r="L1457" s="560"/>
    </row>
    <row r="1458" spans="1:12">
      <c r="A1458" s="101"/>
      <c r="B1458" s="72" t="s">
        <v>106</v>
      </c>
      <c r="C1458" s="559" t="str">
        <f ca="1">OFFSET('Bateria indicadores proceso'!$Z$3,(RIGHT(A1450,3)),1)</f>
        <v>Trimestral</v>
      </c>
      <c r="D1458" s="559"/>
      <c r="E1458" s="559"/>
      <c r="F1458" s="559"/>
      <c r="G1458" s="559"/>
      <c r="H1458" s="559"/>
      <c r="I1458" s="559"/>
      <c r="J1458" s="559"/>
      <c r="K1458" s="559"/>
      <c r="L1458" s="560"/>
    </row>
    <row r="1459" spans="1:12">
      <c r="A1459" s="101"/>
      <c r="B1459" s="72" t="s">
        <v>107</v>
      </c>
      <c r="C1459" s="559" t="str">
        <f ca="1">OFFSET('Bateria indicadores proceso'!$X$3,(RIGHT(A1450,3)),1)</f>
        <v>Actas y/o listados de asistencia generadas por el grupo de gestión territorial de la Dirección de Seguridad, Convivencia Ciudadana y Gobierno</v>
      </c>
      <c r="D1459" s="559"/>
      <c r="E1459" s="559"/>
      <c r="F1459" s="559"/>
      <c r="G1459" s="559"/>
      <c r="H1459" s="559"/>
      <c r="I1459" s="559"/>
      <c r="J1459" s="559"/>
      <c r="K1459" s="559"/>
      <c r="L1459" s="560"/>
    </row>
    <row r="1460" spans="1:12">
      <c r="A1460" s="101"/>
      <c r="B1460" s="72" t="s">
        <v>108</v>
      </c>
      <c r="C1460" s="561">
        <f ca="1">OFFSET('Bateria indicadores proceso'!$P$3,(RIGHT(A1450,3)),1)</f>
        <v>2025</v>
      </c>
      <c r="D1460" s="561"/>
      <c r="E1460" s="561"/>
      <c r="F1460" s="561"/>
      <c r="G1460" s="561"/>
      <c r="H1460" s="561"/>
      <c r="I1460" s="561"/>
      <c r="J1460" s="561"/>
      <c r="K1460" s="561"/>
      <c r="L1460" s="566"/>
    </row>
    <row r="1461" spans="1:12">
      <c r="A1461" s="101"/>
      <c r="B1461" s="72" t="s">
        <v>109</v>
      </c>
      <c r="C1461" s="561" t="str">
        <f ca="1">IF(C1455="Número",TEXT(OFFSET('Bateria indicadores proceso'!$Q$3,(RIGHT(A1450,3)),1),"######"),TEXT(OFFSET('Bateria indicadores proceso'!$Q$3,(RIGHT(A1450,3)),1),"0.0%"))</f>
        <v>403</v>
      </c>
      <c r="D1461" s="561"/>
      <c r="E1461" s="561"/>
      <c r="F1461" s="561"/>
      <c r="G1461" s="561"/>
      <c r="H1461" s="561"/>
      <c r="I1461" s="561"/>
      <c r="J1461" s="561"/>
      <c r="K1461" s="561"/>
      <c r="L1461" s="566"/>
    </row>
    <row r="1462" spans="1:12">
      <c r="A1462" s="101"/>
      <c r="B1462" s="72" t="s">
        <v>110</v>
      </c>
      <c r="C1462" s="593">
        <f ca="1">+OFFSET('Bateria indicadores proceso'!$R$3,(RIGHT(A1450,3)),1)</f>
        <v>45930</v>
      </c>
      <c r="D1462" s="593"/>
      <c r="E1462" s="593"/>
      <c r="F1462" s="593"/>
      <c r="G1462" s="593"/>
      <c r="H1462" s="593"/>
      <c r="I1462" s="593"/>
      <c r="J1462" s="593"/>
      <c r="K1462" s="593"/>
      <c r="L1462" s="594"/>
    </row>
    <row r="1463" spans="1:12">
      <c r="A1463" s="101"/>
      <c r="B1463" s="72" t="s">
        <v>111</v>
      </c>
      <c r="C1463" s="561" t="str">
        <f ca="1">OFFSET('Bateria indicadores proceso'!$M$3,(RIGHT(A1450,3)),1)</f>
        <v>Incrementar</v>
      </c>
      <c r="D1463" s="561"/>
      <c r="E1463" s="561"/>
      <c r="F1463" s="561"/>
      <c r="G1463" s="561"/>
      <c r="H1463" s="561"/>
      <c r="I1463" s="561"/>
      <c r="J1463" s="561"/>
      <c r="K1463" s="561"/>
      <c r="L1463" s="566"/>
    </row>
    <row r="1464" spans="1:12">
      <c r="A1464" s="101"/>
      <c r="B1464" s="72" t="s">
        <v>112</v>
      </c>
      <c r="C1464" s="561" t="str">
        <f ca="1">OFFSET('Bateria indicadores proceso'!$N$3,(RIGHT(A1450,3)),1)</f>
        <v>Acumulado</v>
      </c>
      <c r="D1464" s="561"/>
      <c r="E1464" s="561"/>
      <c r="F1464" s="561"/>
      <c r="G1464" s="561"/>
      <c r="H1464" s="561"/>
      <c r="I1464" s="561"/>
      <c r="J1464" s="561"/>
      <c r="K1464" s="561"/>
      <c r="L1464" s="566"/>
    </row>
    <row r="1465" spans="1:12">
      <c r="A1465" s="101"/>
      <c r="B1465" s="72" t="s">
        <v>113</v>
      </c>
      <c r="C1465" s="561" t="str">
        <f ca="1">IF(C1455="Número",TEXT(OFFSET('Bateria indicadores proceso'!$W$3,(RIGHT(A1450,3)),1),"######"),TEXT(OFFSET('Bateria indicadores proceso'!$W$3,(RIGHT(A1450,3)),1),"0.0%"))</f>
        <v>304</v>
      </c>
      <c r="D1465" s="561"/>
      <c r="E1465" s="561"/>
      <c r="F1465" s="561"/>
      <c r="G1465" s="561"/>
      <c r="H1465" s="561"/>
      <c r="I1465" s="561"/>
      <c r="J1465" s="561"/>
      <c r="K1465" s="561"/>
      <c r="L1465" s="566"/>
    </row>
    <row r="1466" spans="1:12">
      <c r="A1466" s="101"/>
      <c r="B1466" s="595" t="s">
        <v>114</v>
      </c>
      <c r="C1466" s="70" t="s">
        <v>115</v>
      </c>
      <c r="D1466" s="70" t="s">
        <v>116</v>
      </c>
      <c r="E1466" s="70" t="s">
        <v>117</v>
      </c>
      <c r="F1466" s="70" t="s">
        <v>118</v>
      </c>
      <c r="J1466" s="75"/>
      <c r="K1466" s="75"/>
      <c r="L1466" s="76"/>
    </row>
    <row r="1467" spans="1:12">
      <c r="A1467" s="101"/>
      <c r="B1467" s="595"/>
      <c r="C1467" s="70" t="str">
        <f ca="1">IF(C1455="Número",TEXT(OFFSET('Bateria indicadores proceso'!$S$3,(RIGHT(A1450,3)),1),"######"),TEXT(OFFSET('Bateria indicadores proceso'!$S$3,(RIGHT(A1450,3)),1),"0.0%"))</f>
        <v>50</v>
      </c>
      <c r="D1467" s="70" t="str">
        <f ca="1">IF(C1455="Número",TEXT(OFFSET('Bateria indicadores proceso'!$T$3,(RIGHT(A1450,3)),1),"######"),TEXT(OFFSET('Bateria indicadores proceso'!$T$3,(RIGHT(A1450,3)),1),"0.0%"))</f>
        <v>130</v>
      </c>
      <c r="E1467" s="70" t="str">
        <f ca="1">IF(C1455="Número",TEXT(OFFSET('Bateria indicadores proceso'!$U$3,(RIGHT(A1450,3)),1),"######"),TEXT(OFFSET('Bateria indicadores proceso'!$U$3,(RIGHT(A1450,3)),1),"0.0%"))</f>
        <v>94</v>
      </c>
      <c r="F1467" s="70" t="str">
        <f ca="1">IF(C1455="Número",TEXT(OFFSET('Bateria indicadores proceso'!$V$3,(RIGHT(A1450,3)),1),"######"),TEXT(OFFSET('Bateria indicadores proceso'!$V$3,(RIGHT(A1450,3)),1),"0.0%"))</f>
        <v>30</v>
      </c>
      <c r="J1467" s="77"/>
      <c r="K1467" s="77"/>
      <c r="L1467" s="78"/>
    </row>
    <row r="1468" spans="1:12">
      <c r="A1468" s="101"/>
      <c r="B1468" s="600" t="s">
        <v>119</v>
      </c>
      <c r="C1468" s="567" t="s">
        <v>120</v>
      </c>
      <c r="D1468" s="568"/>
      <c r="E1468" s="567" t="s">
        <v>121</v>
      </c>
      <c r="F1468" s="568"/>
      <c r="G1468" s="567" t="s">
        <v>122</v>
      </c>
      <c r="H1468" s="568"/>
      <c r="I1468" s="567" t="s">
        <v>123</v>
      </c>
      <c r="J1468" s="568"/>
      <c r="K1468" s="567" t="s">
        <v>124</v>
      </c>
      <c r="L1468" s="569"/>
    </row>
    <row r="1469" spans="1:12">
      <c r="A1469" s="101"/>
      <c r="B1469" s="601"/>
      <c r="C1469" s="570" t="s">
        <v>125</v>
      </c>
      <c r="D1469" s="571"/>
      <c r="E1469" s="577" t="s">
        <v>126</v>
      </c>
      <c r="F1469" s="578"/>
      <c r="G1469" s="579" t="s">
        <v>127</v>
      </c>
      <c r="H1469" s="580"/>
      <c r="I1469" s="581" t="s">
        <v>128</v>
      </c>
      <c r="J1469" s="582"/>
      <c r="K1469" s="583" t="s">
        <v>129</v>
      </c>
      <c r="L1469" s="584"/>
    </row>
    <row r="1470" spans="1:12">
      <c r="A1470" s="101"/>
      <c r="B1470" s="602"/>
      <c r="C1470" s="567" t="s">
        <v>130</v>
      </c>
      <c r="D1470" s="568"/>
      <c r="E1470" s="567" t="s">
        <v>131</v>
      </c>
      <c r="F1470" s="568"/>
      <c r="G1470" s="585" t="s">
        <v>132</v>
      </c>
      <c r="H1470" s="568"/>
      <c r="I1470" s="567" t="s">
        <v>133</v>
      </c>
      <c r="J1470" s="568"/>
      <c r="K1470" s="567" t="s">
        <v>134</v>
      </c>
      <c r="L1470" s="569"/>
    </row>
    <row r="1471" spans="1:12">
      <c r="A1471" s="101"/>
      <c r="B1471" s="72" t="s">
        <v>135</v>
      </c>
      <c r="C1471" s="559" t="str">
        <f ca="1">OFFSET('Bateria indicadores proceso'!$Y$3,(RIGHT(A1450,3)),1)</f>
        <v>Actas y/o listados de asistencia soporte de las asistencias técnicas.</v>
      </c>
      <c r="D1471" s="559"/>
      <c r="E1471" s="559"/>
      <c r="F1471" s="559"/>
      <c r="G1471" s="559"/>
      <c r="H1471" s="559"/>
      <c r="I1471" s="559"/>
      <c r="J1471" s="559"/>
      <c r="K1471" s="559"/>
      <c r="L1471" s="560"/>
    </row>
    <row r="1472" spans="1:12">
      <c r="A1472" s="101"/>
      <c r="B1472" s="591" t="s">
        <v>136</v>
      </c>
      <c r="C1472" s="561" t="s">
        <v>137</v>
      </c>
      <c r="D1472" s="561"/>
      <c r="E1472" s="561"/>
      <c r="F1472" s="562" t="str">
        <f ca="1">OFFSET('Bateria indicadores proceso'!$B$3,(RIGHT(A1450,3)),1)</f>
        <v>GESTIÓN PARA LA PROTECCIÓN DE LOS DERECHOS</v>
      </c>
      <c r="G1472" s="562"/>
      <c r="H1472" s="562"/>
      <c r="I1472" s="562"/>
      <c r="J1472" s="562"/>
      <c r="K1472" s="562"/>
      <c r="L1472" s="563"/>
    </row>
    <row r="1473" spans="1:12">
      <c r="A1473" s="101"/>
      <c r="B1473" s="592"/>
      <c r="C1473" s="561" t="s">
        <v>138</v>
      </c>
      <c r="D1473" s="561"/>
      <c r="E1473" s="561"/>
      <c r="F1473" s="564">
        <f ca="1">OFFSET('Bateria indicadores proceso'!$C$3,(RIGHT(A1450,3)),1)</f>
        <v>0.11</v>
      </c>
      <c r="G1473" s="564"/>
      <c r="H1473" s="564"/>
      <c r="I1473" s="564"/>
      <c r="J1473" s="564"/>
      <c r="K1473" s="564"/>
      <c r="L1473" s="565"/>
    </row>
    <row r="1474" spans="1:12" ht="15.75" thickBot="1">
      <c r="A1474" s="101"/>
      <c r="B1474" s="592"/>
      <c r="C1474" s="561" t="s">
        <v>139</v>
      </c>
      <c r="D1474" s="561"/>
      <c r="E1474" s="561"/>
      <c r="F1474" s="564">
        <f ca="1">OFFSET('Bateria indicadores proceso'!$E$3,(RIGHT(A1450,3)),1)</f>
        <v>0.04</v>
      </c>
      <c r="G1474" s="564"/>
      <c r="H1474" s="564"/>
      <c r="I1474" s="564"/>
      <c r="J1474" s="564"/>
      <c r="K1474" s="564"/>
      <c r="L1474" s="565"/>
    </row>
    <row r="1475" spans="1:12" ht="16.5" thickBot="1">
      <c r="A1475" s="101"/>
      <c r="B1475" s="572" t="s">
        <v>140</v>
      </c>
      <c r="C1475" s="573"/>
      <c r="D1475" s="573"/>
      <c r="E1475" s="573"/>
      <c r="F1475" s="573"/>
      <c r="G1475" s="573"/>
      <c r="H1475" s="573"/>
      <c r="I1475" s="573"/>
      <c r="J1475" s="573"/>
      <c r="K1475" s="573"/>
      <c r="L1475" s="574"/>
    </row>
    <row r="1476" spans="1:12">
      <c r="A1476" s="101"/>
      <c r="B1476" s="72" t="s">
        <v>142</v>
      </c>
      <c r="C1476" s="561" t="str">
        <f ca="1">OFFSET('Bateria indicadores proceso'!$G$3,(RIGHT(A1450,3)),1)</f>
        <v>Director</v>
      </c>
      <c r="D1476" s="561"/>
      <c r="E1476" s="561"/>
      <c r="F1476" s="561"/>
      <c r="G1476" s="561"/>
      <c r="H1476" s="561"/>
      <c r="I1476" s="561"/>
      <c r="J1476" s="561"/>
      <c r="K1476" s="561"/>
      <c r="L1476" s="566"/>
    </row>
    <row r="1477" spans="1:12">
      <c r="A1477" s="101"/>
      <c r="B1477" s="72" t="s">
        <v>143</v>
      </c>
      <c r="C1477" s="561" t="str">
        <f ca="1">OFFSET('Bateria indicadores proceso'!$F$3,(RIGHT(A1450,3)),1)</f>
        <v>Dirección de Seguridad, Convivencia Ciudadana y Gobierno</v>
      </c>
      <c r="D1477" s="561"/>
      <c r="E1477" s="561"/>
      <c r="F1477" s="561"/>
      <c r="G1477" s="561"/>
      <c r="H1477" s="561"/>
      <c r="I1477" s="561"/>
      <c r="J1477" s="561"/>
      <c r="K1477" s="561"/>
      <c r="L1477" s="566"/>
    </row>
    <row r="1478" spans="1:12">
      <c r="A1478" s="101"/>
      <c r="B1478" s="72" t="s">
        <v>144</v>
      </c>
      <c r="C1478" s="598" t="str">
        <f ca="1">OFFSET('Bateria indicadores proceso'!$H$3,(RIGHT(A1450,3)),1)</f>
        <v xml:space="preserve">tito.lovo@mininterior.gov.co									</v>
      </c>
      <c r="D1478" s="598"/>
      <c r="E1478" s="598"/>
      <c r="F1478" s="598"/>
      <c r="G1478" s="598"/>
      <c r="H1478" s="598"/>
      <c r="I1478" s="598"/>
      <c r="J1478" s="598"/>
      <c r="K1478" s="598"/>
      <c r="L1478" s="599"/>
    </row>
    <row r="1479" spans="1:12" ht="15.75" thickBot="1">
      <c r="A1479" s="104"/>
      <c r="B1479" s="74" t="s">
        <v>145</v>
      </c>
      <c r="C1479" s="596" t="s">
        <v>146</v>
      </c>
      <c r="D1479" s="596"/>
      <c r="E1479" s="596"/>
      <c r="F1479" s="596"/>
      <c r="G1479" s="596"/>
      <c r="H1479" s="596"/>
      <c r="I1479" s="596"/>
      <c r="J1479" s="596"/>
      <c r="K1479" s="596"/>
      <c r="L1479" s="597"/>
    </row>
    <row r="1480" spans="1:12" ht="15.75" thickBot="1"/>
    <row r="1481" spans="1:12" ht="21.75" thickBot="1">
      <c r="A1481" s="586" t="s">
        <v>89</v>
      </c>
      <c r="B1481" s="587"/>
      <c r="C1481" s="587"/>
      <c r="D1481" s="587"/>
      <c r="E1481" s="587"/>
      <c r="F1481" s="587"/>
      <c r="G1481" s="587"/>
      <c r="H1481" s="587"/>
      <c r="I1481" s="587"/>
      <c r="J1481" s="587"/>
      <c r="K1481" s="587"/>
      <c r="L1481" s="588"/>
    </row>
    <row r="1482" spans="1:12" ht="32.25" thickBot="1">
      <c r="A1482" s="69" t="s">
        <v>90</v>
      </c>
      <c r="B1482" s="589" t="s">
        <v>91</v>
      </c>
      <c r="C1482" s="589"/>
      <c r="D1482" s="589"/>
      <c r="E1482" s="589"/>
      <c r="F1482" s="589"/>
      <c r="G1482" s="589"/>
      <c r="H1482" s="589"/>
      <c r="I1482" s="589"/>
      <c r="J1482" s="589"/>
      <c r="K1482" s="589"/>
      <c r="L1482" s="589"/>
    </row>
    <row r="1483" spans="1:12" ht="16.5" thickBot="1">
      <c r="A1483" s="100"/>
      <c r="B1483" s="71" t="s">
        <v>92</v>
      </c>
      <c r="C1483" s="575" t="s">
        <v>93</v>
      </c>
      <c r="D1483" s="575"/>
      <c r="E1483" s="575"/>
      <c r="F1483" s="575"/>
      <c r="G1483" s="575"/>
      <c r="H1483" s="575"/>
      <c r="I1483" s="575"/>
      <c r="J1483" s="575"/>
      <c r="K1483" s="575"/>
      <c r="L1483" s="576"/>
    </row>
    <row r="1484" spans="1:12" ht="16.5" thickBot="1">
      <c r="A1484" s="101"/>
      <c r="B1484" s="589" t="s">
        <v>94</v>
      </c>
      <c r="C1484" s="590"/>
      <c r="D1484" s="590"/>
      <c r="E1484" s="590"/>
      <c r="F1484" s="590"/>
      <c r="G1484" s="590"/>
      <c r="H1484" s="590"/>
      <c r="I1484" s="590"/>
      <c r="J1484" s="590"/>
      <c r="K1484" s="590"/>
      <c r="L1484" s="590"/>
    </row>
    <row r="1485" spans="1:12">
      <c r="A1485" s="101"/>
      <c r="B1485" s="71" t="s">
        <v>95</v>
      </c>
      <c r="C1485" s="559" t="s">
        <v>96</v>
      </c>
      <c r="D1485" s="559"/>
      <c r="E1485" s="559"/>
      <c r="F1485" s="559"/>
      <c r="G1485" s="559"/>
      <c r="H1485" s="559"/>
      <c r="I1485" s="559"/>
      <c r="J1485" s="559"/>
      <c r="K1485" s="559"/>
      <c r="L1485" s="560"/>
    </row>
    <row r="1486" spans="1:12">
      <c r="A1486" s="102" t="s">
        <v>187</v>
      </c>
      <c r="B1486" s="72" t="s">
        <v>98</v>
      </c>
      <c r="C1486" s="559" t="str">
        <f ca="1">OFFSET('Bateria indicadores proceso'!$F$3,(RIGHT(A1486,3)),1)</f>
        <v>Dirección de Seguridad, Convivencia Ciudadana y Gobierno</v>
      </c>
      <c r="D1486" s="559"/>
      <c r="E1486" s="559"/>
      <c r="F1486" s="559"/>
      <c r="G1486" s="559"/>
      <c r="H1486" s="559"/>
      <c r="I1486" s="559"/>
      <c r="J1486" s="559"/>
      <c r="K1486" s="559"/>
      <c r="L1486" s="560"/>
    </row>
    <row r="1487" spans="1:12">
      <c r="A1487" s="101"/>
      <c r="B1487" s="72" t="s">
        <v>99</v>
      </c>
      <c r="C1487" s="559" t="str">
        <f ca="1">OFFSET('Bateria indicadores proceso'!$K$3,(RIGHT(A1486,3)),1)</f>
        <v>Talleres técnicos realizados para el fortalecimiento de las capacidades de las entidades territoriales para la mitigación de riesgos en materia de DDHH, convivencia y seguridad</v>
      </c>
      <c r="D1487" s="559"/>
      <c r="E1487" s="559"/>
      <c r="F1487" s="559"/>
      <c r="G1487" s="559"/>
      <c r="H1487" s="559"/>
      <c r="I1487" s="559"/>
      <c r="J1487" s="559"/>
      <c r="K1487" s="559"/>
      <c r="L1487" s="560"/>
    </row>
    <row r="1488" spans="1:12">
      <c r="A1488" s="101"/>
      <c r="B1488" s="72" t="s">
        <v>100</v>
      </c>
      <c r="C1488" s="559" t="str">
        <f ca="1">OFFSET('Bateria indicadores proceso'!$I$3,(RIGHT(A1486,3)),1)</f>
        <v>Eficacia</v>
      </c>
      <c r="D1488" s="559"/>
      <c r="E1488" s="559"/>
      <c r="F1488" s="559"/>
      <c r="G1488" s="559"/>
      <c r="H1488" s="559"/>
      <c r="I1488" s="559"/>
      <c r="J1488" s="559"/>
      <c r="K1488" s="559"/>
      <c r="L1488" s="560"/>
    </row>
    <row r="1489" spans="1:12" ht="15.75" thickBot="1">
      <c r="A1489" s="103"/>
      <c r="B1489" s="73" t="s">
        <v>101</v>
      </c>
      <c r="C1489" s="559" t="str">
        <f ca="1">OFFSET('Bateria indicadores proceso'!$J$3,(RIGHT(A1486,3)),1)</f>
        <v>Mide el número de talleres técnicos realizados para el fortalecimiento de las capacidades de las entidades territoriales y la formulación de planes de acción asociados a la mitigación de riesgos en materia de DDHH, afectaciones de la convivencia y seguridad; es importante medirlo para mostrar la gestión realizada en los diferentes territorios complementando el ejercicio que se realiza desde la CIPRAT en la atención de alertas tempranas. Se busca hacer un seguimiento a las estrategias que se aplican en los territorios para la mitigación de riesgos y poder brindar un acompañamiento a las entidades territoriales. El objetivo del indicador es aumentar el número de talleres técnicos realizados para la mitigación de riesgso en los territorios.</v>
      </c>
      <c r="D1489" s="559"/>
      <c r="E1489" s="559"/>
      <c r="F1489" s="559"/>
      <c r="G1489" s="559"/>
      <c r="H1489" s="559"/>
      <c r="I1489" s="559"/>
      <c r="J1489" s="559"/>
      <c r="K1489" s="559"/>
      <c r="L1489" s="560"/>
    </row>
    <row r="1490" spans="1:12" ht="16.5" thickBot="1">
      <c r="A1490" s="103"/>
      <c r="B1490" s="572" t="s">
        <v>102</v>
      </c>
      <c r="C1490" s="573"/>
      <c r="D1490" s="573"/>
      <c r="E1490" s="573"/>
      <c r="F1490" s="573"/>
      <c r="G1490" s="573"/>
      <c r="H1490" s="573"/>
      <c r="I1490" s="573"/>
      <c r="J1490" s="573"/>
      <c r="K1490" s="573"/>
      <c r="L1490" s="574"/>
    </row>
    <row r="1491" spans="1:12">
      <c r="A1491" s="101"/>
      <c r="B1491" s="71" t="s">
        <v>103</v>
      </c>
      <c r="C1491" s="559" t="str">
        <f ca="1">OFFSET('Bateria indicadores proceso'!$O$3,(RIGHT(A1486,3)),1)</f>
        <v>Número</v>
      </c>
      <c r="D1491" s="559"/>
      <c r="E1491" s="559"/>
      <c r="F1491" s="559"/>
      <c r="G1491" s="559"/>
      <c r="H1491" s="559"/>
      <c r="I1491" s="559"/>
      <c r="J1491" s="559"/>
      <c r="K1491" s="559"/>
      <c r="L1491" s="560"/>
    </row>
    <row r="1492" spans="1:12" ht="24">
      <c r="A1492" s="101"/>
      <c r="B1492" s="72" t="s">
        <v>104</v>
      </c>
      <c r="C1492" s="559"/>
      <c r="D1492" s="559"/>
      <c r="E1492" s="559"/>
      <c r="F1492" s="559"/>
      <c r="G1492" s="559"/>
      <c r="H1492" s="559"/>
      <c r="I1492" s="559"/>
      <c r="J1492" s="559"/>
      <c r="K1492" s="559"/>
      <c r="L1492" s="560"/>
    </row>
    <row r="1493" spans="1:12">
      <c r="A1493" s="101"/>
      <c r="B1493" s="72" t="s">
        <v>105</v>
      </c>
      <c r="C1493" s="559" t="str">
        <f ca="1">OFFSET('Bateria indicadores proceso'!$L$3,(RIGHT(A1486,3)),1)</f>
        <v>Sumatoria del número de talleres técnicos para la mitigación de riesgos en materia de DDHH, convivencia y seguridad</v>
      </c>
      <c r="D1493" s="559"/>
      <c r="E1493" s="559"/>
      <c r="F1493" s="559"/>
      <c r="G1493" s="559"/>
      <c r="H1493" s="559"/>
      <c r="I1493" s="559"/>
      <c r="J1493" s="559"/>
      <c r="K1493" s="559"/>
      <c r="L1493" s="560"/>
    </row>
    <row r="1494" spans="1:12">
      <c r="A1494" s="101"/>
      <c r="B1494" s="72" t="s">
        <v>106</v>
      </c>
      <c r="C1494" s="559" t="str">
        <f ca="1">OFFSET('Bateria indicadores proceso'!$Z$3,(RIGHT(A1486,3)),1)</f>
        <v>Trimestral</v>
      </c>
      <c r="D1494" s="559"/>
      <c r="E1494" s="559"/>
      <c r="F1494" s="559"/>
      <c r="G1494" s="559"/>
      <c r="H1494" s="559"/>
      <c r="I1494" s="559"/>
      <c r="J1494" s="559"/>
      <c r="K1494" s="559"/>
      <c r="L1494" s="560"/>
    </row>
    <row r="1495" spans="1:12">
      <c r="A1495" s="101"/>
      <c r="B1495" s="72" t="s">
        <v>107</v>
      </c>
      <c r="C1495" s="559" t="str">
        <f ca="1">OFFSET('Bateria indicadores proceso'!$X$3,(RIGHT(A1486,3)),1)</f>
        <v>Actas y/o listados de asistencia generadas por el grupo de la Comisión Intersectorial para la Respuesta Rápida a las Alertas Tempranas - CIPRAT de la Dirección de Seguridad, Convivencia Ciudadana y Gobierno</v>
      </c>
      <c r="D1495" s="559"/>
      <c r="E1495" s="559"/>
      <c r="F1495" s="559"/>
      <c r="G1495" s="559"/>
      <c r="H1495" s="559"/>
      <c r="I1495" s="559"/>
      <c r="J1495" s="559"/>
      <c r="K1495" s="559"/>
      <c r="L1495" s="560"/>
    </row>
    <row r="1496" spans="1:12">
      <c r="A1496" s="101"/>
      <c r="B1496" s="72" t="s">
        <v>108</v>
      </c>
      <c r="C1496" s="561" t="str">
        <f ca="1">OFFSET('Bateria indicadores proceso'!$P$3,(RIGHT(A1486,3)),1)</f>
        <v>No aplica</v>
      </c>
      <c r="D1496" s="561"/>
      <c r="E1496" s="561"/>
      <c r="F1496" s="561"/>
      <c r="G1496" s="561"/>
      <c r="H1496" s="561"/>
      <c r="I1496" s="561"/>
      <c r="J1496" s="561"/>
      <c r="K1496" s="561"/>
      <c r="L1496" s="566"/>
    </row>
    <row r="1497" spans="1:12">
      <c r="A1497" s="101"/>
      <c r="B1497" s="72" t="s">
        <v>109</v>
      </c>
      <c r="C1497" s="561" t="str">
        <f ca="1">IF(C1491="Número",TEXT(OFFSET('Bateria indicadores proceso'!$Q$3,(RIGHT(A1486,3)),1),"######"),TEXT(OFFSET('Bateria indicadores proceso'!$Q$3,(RIGHT(A1486,3)),1),"0.0%"))</f>
        <v>No aplica</v>
      </c>
      <c r="D1497" s="561"/>
      <c r="E1497" s="561"/>
      <c r="F1497" s="561"/>
      <c r="G1497" s="561"/>
      <c r="H1497" s="561"/>
      <c r="I1497" s="561"/>
      <c r="J1497" s="561"/>
      <c r="K1497" s="561"/>
      <c r="L1497" s="566"/>
    </row>
    <row r="1498" spans="1:12">
      <c r="A1498" s="101"/>
      <c r="B1498" s="72" t="s">
        <v>110</v>
      </c>
      <c r="C1498" s="593" t="str">
        <f ca="1">+OFFSET('Bateria indicadores proceso'!$R$3,(RIGHT(A1486,3)),1)</f>
        <v>No aplica</v>
      </c>
      <c r="D1498" s="593"/>
      <c r="E1498" s="593"/>
      <c r="F1498" s="593"/>
      <c r="G1498" s="593"/>
      <c r="H1498" s="593"/>
      <c r="I1498" s="593"/>
      <c r="J1498" s="593"/>
      <c r="K1498" s="593"/>
      <c r="L1498" s="594"/>
    </row>
    <row r="1499" spans="1:12">
      <c r="A1499" s="101"/>
      <c r="B1499" s="72" t="s">
        <v>111</v>
      </c>
      <c r="C1499" s="561" t="str">
        <f ca="1">OFFSET('Bateria indicadores proceso'!$M$3,(RIGHT(A1486,3)),1)</f>
        <v>Incrementar</v>
      </c>
      <c r="D1499" s="561"/>
      <c r="E1499" s="561"/>
      <c r="F1499" s="561"/>
      <c r="G1499" s="561"/>
      <c r="H1499" s="561"/>
      <c r="I1499" s="561"/>
      <c r="J1499" s="561"/>
      <c r="K1499" s="561"/>
      <c r="L1499" s="566"/>
    </row>
    <row r="1500" spans="1:12">
      <c r="A1500" s="101"/>
      <c r="B1500" s="72" t="s">
        <v>112</v>
      </c>
      <c r="C1500" s="561" t="str">
        <f ca="1">OFFSET('Bateria indicadores proceso'!$N$3,(RIGHT(A1486,3)),1)</f>
        <v>Acumulado</v>
      </c>
      <c r="D1500" s="561"/>
      <c r="E1500" s="561"/>
      <c r="F1500" s="561"/>
      <c r="G1500" s="561"/>
      <c r="H1500" s="561"/>
      <c r="I1500" s="561"/>
      <c r="J1500" s="561"/>
      <c r="K1500" s="561"/>
      <c r="L1500" s="566"/>
    </row>
    <row r="1501" spans="1:12">
      <c r="A1501" s="101"/>
      <c r="B1501" s="72" t="s">
        <v>113</v>
      </c>
      <c r="C1501" s="561" t="str">
        <f ca="1">IF(C1491="Número",TEXT(OFFSET('Bateria indicadores proceso'!$W$3,(RIGHT(A1486,3)),1),"######"),TEXT(OFFSET('Bateria indicadores proceso'!$W$3,(RIGHT(A1486,3)),1),"0.0%"))</f>
        <v>344</v>
      </c>
      <c r="D1501" s="561"/>
      <c r="E1501" s="561"/>
      <c r="F1501" s="561"/>
      <c r="G1501" s="561"/>
      <c r="H1501" s="561"/>
      <c r="I1501" s="561"/>
      <c r="J1501" s="561"/>
      <c r="K1501" s="561"/>
      <c r="L1501" s="566"/>
    </row>
    <row r="1502" spans="1:12">
      <c r="A1502" s="101"/>
      <c r="B1502" s="595" t="s">
        <v>114</v>
      </c>
      <c r="C1502" s="70" t="s">
        <v>115</v>
      </c>
      <c r="D1502" s="70" t="s">
        <v>116</v>
      </c>
      <c r="E1502" s="70" t="s">
        <v>117</v>
      </c>
      <c r="F1502" s="70" t="s">
        <v>118</v>
      </c>
      <c r="J1502" s="75"/>
      <c r="K1502" s="75"/>
      <c r="L1502" s="76"/>
    </row>
    <row r="1503" spans="1:12">
      <c r="A1503" s="101"/>
      <c r="B1503" s="595"/>
      <c r="C1503" s="70" t="str">
        <f ca="1">IF(C1491="Número",TEXT(OFFSET('Bateria indicadores proceso'!$S$3,(RIGHT(A1486,3)),1),"######"),TEXT(OFFSET('Bateria indicadores proceso'!$S$3,(RIGHT(A1486,3)),1),"0.0%"))</f>
        <v>70</v>
      </c>
      <c r="D1503" s="70" t="str">
        <f ca="1">IF(C1491="Número",TEXT(OFFSET('Bateria indicadores proceso'!$T$3,(RIGHT(A1486,3)),1),"######"),TEXT(OFFSET('Bateria indicadores proceso'!$T$3,(RIGHT(A1486,3)),1),"0.0%"))</f>
        <v>120</v>
      </c>
      <c r="E1503" s="70" t="str">
        <f ca="1">IF(C1491="Número",TEXT(OFFSET('Bateria indicadores proceso'!$U$3,(RIGHT(A1486,3)),1),"######"),TEXT(OFFSET('Bateria indicadores proceso'!$U$3,(RIGHT(A1486,3)),1),"0.0%"))</f>
        <v>120</v>
      </c>
      <c r="F1503" s="70" t="str">
        <f ca="1">IF(C1491="Número",TEXT(OFFSET('Bateria indicadores proceso'!$V$3,(RIGHT(A1486,3)),1),"######"),TEXT(OFFSET('Bateria indicadores proceso'!$V$3,(RIGHT(A1486,3)),1),"0.0%"))</f>
        <v>34</v>
      </c>
      <c r="J1503" s="77"/>
      <c r="K1503" s="77"/>
      <c r="L1503" s="78"/>
    </row>
    <row r="1504" spans="1:12">
      <c r="A1504" s="101"/>
      <c r="B1504" s="600" t="s">
        <v>119</v>
      </c>
      <c r="C1504" s="567" t="s">
        <v>120</v>
      </c>
      <c r="D1504" s="568"/>
      <c r="E1504" s="567" t="s">
        <v>121</v>
      </c>
      <c r="F1504" s="568"/>
      <c r="G1504" s="567" t="s">
        <v>122</v>
      </c>
      <c r="H1504" s="568"/>
      <c r="I1504" s="567" t="s">
        <v>123</v>
      </c>
      <c r="J1504" s="568"/>
      <c r="K1504" s="567" t="s">
        <v>124</v>
      </c>
      <c r="L1504" s="569"/>
    </row>
    <row r="1505" spans="1:12">
      <c r="A1505" s="101"/>
      <c r="B1505" s="601"/>
      <c r="C1505" s="570" t="s">
        <v>125</v>
      </c>
      <c r="D1505" s="571"/>
      <c r="E1505" s="577" t="s">
        <v>126</v>
      </c>
      <c r="F1505" s="578"/>
      <c r="G1505" s="579" t="s">
        <v>127</v>
      </c>
      <c r="H1505" s="580"/>
      <c r="I1505" s="581" t="s">
        <v>128</v>
      </c>
      <c r="J1505" s="582"/>
      <c r="K1505" s="583" t="s">
        <v>129</v>
      </c>
      <c r="L1505" s="584"/>
    </row>
    <row r="1506" spans="1:12">
      <c r="A1506" s="101"/>
      <c r="B1506" s="602"/>
      <c r="C1506" s="567" t="s">
        <v>130</v>
      </c>
      <c r="D1506" s="568"/>
      <c r="E1506" s="567" t="s">
        <v>131</v>
      </c>
      <c r="F1506" s="568"/>
      <c r="G1506" s="585" t="s">
        <v>132</v>
      </c>
      <c r="H1506" s="568"/>
      <c r="I1506" s="567" t="s">
        <v>133</v>
      </c>
      <c r="J1506" s="568"/>
      <c r="K1506" s="567" t="s">
        <v>134</v>
      </c>
      <c r="L1506" s="569"/>
    </row>
    <row r="1507" spans="1:12">
      <c r="A1507" s="101"/>
      <c r="B1507" s="72" t="s">
        <v>135</v>
      </c>
      <c r="C1507" s="559" t="str">
        <f ca="1">OFFSET('Bateria indicadores proceso'!$Y$3,(RIGHT(A1486,3)),1)</f>
        <v>Actas y/o listados de asistencias de los talleres tecnicos desarrollados virtuales y/o presenciales</v>
      </c>
      <c r="D1507" s="559"/>
      <c r="E1507" s="559"/>
      <c r="F1507" s="559"/>
      <c r="G1507" s="559"/>
      <c r="H1507" s="559"/>
      <c r="I1507" s="559"/>
      <c r="J1507" s="559"/>
      <c r="K1507" s="559"/>
      <c r="L1507" s="560"/>
    </row>
    <row r="1508" spans="1:12">
      <c r="A1508" s="101"/>
      <c r="B1508" s="591" t="s">
        <v>136</v>
      </c>
      <c r="C1508" s="561" t="s">
        <v>137</v>
      </c>
      <c r="D1508" s="561"/>
      <c r="E1508" s="561"/>
      <c r="F1508" s="562" t="str">
        <f ca="1">OFFSET('Bateria indicadores proceso'!$B$3,(RIGHT(A1486,3)),1)</f>
        <v>GESTIÓN PARA LA PROTECCIÓN DE LOS DERECHOS</v>
      </c>
      <c r="G1508" s="562"/>
      <c r="H1508" s="562"/>
      <c r="I1508" s="562"/>
      <c r="J1508" s="562"/>
      <c r="K1508" s="562"/>
      <c r="L1508" s="563"/>
    </row>
    <row r="1509" spans="1:12">
      <c r="A1509" s="101"/>
      <c r="B1509" s="592"/>
      <c r="C1509" s="561" t="s">
        <v>138</v>
      </c>
      <c r="D1509" s="561"/>
      <c r="E1509" s="561"/>
      <c r="F1509" s="564">
        <f ca="1">OFFSET('Bateria indicadores proceso'!$C$3,(RIGHT(A1486,3)),1)</f>
        <v>0.11</v>
      </c>
      <c r="G1509" s="564"/>
      <c r="H1509" s="564"/>
      <c r="I1509" s="564"/>
      <c r="J1509" s="564"/>
      <c r="K1509" s="564"/>
      <c r="L1509" s="565"/>
    </row>
    <row r="1510" spans="1:12" ht="15.75" thickBot="1">
      <c r="A1510" s="101"/>
      <c r="B1510" s="592"/>
      <c r="C1510" s="561" t="s">
        <v>139</v>
      </c>
      <c r="D1510" s="561"/>
      <c r="E1510" s="561"/>
      <c r="F1510" s="564">
        <f ca="1">OFFSET('Bateria indicadores proceso'!$E$3,(RIGHT(A1486,3)),1)</f>
        <v>0.03</v>
      </c>
      <c r="G1510" s="564"/>
      <c r="H1510" s="564"/>
      <c r="I1510" s="564"/>
      <c r="J1510" s="564"/>
      <c r="K1510" s="564"/>
      <c r="L1510" s="565"/>
    </row>
    <row r="1511" spans="1:12" ht="16.5" thickBot="1">
      <c r="A1511" s="101"/>
      <c r="B1511" s="572" t="s">
        <v>140</v>
      </c>
      <c r="C1511" s="573"/>
      <c r="D1511" s="573"/>
      <c r="E1511" s="573"/>
      <c r="F1511" s="573"/>
      <c r="G1511" s="573"/>
      <c r="H1511" s="573"/>
      <c r="I1511" s="573"/>
      <c r="J1511" s="573"/>
      <c r="K1511" s="573"/>
      <c r="L1511" s="574"/>
    </row>
    <row r="1512" spans="1:12">
      <c r="A1512" s="101"/>
      <c r="B1512" s="72" t="s">
        <v>142</v>
      </c>
      <c r="C1512" s="561" t="str">
        <f ca="1">OFFSET('Bateria indicadores proceso'!$G$3,(RIGHT(A1486,3)),1)</f>
        <v>Director</v>
      </c>
      <c r="D1512" s="561"/>
      <c r="E1512" s="561"/>
      <c r="F1512" s="561"/>
      <c r="G1512" s="561"/>
      <c r="H1512" s="561"/>
      <c r="I1512" s="561"/>
      <c r="J1512" s="561"/>
      <c r="K1512" s="561"/>
      <c r="L1512" s="566"/>
    </row>
    <row r="1513" spans="1:12">
      <c r="A1513" s="101"/>
      <c r="B1513" s="72" t="s">
        <v>143</v>
      </c>
      <c r="C1513" s="561" t="str">
        <f ca="1">OFFSET('Bateria indicadores proceso'!$F$3,(RIGHT(A1486,3)),1)</f>
        <v>Dirección de Seguridad, Convivencia Ciudadana y Gobierno</v>
      </c>
      <c r="D1513" s="561"/>
      <c r="E1513" s="561"/>
      <c r="F1513" s="561"/>
      <c r="G1513" s="561"/>
      <c r="H1513" s="561"/>
      <c r="I1513" s="561"/>
      <c r="J1513" s="561"/>
      <c r="K1513" s="561"/>
      <c r="L1513" s="566"/>
    </row>
    <row r="1514" spans="1:12">
      <c r="A1514" s="101"/>
      <c r="B1514" s="72" t="s">
        <v>144</v>
      </c>
      <c r="C1514" s="598" t="str">
        <f ca="1">OFFSET('Bateria indicadores proceso'!$H$3,(RIGHT(A1450,3)),1)</f>
        <v xml:space="preserve">tito.lovo@mininterior.gov.co									</v>
      </c>
      <c r="D1514" s="598"/>
      <c r="E1514" s="598"/>
      <c r="F1514" s="598"/>
      <c r="G1514" s="598"/>
      <c r="H1514" s="598"/>
      <c r="I1514" s="598"/>
      <c r="J1514" s="598"/>
      <c r="K1514" s="598"/>
      <c r="L1514" s="599"/>
    </row>
    <row r="1515" spans="1:12" ht="15.75" thickBot="1">
      <c r="A1515" s="104"/>
      <c r="B1515" s="74" t="s">
        <v>145</v>
      </c>
      <c r="C1515" s="596" t="s">
        <v>146</v>
      </c>
      <c r="D1515" s="596"/>
      <c r="E1515" s="596"/>
      <c r="F1515" s="596"/>
      <c r="G1515" s="596"/>
      <c r="H1515" s="596"/>
      <c r="I1515" s="596"/>
      <c r="J1515" s="596"/>
      <c r="K1515" s="596"/>
      <c r="L1515" s="597"/>
    </row>
    <row r="1516" spans="1:12" ht="15.75" thickBot="1"/>
    <row r="1517" spans="1:12" ht="21.75" thickBot="1">
      <c r="A1517" s="586" t="s">
        <v>89</v>
      </c>
      <c r="B1517" s="587"/>
      <c r="C1517" s="587"/>
      <c r="D1517" s="587"/>
      <c r="E1517" s="587"/>
      <c r="F1517" s="587"/>
      <c r="G1517" s="587"/>
      <c r="H1517" s="587"/>
      <c r="I1517" s="587"/>
      <c r="J1517" s="587"/>
      <c r="K1517" s="587"/>
      <c r="L1517" s="588"/>
    </row>
    <row r="1518" spans="1:12" ht="32.25" thickBot="1">
      <c r="A1518" s="69" t="s">
        <v>90</v>
      </c>
      <c r="B1518" s="589" t="s">
        <v>91</v>
      </c>
      <c r="C1518" s="589"/>
      <c r="D1518" s="589"/>
      <c r="E1518" s="589"/>
      <c r="F1518" s="589"/>
      <c r="G1518" s="589"/>
      <c r="H1518" s="589"/>
      <c r="I1518" s="589"/>
      <c r="J1518" s="589"/>
      <c r="K1518" s="589"/>
      <c r="L1518" s="589"/>
    </row>
    <row r="1519" spans="1:12" ht="16.5" thickBot="1">
      <c r="A1519" s="100"/>
      <c r="B1519" s="71" t="s">
        <v>92</v>
      </c>
      <c r="C1519" s="575" t="s">
        <v>93</v>
      </c>
      <c r="D1519" s="575"/>
      <c r="E1519" s="575"/>
      <c r="F1519" s="575"/>
      <c r="G1519" s="575"/>
      <c r="H1519" s="575"/>
      <c r="I1519" s="575"/>
      <c r="J1519" s="575"/>
      <c r="K1519" s="575"/>
      <c r="L1519" s="576"/>
    </row>
    <row r="1520" spans="1:12" ht="16.5" thickBot="1">
      <c r="A1520" s="101"/>
      <c r="B1520" s="589" t="s">
        <v>94</v>
      </c>
      <c r="C1520" s="590"/>
      <c r="D1520" s="590"/>
      <c r="E1520" s="590"/>
      <c r="F1520" s="590"/>
      <c r="G1520" s="590"/>
      <c r="H1520" s="590"/>
      <c r="I1520" s="590"/>
      <c r="J1520" s="590"/>
      <c r="K1520" s="590"/>
      <c r="L1520" s="590"/>
    </row>
    <row r="1521" spans="1:12">
      <c r="A1521" s="101"/>
      <c r="B1521" s="71" t="s">
        <v>95</v>
      </c>
      <c r="C1521" s="559" t="s">
        <v>96</v>
      </c>
      <c r="D1521" s="559"/>
      <c r="E1521" s="559"/>
      <c r="F1521" s="559"/>
      <c r="G1521" s="559"/>
      <c r="H1521" s="559"/>
      <c r="I1521" s="559"/>
      <c r="J1521" s="559"/>
      <c r="K1521" s="559"/>
      <c r="L1521" s="560"/>
    </row>
    <row r="1522" spans="1:12">
      <c r="A1522" s="102" t="s">
        <v>188</v>
      </c>
      <c r="B1522" s="72" t="s">
        <v>98</v>
      </c>
      <c r="C1522" s="559" t="str">
        <f ca="1">OFFSET('Bateria indicadores proceso'!$F$3,(RIGHT(A1522,3)),1)</f>
        <v>Dirección de Asuntos para Comunidades Negras, Afrocolombianas, Raizales y Palenqueras</v>
      </c>
      <c r="D1522" s="559"/>
      <c r="E1522" s="559"/>
      <c r="F1522" s="559"/>
      <c r="G1522" s="559"/>
      <c r="H1522" s="559"/>
      <c r="I1522" s="559"/>
      <c r="J1522" s="559"/>
      <c r="K1522" s="559"/>
      <c r="L1522" s="560"/>
    </row>
    <row r="1523" spans="1:12">
      <c r="A1523" s="101"/>
      <c r="B1523" s="72" t="s">
        <v>99</v>
      </c>
      <c r="C1523" s="559" t="str">
        <f ca="1">OFFSET('Bateria indicadores proceso'!$K$3,(RIGHT(A1522,3)),1)</f>
        <v>Fondo especial de créditos educativos condonables de Comunidades Negras -FECECN, administrado por el ICETEX, en las cuales partipa la Dirección de Asuntos para Comunidades Negras, Afrocolombianas, Raizales y Palenqueras para las condonaciones</v>
      </c>
      <c r="D1523" s="559"/>
      <c r="E1523" s="559"/>
      <c r="F1523" s="559"/>
      <c r="G1523" s="559"/>
      <c r="H1523" s="559"/>
      <c r="I1523" s="559"/>
      <c r="J1523" s="559"/>
      <c r="K1523" s="559"/>
      <c r="L1523" s="560"/>
    </row>
    <row r="1524" spans="1:12">
      <c r="A1524" s="101"/>
      <c r="B1524" s="72" t="s">
        <v>100</v>
      </c>
      <c r="C1524" s="559" t="str">
        <f ca="1">OFFSET('Bateria indicadores proceso'!$I$3,(RIGHT(A1522,3)),1)</f>
        <v>Eficacia</v>
      </c>
      <c r="D1524" s="559"/>
      <c r="E1524" s="559"/>
      <c r="F1524" s="559"/>
      <c r="G1524" s="559"/>
      <c r="H1524" s="559"/>
      <c r="I1524" s="559"/>
      <c r="J1524" s="559"/>
      <c r="K1524" s="559"/>
      <c r="L1524" s="560"/>
    </row>
    <row r="1525" spans="1:12" ht="15.75" thickBot="1">
      <c r="A1525" s="103"/>
      <c r="B1525" s="73" t="s">
        <v>101</v>
      </c>
      <c r="C1525" s="559" t="str">
        <f ca="1">OFFSET('Bateria indicadores proceso'!$J$3,(RIGHT(A1522,3)),1)</f>
        <v xml:space="preserve">La  Dirección de Asuntos para Comunidades Negras, Afrocolombianas, Raizales y Palenqueras, participa en la aprobación de Condonaciones del Fondo Especial de Créditos Educativos para Comunidades Negras (FECECN)  Administrado por ICETEX, esto es importante medirlo por los beneficios que trae para los jovenes de las Comunidades y garantizar el acceso a la educación superior, y la medición del presente indicador se proyecta con una tendencia de inclementar en cada trimestre </v>
      </c>
      <c r="D1525" s="559"/>
      <c r="E1525" s="559"/>
      <c r="F1525" s="559"/>
      <c r="G1525" s="559"/>
      <c r="H1525" s="559"/>
      <c r="I1525" s="559"/>
      <c r="J1525" s="559"/>
      <c r="K1525" s="559"/>
      <c r="L1525" s="560"/>
    </row>
    <row r="1526" spans="1:12" ht="16.5" thickBot="1">
      <c r="A1526" s="103"/>
      <c r="B1526" s="572" t="s">
        <v>102</v>
      </c>
      <c r="C1526" s="573"/>
      <c r="D1526" s="573"/>
      <c r="E1526" s="573"/>
      <c r="F1526" s="573"/>
      <c r="G1526" s="573"/>
      <c r="H1526" s="573"/>
      <c r="I1526" s="573"/>
      <c r="J1526" s="573"/>
      <c r="K1526" s="573"/>
      <c r="L1526" s="574"/>
    </row>
    <row r="1527" spans="1:12">
      <c r="A1527" s="101"/>
      <c r="B1527" s="71" t="s">
        <v>103</v>
      </c>
      <c r="C1527" s="559" t="str">
        <f ca="1">OFFSET('Bateria indicadores proceso'!$O$3,(RIGHT(A1522,3)),1)</f>
        <v>Número</v>
      </c>
      <c r="D1527" s="559"/>
      <c r="E1527" s="559"/>
      <c r="F1527" s="559"/>
      <c r="G1527" s="559"/>
      <c r="H1527" s="559"/>
      <c r="I1527" s="559"/>
      <c r="J1527" s="559"/>
      <c r="K1527" s="559"/>
      <c r="L1527" s="560"/>
    </row>
    <row r="1528" spans="1:12" ht="24">
      <c r="A1528" s="101"/>
      <c r="B1528" s="72" t="s">
        <v>104</v>
      </c>
      <c r="C1528" s="559"/>
      <c r="D1528" s="559"/>
      <c r="E1528" s="559"/>
      <c r="F1528" s="559"/>
      <c r="G1528" s="559"/>
      <c r="H1528" s="559"/>
      <c r="I1528" s="559"/>
      <c r="J1528" s="559"/>
      <c r="K1528" s="559"/>
      <c r="L1528" s="560"/>
    </row>
    <row r="1529" spans="1:12">
      <c r="A1529" s="101"/>
      <c r="B1529" s="72" t="s">
        <v>105</v>
      </c>
      <c r="C1529" s="559" t="str">
        <f ca="1">OFFSET('Bateria indicadores proceso'!$L$3,(RIGHT(A1522,3)),1)</f>
        <v>Sumatoria de participaciones de la  la Dirección de Asuntos para Comunidades Negras, Afrocolombianas, Raizales y Palenqueras en la aprobación de Condonaciones del Fondo Especial de Créditos Educativos para Comunidades Negras (FECECN)  Administrado por ICETEX</v>
      </c>
      <c r="D1529" s="559"/>
      <c r="E1529" s="559"/>
      <c r="F1529" s="559"/>
      <c r="G1529" s="559"/>
      <c r="H1529" s="559"/>
      <c r="I1529" s="559"/>
      <c r="J1529" s="559"/>
      <c r="K1529" s="559"/>
      <c r="L1529" s="560"/>
    </row>
    <row r="1530" spans="1:12">
      <c r="A1530" s="101"/>
      <c r="B1530" s="72" t="s">
        <v>106</v>
      </c>
      <c r="C1530" s="559" t="str">
        <f ca="1">OFFSET('Bateria indicadores proceso'!$Z$3,(RIGHT(A1522,3)),1)</f>
        <v xml:space="preserve">Trimestral </v>
      </c>
      <c r="D1530" s="559"/>
      <c r="E1530" s="559"/>
      <c r="F1530" s="559"/>
      <c r="G1530" s="559"/>
      <c r="H1530" s="559"/>
      <c r="I1530" s="559"/>
      <c r="J1530" s="559"/>
      <c r="K1530" s="559"/>
      <c r="L1530" s="560"/>
    </row>
    <row r="1531" spans="1:12">
      <c r="A1531" s="101"/>
      <c r="B1531" s="72" t="s">
        <v>107</v>
      </c>
      <c r="C1531" s="559" t="str">
        <f ca="1">OFFSET('Bateria indicadores proceso'!$X$3,(RIGHT(A1522,3)),1)</f>
        <v>Plan estratégico y de acción 2026</v>
      </c>
      <c r="D1531" s="559"/>
      <c r="E1531" s="559"/>
      <c r="F1531" s="559"/>
      <c r="G1531" s="559"/>
      <c r="H1531" s="559"/>
      <c r="I1531" s="559"/>
      <c r="J1531" s="559"/>
      <c r="K1531" s="559"/>
      <c r="L1531" s="560"/>
    </row>
    <row r="1532" spans="1:12">
      <c r="A1532" s="101"/>
      <c r="B1532" s="72" t="s">
        <v>108</v>
      </c>
      <c r="C1532" s="561">
        <f ca="1">OFFSET('Bateria indicadores proceso'!$P$3,(RIGHT(A1522,3)),1)</f>
        <v>2024</v>
      </c>
      <c r="D1532" s="561"/>
      <c r="E1532" s="561"/>
      <c r="F1532" s="561"/>
      <c r="G1532" s="561"/>
      <c r="H1532" s="561"/>
      <c r="I1532" s="561"/>
      <c r="J1532" s="561"/>
      <c r="K1532" s="561"/>
      <c r="L1532" s="566"/>
    </row>
    <row r="1533" spans="1:12">
      <c r="A1533" s="101"/>
      <c r="B1533" s="72" t="s">
        <v>109</v>
      </c>
      <c r="C1533" s="561" t="str">
        <f ca="1">IF(C1527="Número",TEXT(OFFSET('Bateria indicadores proceso'!$Q$3,(RIGHT(A1522,3)),1),"######"),TEXT(OFFSET('Bateria indicadores proceso'!$Q$3,(RIGHT(A1522,3)),1),"0.0%"))</f>
        <v>700</v>
      </c>
      <c r="D1533" s="561"/>
      <c r="E1533" s="561"/>
      <c r="F1533" s="561"/>
      <c r="G1533" s="561"/>
      <c r="H1533" s="561"/>
      <c r="I1533" s="561"/>
      <c r="J1533" s="561"/>
      <c r="K1533" s="561"/>
      <c r="L1533" s="566"/>
    </row>
    <row r="1534" spans="1:12">
      <c r="A1534" s="101"/>
      <c r="B1534" s="72" t="s">
        <v>110</v>
      </c>
      <c r="C1534" s="593">
        <f ca="1">+OFFSET('Bateria indicadores proceso'!$R$3,(RIGHT(A1522,3)),1)</f>
        <v>46022</v>
      </c>
      <c r="D1534" s="593"/>
      <c r="E1534" s="593"/>
      <c r="F1534" s="593"/>
      <c r="G1534" s="593"/>
      <c r="H1534" s="593"/>
      <c r="I1534" s="593"/>
      <c r="J1534" s="593"/>
      <c r="K1534" s="593"/>
      <c r="L1534" s="594"/>
    </row>
    <row r="1535" spans="1:12">
      <c r="A1535" s="101"/>
      <c r="B1535" s="72" t="s">
        <v>111</v>
      </c>
      <c r="C1535" s="561" t="str">
        <f ca="1">OFFSET('Bateria indicadores proceso'!$M$3,(RIGHT(A1522,3)),1)</f>
        <v>Incrementar</v>
      </c>
      <c r="D1535" s="561"/>
      <c r="E1535" s="561"/>
      <c r="F1535" s="561"/>
      <c r="G1535" s="561"/>
      <c r="H1535" s="561"/>
      <c r="I1535" s="561"/>
      <c r="J1535" s="561"/>
      <c r="K1535" s="561"/>
      <c r="L1535" s="566"/>
    </row>
    <row r="1536" spans="1:12">
      <c r="A1536" s="101"/>
      <c r="B1536" s="72" t="s">
        <v>112</v>
      </c>
      <c r="C1536" s="561" t="str">
        <f ca="1">OFFSET('Bateria indicadores proceso'!$N$3,(RIGHT(A1522,3)),1)</f>
        <v>Acumulado</v>
      </c>
      <c r="D1536" s="561"/>
      <c r="E1536" s="561"/>
      <c r="F1536" s="561"/>
      <c r="G1536" s="561"/>
      <c r="H1536" s="561"/>
      <c r="I1536" s="561"/>
      <c r="J1536" s="561"/>
      <c r="K1536" s="561"/>
      <c r="L1536" s="566"/>
    </row>
    <row r="1537" spans="1:12">
      <c r="A1537" s="101"/>
      <c r="B1537" s="72" t="s">
        <v>113</v>
      </c>
      <c r="C1537" s="561" t="str">
        <f ca="1">IF(C1527="Número",TEXT(OFFSET('Bateria indicadores proceso'!$W$3,(RIGHT(A1522,3)),1),"######"),TEXT(OFFSET('Bateria indicadores proceso'!$W$3,(RIGHT(A1522,3)),1),"0.0%"))</f>
        <v>850</v>
      </c>
      <c r="D1537" s="561"/>
      <c r="E1537" s="561"/>
      <c r="F1537" s="561"/>
      <c r="G1537" s="561"/>
      <c r="H1537" s="561"/>
      <c r="I1537" s="561"/>
      <c r="J1537" s="561"/>
      <c r="K1537" s="561"/>
      <c r="L1537" s="566"/>
    </row>
    <row r="1538" spans="1:12">
      <c r="A1538" s="101"/>
      <c r="B1538" s="595" t="s">
        <v>114</v>
      </c>
      <c r="C1538" s="70" t="s">
        <v>115</v>
      </c>
      <c r="D1538" s="70" t="s">
        <v>116</v>
      </c>
      <c r="E1538" s="70" t="s">
        <v>117</v>
      </c>
      <c r="F1538" s="70" t="s">
        <v>118</v>
      </c>
      <c r="J1538" s="75"/>
      <c r="K1538" s="75"/>
      <c r="L1538" s="76"/>
    </row>
    <row r="1539" spans="1:12">
      <c r="A1539" s="101"/>
      <c r="B1539" s="595"/>
      <c r="C1539" s="70" t="str">
        <f ca="1">IF(C1527="Número",TEXT(OFFSET('Bateria indicadores proceso'!$S$3,(RIGHT(A1522,3)),1),"######"),TEXT(OFFSET('Bateria indicadores proceso'!$S$3,(RIGHT(A1522,3)),1),"0.0%"))</f>
        <v>100</v>
      </c>
      <c r="D1539" s="70" t="str">
        <f ca="1">IF(C1527="Número",TEXT(OFFSET('Bateria indicadores proceso'!$T$3,(RIGHT(A1522,3)),1),"######"),TEXT(OFFSET('Bateria indicadores proceso'!$T$3,(RIGHT(A1522,3)),1),"0.0%"))</f>
        <v>250</v>
      </c>
      <c r="E1539" s="70" t="str">
        <f ca="1">IF(C1527="Número",TEXT(OFFSET('Bateria indicadores proceso'!$U$3,(RIGHT(A1522,3)),1),"######"),TEXT(OFFSET('Bateria indicadores proceso'!$U$3,(RIGHT(A1522,3)),1),"0.0%"))</f>
        <v>250</v>
      </c>
      <c r="F1539" s="70" t="str">
        <f ca="1">IF(C1527="Número",TEXT(OFFSET('Bateria indicadores proceso'!$V$3,(RIGHT(A1522,3)),1),"######"),TEXT(OFFSET('Bateria indicadores proceso'!$V$3,(RIGHT(A1522,3)),1),"0.0%"))</f>
        <v>250</v>
      </c>
      <c r="J1539" s="77"/>
      <c r="K1539" s="77"/>
      <c r="L1539" s="78"/>
    </row>
    <row r="1540" spans="1:12">
      <c r="A1540" s="101"/>
      <c r="B1540" s="600" t="s">
        <v>119</v>
      </c>
      <c r="C1540" s="567" t="s">
        <v>120</v>
      </c>
      <c r="D1540" s="568"/>
      <c r="E1540" s="567" t="s">
        <v>121</v>
      </c>
      <c r="F1540" s="568"/>
      <c r="G1540" s="567" t="s">
        <v>122</v>
      </c>
      <c r="H1540" s="568"/>
      <c r="I1540" s="567" t="s">
        <v>123</v>
      </c>
      <c r="J1540" s="568"/>
      <c r="K1540" s="567" t="s">
        <v>124</v>
      </c>
      <c r="L1540" s="569"/>
    </row>
    <row r="1541" spans="1:12">
      <c r="A1541" s="101"/>
      <c r="B1541" s="601"/>
      <c r="C1541" s="570" t="s">
        <v>125</v>
      </c>
      <c r="D1541" s="571"/>
      <c r="E1541" s="577" t="s">
        <v>126</v>
      </c>
      <c r="F1541" s="578"/>
      <c r="G1541" s="579" t="s">
        <v>127</v>
      </c>
      <c r="H1541" s="580"/>
      <c r="I1541" s="581" t="s">
        <v>128</v>
      </c>
      <c r="J1541" s="582"/>
      <c r="K1541" s="583" t="s">
        <v>129</v>
      </c>
      <c r="L1541" s="584"/>
    </row>
    <row r="1542" spans="1:12">
      <c r="A1542" s="101"/>
      <c r="B1542" s="602"/>
      <c r="C1542" s="567" t="s">
        <v>130</v>
      </c>
      <c r="D1542" s="568"/>
      <c r="E1542" s="567" t="s">
        <v>131</v>
      </c>
      <c r="F1542" s="568"/>
      <c r="G1542" s="585" t="s">
        <v>132</v>
      </c>
      <c r="H1542" s="568"/>
      <c r="I1542" s="567" t="s">
        <v>133</v>
      </c>
      <c r="J1542" s="568"/>
      <c r="K1542" s="567" t="s">
        <v>134</v>
      </c>
      <c r="L1542" s="569"/>
    </row>
    <row r="1543" spans="1:12">
      <c r="A1543" s="101"/>
      <c r="B1543" s="72" t="s">
        <v>135</v>
      </c>
      <c r="C1543" s="559" t="str">
        <f ca="1">OFFSET('Bateria indicadores proceso'!$Y$3,(RIGHT(A1522,3)),1)</f>
        <v>Actas de participación Fondo especial de créditos educativos condonables de Comunidades Negras -FECECN, administrado por el ICETEX</v>
      </c>
      <c r="D1543" s="559"/>
      <c r="E1543" s="559"/>
      <c r="F1543" s="559"/>
      <c r="G1543" s="559"/>
      <c r="H1543" s="559"/>
      <c r="I1543" s="559"/>
      <c r="J1543" s="559"/>
      <c r="K1543" s="559"/>
      <c r="L1543" s="560"/>
    </row>
    <row r="1544" spans="1:12">
      <c r="A1544" s="101"/>
      <c r="B1544" s="591" t="s">
        <v>136</v>
      </c>
      <c r="C1544" s="561" t="s">
        <v>137</v>
      </c>
      <c r="D1544" s="561"/>
      <c r="E1544" s="561"/>
      <c r="F1544" s="562" t="str">
        <f ca="1">OFFSET('Bateria indicadores proceso'!$B$3,(RIGHT(A1522,3)),1)</f>
        <v>GESTIÓN PARA LA PROTECCIÓN DE LOS DERECHOS</v>
      </c>
      <c r="G1544" s="562"/>
      <c r="H1544" s="562"/>
      <c r="I1544" s="562"/>
      <c r="J1544" s="562"/>
      <c r="K1544" s="562"/>
      <c r="L1544" s="563"/>
    </row>
    <row r="1545" spans="1:12">
      <c r="A1545" s="101"/>
      <c r="B1545" s="592"/>
      <c r="C1545" s="561" t="s">
        <v>138</v>
      </c>
      <c r="D1545" s="561"/>
      <c r="E1545" s="561"/>
      <c r="F1545" s="564">
        <f ca="1">OFFSET('Bateria indicadores proceso'!$C$3,(RIGHT(A1522,3)),1)</f>
        <v>0.11</v>
      </c>
      <c r="G1545" s="564"/>
      <c r="H1545" s="564"/>
      <c r="I1545" s="564"/>
      <c r="J1545" s="564"/>
      <c r="K1545" s="564"/>
      <c r="L1545" s="565"/>
    </row>
    <row r="1546" spans="1:12" ht="15.75" thickBot="1">
      <c r="A1546" s="101"/>
      <c r="B1546" s="592"/>
      <c r="C1546" s="561" t="s">
        <v>139</v>
      </c>
      <c r="D1546" s="561"/>
      <c r="E1546" s="561"/>
      <c r="F1546" s="564">
        <f ca="1">OFFSET('Bateria indicadores proceso'!$E$3,(RIGHT(A1522,3)),1)</f>
        <v>0.03</v>
      </c>
      <c r="G1546" s="564"/>
      <c r="H1546" s="564"/>
      <c r="I1546" s="564"/>
      <c r="J1546" s="564"/>
      <c r="K1546" s="564"/>
      <c r="L1546" s="565"/>
    </row>
    <row r="1547" spans="1:12" ht="16.5" thickBot="1">
      <c r="A1547" s="101"/>
      <c r="B1547" s="572" t="s">
        <v>140</v>
      </c>
      <c r="C1547" s="573"/>
      <c r="D1547" s="573"/>
      <c r="E1547" s="573"/>
      <c r="F1547" s="573"/>
      <c r="G1547" s="573"/>
      <c r="H1547" s="573"/>
      <c r="I1547" s="573"/>
      <c r="J1547" s="573"/>
      <c r="K1547" s="573"/>
      <c r="L1547" s="574"/>
    </row>
    <row r="1548" spans="1:12">
      <c r="A1548" s="101"/>
      <c r="B1548" s="72" t="s">
        <v>142</v>
      </c>
      <c r="C1548" s="561" t="str">
        <f ca="1">OFFSET('Bateria indicadores proceso'!$G$3,(RIGHT(A1522,3)),1)</f>
        <v>Director</v>
      </c>
      <c r="D1548" s="561"/>
      <c r="E1548" s="561"/>
      <c r="F1548" s="561"/>
      <c r="G1548" s="561"/>
      <c r="H1548" s="561"/>
      <c r="I1548" s="561"/>
      <c r="J1548" s="561"/>
      <c r="K1548" s="561"/>
      <c r="L1548" s="566"/>
    </row>
    <row r="1549" spans="1:12">
      <c r="A1549" s="101"/>
      <c r="B1549" s="72" t="s">
        <v>143</v>
      </c>
      <c r="C1549" s="561" t="str">
        <f ca="1">OFFSET('Bateria indicadores proceso'!$F$3,(RIGHT(A1522,3)),1)</f>
        <v>Dirección de Asuntos para Comunidades Negras, Afrocolombianas, Raizales y Palenqueras</v>
      </c>
      <c r="D1549" s="561"/>
      <c r="E1549" s="561"/>
      <c r="F1549" s="561"/>
      <c r="G1549" s="561"/>
      <c r="H1549" s="561"/>
      <c r="I1549" s="561"/>
      <c r="J1549" s="561"/>
      <c r="K1549" s="561"/>
      <c r="L1549" s="566"/>
    </row>
    <row r="1550" spans="1:12">
      <c r="A1550" s="101"/>
      <c r="B1550" s="72" t="s">
        <v>144</v>
      </c>
      <c r="C1550" s="598" t="str">
        <f ca="1">OFFSET('Bateria indicadores proceso'!$H$3,(RIGHT(A1522,3)),1)</f>
        <v>amelia.cotes@mininterior.gov.co</v>
      </c>
      <c r="D1550" s="598"/>
      <c r="E1550" s="598"/>
      <c r="F1550" s="598"/>
      <c r="G1550" s="598"/>
      <c r="H1550" s="598"/>
      <c r="I1550" s="598"/>
      <c r="J1550" s="598"/>
      <c r="K1550" s="598"/>
      <c r="L1550" s="599"/>
    </row>
    <row r="1551" spans="1:12" ht="15.75" thickBot="1">
      <c r="A1551" s="104"/>
      <c r="B1551" s="74" t="s">
        <v>145</v>
      </c>
      <c r="C1551" s="596" t="s">
        <v>146</v>
      </c>
      <c r="D1551" s="596"/>
      <c r="E1551" s="596"/>
      <c r="F1551" s="596"/>
      <c r="G1551" s="596"/>
      <c r="H1551" s="596"/>
      <c r="I1551" s="596"/>
      <c r="J1551" s="596"/>
      <c r="K1551" s="596"/>
      <c r="L1551" s="597"/>
    </row>
    <row r="1552" spans="1:12" ht="15.75" thickBot="1"/>
    <row r="1553" spans="1:12" ht="21.75" thickBot="1">
      <c r="A1553" s="586" t="s">
        <v>89</v>
      </c>
      <c r="B1553" s="587"/>
      <c r="C1553" s="587"/>
      <c r="D1553" s="587"/>
      <c r="E1553" s="587"/>
      <c r="F1553" s="587"/>
      <c r="G1553" s="587"/>
      <c r="H1553" s="587"/>
      <c r="I1553" s="587"/>
      <c r="J1553" s="587"/>
      <c r="K1553" s="587"/>
      <c r="L1553" s="588"/>
    </row>
    <row r="1554" spans="1:12" ht="32.25" thickBot="1">
      <c r="A1554" s="69" t="s">
        <v>90</v>
      </c>
      <c r="B1554" s="589" t="s">
        <v>91</v>
      </c>
      <c r="C1554" s="589"/>
      <c r="D1554" s="589"/>
      <c r="E1554" s="589"/>
      <c r="F1554" s="589"/>
      <c r="G1554" s="589"/>
      <c r="H1554" s="589"/>
      <c r="I1554" s="589"/>
      <c r="J1554" s="589"/>
      <c r="K1554" s="589"/>
      <c r="L1554" s="589"/>
    </row>
    <row r="1555" spans="1:12" ht="16.5" thickBot="1">
      <c r="A1555" s="100"/>
      <c r="B1555" s="71" t="s">
        <v>92</v>
      </c>
      <c r="C1555" s="575" t="s">
        <v>93</v>
      </c>
      <c r="D1555" s="575"/>
      <c r="E1555" s="575"/>
      <c r="F1555" s="575"/>
      <c r="G1555" s="575"/>
      <c r="H1555" s="575"/>
      <c r="I1555" s="575"/>
      <c r="J1555" s="575"/>
      <c r="K1555" s="575"/>
      <c r="L1555" s="576"/>
    </row>
    <row r="1556" spans="1:12" ht="16.5" thickBot="1">
      <c r="A1556" s="101"/>
      <c r="B1556" s="589" t="s">
        <v>94</v>
      </c>
      <c r="C1556" s="590"/>
      <c r="D1556" s="590"/>
      <c r="E1556" s="590"/>
      <c r="F1556" s="590"/>
      <c r="G1556" s="590"/>
      <c r="H1556" s="590"/>
      <c r="I1556" s="590"/>
      <c r="J1556" s="590"/>
      <c r="K1556" s="590"/>
      <c r="L1556" s="590"/>
    </row>
    <row r="1557" spans="1:12">
      <c r="A1557" s="101"/>
      <c r="B1557" s="71" t="s">
        <v>95</v>
      </c>
      <c r="C1557" s="559" t="s">
        <v>96</v>
      </c>
      <c r="D1557" s="559"/>
      <c r="E1557" s="559"/>
      <c r="F1557" s="559"/>
      <c r="G1557" s="559"/>
      <c r="H1557" s="559"/>
      <c r="I1557" s="559"/>
      <c r="J1557" s="559"/>
      <c r="K1557" s="559"/>
      <c r="L1557" s="560"/>
    </row>
    <row r="1558" spans="1:12">
      <c r="A1558" s="102" t="s">
        <v>189</v>
      </c>
      <c r="B1558" s="72" t="s">
        <v>98</v>
      </c>
      <c r="C1558" s="559" t="str">
        <f ca="1">OFFSET('Bateria indicadores proceso'!$F$3,(RIGHT(A1558,3)),1)</f>
        <v>Dirección de Asuntos para Comunidades Negras, Afrocolombianas, Raizales y Palenqueras</v>
      </c>
      <c r="D1558" s="559"/>
      <c r="E1558" s="559"/>
      <c r="F1558" s="559"/>
      <c r="G1558" s="559"/>
      <c r="H1558" s="559"/>
      <c r="I1558" s="559"/>
      <c r="J1558" s="559"/>
      <c r="K1558" s="559"/>
      <c r="L1558" s="560"/>
    </row>
    <row r="1559" spans="1:12">
      <c r="A1559" s="101"/>
      <c r="B1559" s="72" t="s">
        <v>99</v>
      </c>
      <c r="C1559" s="559" t="str">
        <f ca="1">OFFSET('Bateria indicadores proceso'!$K$3,(RIGHT(A1558,3)),1)</f>
        <v>Cerificaciones de Autorreconocimiento como miembro de la  Comunidades Negras, Afrocolombianos, Raizales y Palenqueras y  Exoneración del servicio militar establecido en la sentencia 433 de 2021, que se presenten ante la Dirección, expedidas por la Dirección de Asuntos para Comunidades Negras, Afrocolombianas, Raizales y Palenqueras</v>
      </c>
      <c r="D1559" s="559"/>
      <c r="E1559" s="559"/>
      <c r="F1559" s="559"/>
      <c r="G1559" s="559"/>
      <c r="H1559" s="559"/>
      <c r="I1559" s="559"/>
      <c r="J1559" s="559"/>
      <c r="K1559" s="559"/>
      <c r="L1559" s="560"/>
    </row>
    <row r="1560" spans="1:12">
      <c r="A1560" s="101"/>
      <c r="B1560" s="72" t="s">
        <v>100</v>
      </c>
      <c r="C1560" s="559" t="str">
        <f ca="1">OFFSET('Bateria indicadores proceso'!$I$3,(RIGHT(A1558,3)),1)</f>
        <v>Eficacia</v>
      </c>
      <c r="D1560" s="559"/>
      <c r="E1560" s="559"/>
      <c r="F1560" s="559"/>
      <c r="G1560" s="559"/>
      <c r="H1560" s="559"/>
      <c r="I1560" s="559"/>
      <c r="J1560" s="559"/>
      <c r="K1560" s="559"/>
      <c r="L1560" s="560"/>
    </row>
    <row r="1561" spans="1:12" ht="15.75" thickBot="1">
      <c r="A1561" s="103"/>
      <c r="B1561" s="73" t="s">
        <v>101</v>
      </c>
      <c r="C1561" s="559" t="str">
        <f ca="1">OFFSET('Bateria indicadores proceso'!$J$3,(RIGHT(A1558,3)),1)</f>
        <v xml:space="preserve">La  Dirección de Asuntos para Comunidades Negras, Afrocolombianas, Raizales y Palenqueras, expide  cerificaciones de Autorreconocimiento como miembro de la  Comunidades Negras, Afrocolombianos, Raizales y Palenqueras y  Exoneración del servicio militar establecido en la sentencia 433 de 2021,  esto es importante medirlo por  los beneficios a las comunidades y que puedan acceder a los programas y oferta institucional del gobierno nacional, y la medición del presente indicador se proyecta con una tendencia de incremental para cada trimestre </v>
      </c>
      <c r="D1561" s="559"/>
      <c r="E1561" s="559"/>
      <c r="F1561" s="559"/>
      <c r="G1561" s="559"/>
      <c r="H1561" s="559"/>
      <c r="I1561" s="559"/>
      <c r="J1561" s="559"/>
      <c r="K1561" s="559"/>
      <c r="L1561" s="560"/>
    </row>
    <row r="1562" spans="1:12" ht="16.5" thickBot="1">
      <c r="A1562" s="103"/>
      <c r="B1562" s="572" t="s">
        <v>102</v>
      </c>
      <c r="C1562" s="573"/>
      <c r="D1562" s="573"/>
      <c r="E1562" s="573"/>
      <c r="F1562" s="573"/>
      <c r="G1562" s="573"/>
      <c r="H1562" s="573"/>
      <c r="I1562" s="573"/>
      <c r="J1562" s="573"/>
      <c r="K1562" s="573"/>
      <c r="L1562" s="574"/>
    </row>
    <row r="1563" spans="1:12">
      <c r="A1563" s="101"/>
      <c r="B1563" s="71" t="s">
        <v>103</v>
      </c>
      <c r="C1563" s="559" t="str">
        <f ca="1">OFFSET('Bateria indicadores proceso'!$O$3,(RIGHT(A1558,3)),1)</f>
        <v>Número</v>
      </c>
      <c r="D1563" s="559"/>
      <c r="E1563" s="559"/>
      <c r="F1563" s="559"/>
      <c r="G1563" s="559"/>
      <c r="H1563" s="559"/>
      <c r="I1563" s="559"/>
      <c r="J1563" s="559"/>
      <c r="K1563" s="559"/>
      <c r="L1563" s="560"/>
    </row>
    <row r="1564" spans="1:12" ht="24">
      <c r="A1564" s="101"/>
      <c r="B1564" s="72" t="s">
        <v>104</v>
      </c>
      <c r="C1564" s="559"/>
      <c r="D1564" s="559"/>
      <c r="E1564" s="559"/>
      <c r="F1564" s="559"/>
      <c r="G1564" s="559"/>
      <c r="H1564" s="559"/>
      <c r="I1564" s="559"/>
      <c r="J1564" s="559"/>
      <c r="K1564" s="559"/>
      <c r="L1564" s="560"/>
    </row>
    <row r="1565" spans="1:12">
      <c r="A1565" s="101"/>
      <c r="B1565" s="72" t="s">
        <v>105</v>
      </c>
      <c r="C1565" s="559" t="str">
        <f ca="1">OFFSET('Bateria indicadores proceso'!$L$3,(RIGHT(A1558,3)),1)</f>
        <v>Sumatoria de certificaciones de Autorreconocimiento como miembro de la  Comunidades Negras, Afrocolombianos, Raizales y Palenqueras y de Exoneración del servicio militar establecido en la sentencia 433 de 2021</v>
      </c>
      <c r="D1565" s="559"/>
      <c r="E1565" s="559"/>
      <c r="F1565" s="559"/>
      <c r="G1565" s="559"/>
      <c r="H1565" s="559"/>
      <c r="I1565" s="559"/>
      <c r="J1565" s="559"/>
      <c r="K1565" s="559"/>
      <c r="L1565" s="560"/>
    </row>
    <row r="1566" spans="1:12">
      <c r="A1566" s="101"/>
      <c r="B1566" s="72" t="s">
        <v>106</v>
      </c>
      <c r="C1566" s="559" t="str">
        <f ca="1">OFFSET('Bateria indicadores proceso'!$Z$3,(RIGHT(A1558,3)),1)</f>
        <v xml:space="preserve">Trimestral </v>
      </c>
      <c r="D1566" s="559"/>
      <c r="E1566" s="559"/>
      <c r="F1566" s="559"/>
      <c r="G1566" s="559"/>
      <c r="H1566" s="559"/>
      <c r="I1566" s="559"/>
      <c r="J1566" s="559"/>
      <c r="K1566" s="559"/>
      <c r="L1566" s="560"/>
    </row>
    <row r="1567" spans="1:12">
      <c r="A1567" s="101"/>
      <c r="B1567" s="72" t="s">
        <v>107</v>
      </c>
      <c r="C1567" s="559" t="str">
        <f ca="1">OFFSET('Bateria indicadores proceso'!$X$3,(RIGHT(A1558,3)),1)</f>
        <v>SISTEMA DE INFORMACIÓN DE ASUNTOS PARA COMUNIDADES NEGRAS, AFROCOLOMBIANAS, RAIZALES Y PALENQUERAS</v>
      </c>
      <c r="D1567" s="559"/>
      <c r="E1567" s="559"/>
      <c r="F1567" s="559"/>
      <c r="G1567" s="559"/>
      <c r="H1567" s="559"/>
      <c r="I1567" s="559"/>
      <c r="J1567" s="559"/>
      <c r="K1567" s="559"/>
      <c r="L1567" s="560"/>
    </row>
    <row r="1568" spans="1:12">
      <c r="A1568" s="101"/>
      <c r="B1568" s="72" t="s">
        <v>108</v>
      </c>
      <c r="C1568" s="561">
        <f ca="1">OFFSET('Bateria indicadores proceso'!$P$3,(RIGHT(A1558,3)),1)</f>
        <v>2024</v>
      </c>
      <c r="D1568" s="561"/>
      <c r="E1568" s="561"/>
      <c r="F1568" s="561"/>
      <c r="G1568" s="561"/>
      <c r="H1568" s="561"/>
      <c r="I1568" s="561"/>
      <c r="J1568" s="561"/>
      <c r="K1568" s="561"/>
      <c r="L1568" s="566"/>
    </row>
    <row r="1569" spans="1:12">
      <c r="A1569" s="101"/>
      <c r="B1569" s="72" t="s">
        <v>109</v>
      </c>
      <c r="C1569" s="561" t="str">
        <f ca="1">IF(C1563="Número",TEXT(OFFSET('Bateria indicadores proceso'!$Q$3,(RIGHT(A1558,3)),1),"######"),TEXT(OFFSET('Bateria indicadores proceso'!$Q$3,(RIGHT(A1558,3)),1),"0.0%"))</f>
        <v>3500</v>
      </c>
      <c r="D1569" s="561"/>
      <c r="E1569" s="561"/>
      <c r="F1569" s="561"/>
      <c r="G1569" s="561"/>
      <c r="H1569" s="561"/>
      <c r="I1569" s="561"/>
      <c r="J1569" s="561"/>
      <c r="K1569" s="561"/>
      <c r="L1569" s="566"/>
    </row>
    <row r="1570" spans="1:12">
      <c r="A1570" s="101"/>
      <c r="B1570" s="72" t="s">
        <v>110</v>
      </c>
      <c r="C1570" s="593">
        <f ca="1">+OFFSET('Bateria indicadores proceso'!$R$3,(RIGHT(A1558,3)),1)</f>
        <v>46022</v>
      </c>
      <c r="D1570" s="593"/>
      <c r="E1570" s="593"/>
      <c r="F1570" s="593"/>
      <c r="G1570" s="593"/>
      <c r="H1570" s="593"/>
      <c r="I1570" s="593"/>
      <c r="J1570" s="593"/>
      <c r="K1570" s="593"/>
      <c r="L1570" s="594"/>
    </row>
    <row r="1571" spans="1:12">
      <c r="A1571" s="101"/>
      <c r="B1571" s="72" t="s">
        <v>111</v>
      </c>
      <c r="C1571" s="561" t="str">
        <f ca="1">OFFSET('Bateria indicadores proceso'!$M$3,(RIGHT(A1558,3)),1)</f>
        <v>Incrementar</v>
      </c>
      <c r="D1571" s="561"/>
      <c r="E1571" s="561"/>
      <c r="F1571" s="561"/>
      <c r="G1571" s="561"/>
      <c r="H1571" s="561"/>
      <c r="I1571" s="561"/>
      <c r="J1571" s="561"/>
      <c r="K1571" s="561"/>
      <c r="L1571" s="566"/>
    </row>
    <row r="1572" spans="1:12">
      <c r="A1572" s="101"/>
      <c r="B1572" s="72" t="s">
        <v>112</v>
      </c>
      <c r="C1572" s="561" t="str">
        <f ca="1">OFFSET('Bateria indicadores proceso'!$N$3,(RIGHT(A1558,3)),1)</f>
        <v>Acumulado</v>
      </c>
      <c r="D1572" s="561"/>
      <c r="E1572" s="561"/>
      <c r="F1572" s="561"/>
      <c r="G1572" s="561"/>
      <c r="H1572" s="561"/>
      <c r="I1572" s="561"/>
      <c r="J1572" s="561"/>
      <c r="K1572" s="561"/>
      <c r="L1572" s="566"/>
    </row>
    <row r="1573" spans="1:12">
      <c r="A1573" s="101"/>
      <c r="B1573" s="72" t="s">
        <v>113</v>
      </c>
      <c r="C1573" s="561" t="str">
        <f ca="1">IF(C1563="Número",TEXT(OFFSET('Bateria indicadores proceso'!$W$3,(RIGHT(A1558,3)),1),"######"),TEXT(OFFSET('Bateria indicadores proceso'!$W$3,(RIGHT(A1558,3)),1),"0.0%"))</f>
        <v>9800</v>
      </c>
      <c r="D1573" s="561"/>
      <c r="E1573" s="561"/>
      <c r="F1573" s="561"/>
      <c r="G1573" s="561"/>
      <c r="H1573" s="561"/>
      <c r="I1573" s="561"/>
      <c r="J1573" s="561"/>
      <c r="K1573" s="561"/>
      <c r="L1573" s="566"/>
    </row>
    <row r="1574" spans="1:12">
      <c r="A1574" s="101"/>
      <c r="B1574" s="595" t="s">
        <v>114</v>
      </c>
      <c r="C1574" s="70" t="s">
        <v>115</v>
      </c>
      <c r="D1574" s="70" t="s">
        <v>116</v>
      </c>
      <c r="E1574" s="70" t="s">
        <v>117</v>
      </c>
      <c r="F1574" s="70" t="s">
        <v>118</v>
      </c>
      <c r="J1574" s="75"/>
      <c r="K1574" s="75"/>
      <c r="L1574" s="76"/>
    </row>
    <row r="1575" spans="1:12">
      <c r="A1575" s="101"/>
      <c r="B1575" s="595"/>
      <c r="C1575" s="70" t="str">
        <f ca="1">IF(C1563="Número",TEXT(OFFSET('Bateria indicadores proceso'!$S$3,(RIGHT(A1558,3)),1),"######"),TEXT(OFFSET('Bateria indicadores proceso'!$S$3,(RIGHT(A1558,3)),1),"0.0%"))</f>
        <v>2300</v>
      </c>
      <c r="D1575" s="70" t="str">
        <f ca="1">IF(C1563="Número",TEXT(OFFSET('Bateria indicadores proceso'!$T$3,(RIGHT(A1558,3)),1),"######"),TEXT(OFFSET('Bateria indicadores proceso'!$T$3,(RIGHT(A1558,3)),1),"0.0%"))</f>
        <v>2400</v>
      </c>
      <c r="E1575" s="70" t="str">
        <f ca="1">IF(C1563="Número",TEXT(OFFSET('Bateria indicadores proceso'!$U$3,(RIGHT(A1558,3)),1),"######"),TEXT(OFFSET('Bateria indicadores proceso'!$U$3,(RIGHT(A1558,3)),1),"0.0%"))</f>
        <v>2500</v>
      </c>
      <c r="F1575" s="70" t="str">
        <f ca="1">IF(C1563="Número",TEXT(OFFSET('Bateria indicadores proceso'!$V$3,(RIGHT(A1558,3)),1),"######"),TEXT(OFFSET('Bateria indicadores proceso'!$V$3,(RIGHT(A1558,3)),1),"0.0%"))</f>
        <v>2600</v>
      </c>
      <c r="J1575" s="77"/>
      <c r="K1575" s="77"/>
      <c r="L1575" s="78"/>
    </row>
    <row r="1576" spans="1:12">
      <c r="A1576" s="101"/>
      <c r="B1576" s="600" t="s">
        <v>119</v>
      </c>
      <c r="C1576" s="567" t="s">
        <v>120</v>
      </c>
      <c r="D1576" s="568"/>
      <c r="E1576" s="567" t="s">
        <v>121</v>
      </c>
      <c r="F1576" s="568"/>
      <c r="G1576" s="567" t="s">
        <v>122</v>
      </c>
      <c r="H1576" s="568"/>
      <c r="I1576" s="567" t="s">
        <v>123</v>
      </c>
      <c r="J1576" s="568"/>
      <c r="K1576" s="567" t="s">
        <v>124</v>
      </c>
      <c r="L1576" s="569"/>
    </row>
    <row r="1577" spans="1:12">
      <c r="A1577" s="101"/>
      <c r="B1577" s="601"/>
      <c r="C1577" s="570" t="s">
        <v>125</v>
      </c>
      <c r="D1577" s="571"/>
      <c r="E1577" s="577" t="s">
        <v>126</v>
      </c>
      <c r="F1577" s="578"/>
      <c r="G1577" s="579" t="s">
        <v>127</v>
      </c>
      <c r="H1577" s="580"/>
      <c r="I1577" s="581" t="s">
        <v>128</v>
      </c>
      <c r="J1577" s="582"/>
      <c r="K1577" s="583" t="s">
        <v>129</v>
      </c>
      <c r="L1577" s="584"/>
    </row>
    <row r="1578" spans="1:12">
      <c r="A1578" s="101"/>
      <c r="B1578" s="602"/>
      <c r="C1578" s="567" t="s">
        <v>130</v>
      </c>
      <c r="D1578" s="568"/>
      <c r="E1578" s="567" t="s">
        <v>131</v>
      </c>
      <c r="F1578" s="568"/>
      <c r="G1578" s="585" t="s">
        <v>132</v>
      </c>
      <c r="H1578" s="568"/>
      <c r="I1578" s="567" t="s">
        <v>133</v>
      </c>
      <c r="J1578" s="568"/>
      <c r="K1578" s="567" t="s">
        <v>134</v>
      </c>
      <c r="L1578" s="569"/>
    </row>
    <row r="1579" spans="1:12">
      <c r="A1579" s="101"/>
      <c r="B1579" s="72" t="s">
        <v>135</v>
      </c>
      <c r="C1579" s="559" t="str">
        <f ca="1">OFFSET('Bateria indicadores proceso'!$Y$3,(RIGHT(A1558,3)),1)</f>
        <v xml:space="preserve">Informe emitido por el SISTEMA DE INFORMACIÓN DE ASUNTOS PARA COMUNIDADES NEGRAS, AFROCOLOMBIANAS, RAIZALES Y PALENQUERAS </v>
      </c>
      <c r="D1579" s="559"/>
      <c r="E1579" s="559"/>
      <c r="F1579" s="559"/>
      <c r="G1579" s="559"/>
      <c r="H1579" s="559"/>
      <c r="I1579" s="559"/>
      <c r="J1579" s="559"/>
      <c r="K1579" s="559"/>
      <c r="L1579" s="560"/>
    </row>
    <row r="1580" spans="1:12">
      <c r="A1580" s="101"/>
      <c r="B1580" s="591" t="s">
        <v>136</v>
      </c>
      <c r="C1580" s="561" t="s">
        <v>137</v>
      </c>
      <c r="D1580" s="561"/>
      <c r="E1580" s="561"/>
      <c r="F1580" s="562" t="str">
        <f ca="1">OFFSET('Bateria indicadores proceso'!$B$3,(RIGHT(A1558,3)),1)</f>
        <v>GESTIÓN PARA LA PROTECCIÓN DE LOS DERECHOS</v>
      </c>
      <c r="G1580" s="562"/>
      <c r="H1580" s="562"/>
      <c r="I1580" s="562"/>
      <c r="J1580" s="562"/>
      <c r="K1580" s="562"/>
      <c r="L1580" s="563"/>
    </row>
    <row r="1581" spans="1:12">
      <c r="A1581" s="101"/>
      <c r="B1581" s="592"/>
      <c r="C1581" s="561" t="s">
        <v>138</v>
      </c>
      <c r="D1581" s="561"/>
      <c r="E1581" s="561"/>
      <c r="F1581" s="564">
        <f ca="1">OFFSET('Bateria indicadores proceso'!$C$3,(RIGHT(A1558,3)),1)</f>
        <v>0.11</v>
      </c>
      <c r="G1581" s="564"/>
      <c r="H1581" s="564"/>
      <c r="I1581" s="564"/>
      <c r="J1581" s="564"/>
      <c r="K1581" s="564"/>
      <c r="L1581" s="565"/>
    </row>
    <row r="1582" spans="1:12" ht="15.75" thickBot="1">
      <c r="A1582" s="101"/>
      <c r="B1582" s="592"/>
      <c r="C1582" s="561" t="s">
        <v>139</v>
      </c>
      <c r="D1582" s="561"/>
      <c r="E1582" s="561"/>
      <c r="F1582" s="564">
        <f ca="1">OFFSET('Bateria indicadores proceso'!$E$3,(RIGHT(A1558,3)),1)</f>
        <v>0.03</v>
      </c>
      <c r="G1582" s="564"/>
      <c r="H1582" s="564"/>
      <c r="I1582" s="564"/>
      <c r="J1582" s="564"/>
      <c r="K1582" s="564"/>
      <c r="L1582" s="565"/>
    </row>
    <row r="1583" spans="1:12" ht="16.5" thickBot="1">
      <c r="A1583" s="101"/>
      <c r="B1583" s="572" t="s">
        <v>140</v>
      </c>
      <c r="C1583" s="573"/>
      <c r="D1583" s="573"/>
      <c r="E1583" s="573"/>
      <c r="F1583" s="573"/>
      <c r="G1583" s="573"/>
      <c r="H1583" s="573"/>
      <c r="I1583" s="573"/>
      <c r="J1583" s="573"/>
      <c r="K1583" s="573"/>
      <c r="L1583" s="574"/>
    </row>
    <row r="1584" spans="1:12">
      <c r="A1584" s="101"/>
      <c r="B1584" s="72" t="s">
        <v>142</v>
      </c>
      <c r="C1584" s="561" t="str">
        <f ca="1">OFFSET('Bateria indicadores proceso'!$G$3,(RIGHT(A1558,3)),1)</f>
        <v>Director</v>
      </c>
      <c r="D1584" s="561"/>
      <c r="E1584" s="561"/>
      <c r="F1584" s="561"/>
      <c r="G1584" s="561"/>
      <c r="H1584" s="561"/>
      <c r="I1584" s="561"/>
      <c r="J1584" s="561"/>
      <c r="K1584" s="561"/>
      <c r="L1584" s="566"/>
    </row>
    <row r="1585" spans="1:12">
      <c r="A1585" s="101"/>
      <c r="B1585" s="72" t="s">
        <v>143</v>
      </c>
      <c r="C1585" s="561" t="str">
        <f ca="1">OFFSET('Bateria indicadores proceso'!$F$3,(RIGHT(A1558,3)),1)</f>
        <v>Dirección de Asuntos para Comunidades Negras, Afrocolombianas, Raizales y Palenqueras</v>
      </c>
      <c r="D1585" s="561"/>
      <c r="E1585" s="561"/>
      <c r="F1585" s="561"/>
      <c r="G1585" s="561"/>
      <c r="H1585" s="561"/>
      <c r="I1585" s="561"/>
      <c r="J1585" s="561"/>
      <c r="K1585" s="561"/>
      <c r="L1585" s="566"/>
    </row>
    <row r="1586" spans="1:12">
      <c r="A1586" s="101"/>
      <c r="B1586" s="72" t="s">
        <v>144</v>
      </c>
      <c r="C1586" s="598" t="str">
        <f ca="1">OFFSET('Bateria indicadores proceso'!$H$3,(RIGHT(A1522,3)),1)</f>
        <v>amelia.cotes@mininterior.gov.co</v>
      </c>
      <c r="D1586" s="598"/>
      <c r="E1586" s="598"/>
      <c r="F1586" s="598"/>
      <c r="G1586" s="598"/>
      <c r="H1586" s="598"/>
      <c r="I1586" s="598"/>
      <c r="J1586" s="598"/>
      <c r="K1586" s="598"/>
      <c r="L1586" s="599"/>
    </row>
    <row r="1587" spans="1:12" ht="15.75" thickBot="1">
      <c r="A1587" s="104"/>
      <c r="B1587" s="74" t="s">
        <v>145</v>
      </c>
      <c r="C1587" s="596" t="s">
        <v>146</v>
      </c>
      <c r="D1587" s="596"/>
      <c r="E1587" s="596"/>
      <c r="F1587" s="596"/>
      <c r="G1587" s="596"/>
      <c r="H1587" s="596"/>
      <c r="I1587" s="596"/>
      <c r="J1587" s="596"/>
      <c r="K1587" s="596"/>
      <c r="L1587" s="597"/>
    </row>
    <row r="1588" spans="1:12" ht="15.75" thickBot="1"/>
    <row r="1589" spans="1:12" ht="21.75" thickBot="1">
      <c r="A1589" s="586" t="s">
        <v>89</v>
      </c>
      <c r="B1589" s="587"/>
      <c r="C1589" s="587"/>
      <c r="D1589" s="587"/>
      <c r="E1589" s="587"/>
      <c r="F1589" s="587"/>
      <c r="G1589" s="587"/>
      <c r="H1589" s="587"/>
      <c r="I1589" s="587"/>
      <c r="J1589" s="587"/>
      <c r="K1589" s="587"/>
      <c r="L1589" s="588"/>
    </row>
    <row r="1590" spans="1:12" ht="32.25" thickBot="1">
      <c r="A1590" s="69" t="s">
        <v>90</v>
      </c>
      <c r="B1590" s="589" t="s">
        <v>91</v>
      </c>
      <c r="C1590" s="589"/>
      <c r="D1590" s="589"/>
      <c r="E1590" s="589"/>
      <c r="F1590" s="589"/>
      <c r="G1590" s="589"/>
      <c r="H1590" s="589"/>
      <c r="I1590" s="589"/>
      <c r="J1590" s="589"/>
      <c r="K1590" s="589"/>
      <c r="L1590" s="589"/>
    </row>
    <row r="1591" spans="1:12" ht="16.5" thickBot="1">
      <c r="A1591" s="100"/>
      <c r="B1591" s="71" t="s">
        <v>92</v>
      </c>
      <c r="C1591" s="575" t="s">
        <v>93</v>
      </c>
      <c r="D1591" s="575"/>
      <c r="E1591" s="575"/>
      <c r="F1591" s="575"/>
      <c r="G1591" s="575"/>
      <c r="H1591" s="575"/>
      <c r="I1591" s="575"/>
      <c r="J1591" s="575"/>
      <c r="K1591" s="575"/>
      <c r="L1591" s="576"/>
    </row>
    <row r="1592" spans="1:12" ht="16.5" thickBot="1">
      <c r="A1592" s="101"/>
      <c r="B1592" s="589" t="s">
        <v>94</v>
      </c>
      <c r="C1592" s="590"/>
      <c r="D1592" s="590"/>
      <c r="E1592" s="590"/>
      <c r="F1592" s="590"/>
      <c r="G1592" s="590"/>
      <c r="H1592" s="590"/>
      <c r="I1592" s="590"/>
      <c r="J1592" s="590"/>
      <c r="K1592" s="590"/>
      <c r="L1592" s="590"/>
    </row>
    <row r="1593" spans="1:12">
      <c r="A1593" s="101"/>
      <c r="B1593" s="71" t="s">
        <v>95</v>
      </c>
      <c r="C1593" s="559" t="s">
        <v>96</v>
      </c>
      <c r="D1593" s="559"/>
      <c r="E1593" s="559"/>
      <c r="F1593" s="559"/>
      <c r="G1593" s="559"/>
      <c r="H1593" s="559"/>
      <c r="I1593" s="559"/>
      <c r="J1593" s="559"/>
      <c r="K1593" s="559"/>
      <c r="L1593" s="560"/>
    </row>
    <row r="1594" spans="1:12">
      <c r="A1594" s="102" t="s">
        <v>190</v>
      </c>
      <c r="B1594" s="72" t="s">
        <v>98</v>
      </c>
      <c r="C1594" s="559" t="str">
        <f ca="1">OFFSET('Bateria indicadores proceso'!$F$3,(RIGHT(A1594,3)),1)</f>
        <v>Dirección de Asuntos para Comunidades Negras, Afrocolombianas, Raizales y Palenqueras</v>
      </c>
      <c r="D1594" s="559"/>
      <c r="E1594" s="559"/>
      <c r="F1594" s="559"/>
      <c r="G1594" s="559"/>
      <c r="H1594" s="559"/>
      <c r="I1594" s="559"/>
      <c r="J1594" s="559"/>
      <c r="K1594" s="559"/>
      <c r="L1594" s="560"/>
    </row>
    <row r="1595" spans="1:12">
      <c r="A1595" s="101"/>
      <c r="B1595" s="72" t="s">
        <v>99</v>
      </c>
      <c r="C1595" s="559" t="str">
        <f ca="1">OFFSET('Bateria indicadores proceso'!$K$3,(RIGHT(A1594,3)),1)</f>
        <v>Registro Público Único Nacional y/o actualización de los Consejos Comunitarios,  Formas o Expresiones Organizativas, Organizaciones de Base y las demás que cree la Ley, de las Comunidades Negras, Afrocolombianas, Raizales y Palenqueras, realizadas por la Dirección de Asuntos para Comunidades Negras, Afrocolombianas, Raizales y Palenqueras</v>
      </c>
      <c r="D1595" s="559"/>
      <c r="E1595" s="559"/>
      <c r="F1595" s="559"/>
      <c r="G1595" s="559"/>
      <c r="H1595" s="559"/>
      <c r="I1595" s="559"/>
      <c r="J1595" s="559"/>
      <c r="K1595" s="559"/>
      <c r="L1595" s="560"/>
    </row>
    <row r="1596" spans="1:12">
      <c r="A1596" s="101"/>
      <c r="B1596" s="72" t="s">
        <v>100</v>
      </c>
      <c r="C1596" s="559" t="str">
        <f ca="1">OFFSET('Bateria indicadores proceso'!$I$3,(RIGHT(A1594,3)),1)</f>
        <v>Eficacia</v>
      </c>
      <c r="D1596" s="559"/>
      <c r="E1596" s="559"/>
      <c r="F1596" s="559"/>
      <c r="G1596" s="559"/>
      <c r="H1596" s="559"/>
      <c r="I1596" s="559"/>
      <c r="J1596" s="559"/>
      <c r="K1596" s="559"/>
      <c r="L1596" s="560"/>
    </row>
    <row r="1597" spans="1:12" ht="15.75" thickBot="1">
      <c r="A1597" s="103"/>
      <c r="B1597" s="73" t="s">
        <v>101</v>
      </c>
      <c r="C1597" s="559" t="str">
        <f ca="1">OFFSET('Bateria indicadores proceso'!$J$3,(RIGHT(A1594,3)),1)</f>
        <v xml:space="preserve">La  Dirección de Asuntos para Comunidades Negras, Afrocolombianas, Raizales y Palenqueras, realiza el registros y Actualizaciones Realizadas sobre el Total de Registros y Actualizaciones de Organizaciones de Comunidades Negras, Afrocolombianas, Raizales y Palenqueras, esto es importante medirlo por que  las organizaciones legalmente organizadas puedan acceder a los proyectos de inversión que oferta el gobierno nacional; la medición del presente indicador se proyecta con una tendencia de incremental para cada trimestre. </v>
      </c>
      <c r="D1597" s="559"/>
      <c r="E1597" s="559"/>
      <c r="F1597" s="559"/>
      <c r="G1597" s="559"/>
      <c r="H1597" s="559"/>
      <c r="I1597" s="559"/>
      <c r="J1597" s="559"/>
      <c r="K1597" s="559"/>
      <c r="L1597" s="560"/>
    </row>
    <row r="1598" spans="1:12" ht="16.5" thickBot="1">
      <c r="A1598" s="103"/>
      <c r="B1598" s="572" t="s">
        <v>102</v>
      </c>
      <c r="C1598" s="573"/>
      <c r="D1598" s="573"/>
      <c r="E1598" s="573"/>
      <c r="F1598" s="573"/>
      <c r="G1598" s="573"/>
      <c r="H1598" s="573"/>
      <c r="I1598" s="573"/>
      <c r="J1598" s="573"/>
      <c r="K1598" s="573"/>
      <c r="L1598" s="574"/>
    </row>
    <row r="1599" spans="1:12">
      <c r="A1599" s="101"/>
      <c r="B1599" s="71" t="s">
        <v>103</v>
      </c>
      <c r="C1599" s="559" t="str">
        <f ca="1">OFFSET('Bateria indicadores proceso'!$O$3,(RIGHT(A1594,3)),1)</f>
        <v>Número</v>
      </c>
      <c r="D1599" s="559"/>
      <c r="E1599" s="559"/>
      <c r="F1599" s="559"/>
      <c r="G1599" s="559"/>
      <c r="H1599" s="559"/>
      <c r="I1599" s="559"/>
      <c r="J1599" s="559"/>
      <c r="K1599" s="559"/>
      <c r="L1599" s="560"/>
    </row>
    <row r="1600" spans="1:12" ht="24">
      <c r="A1600" s="101"/>
      <c r="B1600" s="72" t="s">
        <v>104</v>
      </c>
      <c r="C1600" s="559"/>
      <c r="D1600" s="559"/>
      <c r="E1600" s="559"/>
      <c r="F1600" s="559"/>
      <c r="G1600" s="559"/>
      <c r="H1600" s="559"/>
      <c r="I1600" s="559"/>
      <c r="J1600" s="559"/>
      <c r="K1600" s="559"/>
      <c r="L1600" s="560"/>
    </row>
    <row r="1601" spans="1:12">
      <c r="A1601" s="101"/>
      <c r="B1601" s="72" t="s">
        <v>105</v>
      </c>
      <c r="C1601" s="559" t="str">
        <f ca="1">OFFSET('Bateria indicadores proceso'!$L$3,(RIGHT(A1594,3)),1)</f>
        <v>Sumatoria de Registro, actualización realizadas de los Consejos Comunitarios,  Formas o Expresiones Organizativas, Organizaciones de Base y las demás que cree la Ley, de las Comunidades Negras, Afrocolombianas, Raizales y Palenqueras</v>
      </c>
      <c r="D1601" s="559"/>
      <c r="E1601" s="559"/>
      <c r="F1601" s="559"/>
      <c r="G1601" s="559"/>
      <c r="H1601" s="559"/>
      <c r="I1601" s="559"/>
      <c r="J1601" s="559"/>
      <c r="K1601" s="559"/>
      <c r="L1601" s="560"/>
    </row>
    <row r="1602" spans="1:12">
      <c r="A1602" s="101"/>
      <c r="B1602" s="72" t="s">
        <v>106</v>
      </c>
      <c r="C1602" s="559" t="str">
        <f ca="1">OFFSET('Bateria indicadores proceso'!$Z$3,(RIGHT(A1594,3)),1)</f>
        <v>Trimestral</v>
      </c>
      <c r="D1602" s="559"/>
      <c r="E1602" s="559"/>
      <c r="F1602" s="559"/>
      <c r="G1602" s="559"/>
      <c r="H1602" s="559"/>
      <c r="I1602" s="559"/>
      <c r="J1602" s="559"/>
      <c r="K1602" s="559"/>
      <c r="L1602" s="560"/>
    </row>
    <row r="1603" spans="1:12">
      <c r="A1603" s="101"/>
      <c r="B1603" s="72" t="s">
        <v>107</v>
      </c>
      <c r="C1603" s="559" t="str">
        <f ca="1">OFFSET('Bateria indicadores proceso'!$X$3,(RIGHT(A1594,3)),1)</f>
        <v>Plan estratégico y de acción 2026</v>
      </c>
      <c r="D1603" s="559"/>
      <c r="E1603" s="559"/>
      <c r="F1603" s="559"/>
      <c r="G1603" s="559"/>
      <c r="H1603" s="559"/>
      <c r="I1603" s="559"/>
      <c r="J1603" s="559"/>
      <c r="K1603" s="559"/>
      <c r="L1603" s="560"/>
    </row>
    <row r="1604" spans="1:12">
      <c r="A1604" s="101"/>
      <c r="B1604" s="72" t="s">
        <v>108</v>
      </c>
      <c r="C1604" s="561">
        <f ca="1">OFFSET('Bateria indicadores proceso'!$P$3,(RIGHT(A1594,3)),1)</f>
        <v>2024</v>
      </c>
      <c r="D1604" s="561"/>
      <c r="E1604" s="561"/>
      <c r="F1604" s="561"/>
      <c r="G1604" s="561"/>
      <c r="H1604" s="561"/>
      <c r="I1604" s="561"/>
      <c r="J1604" s="561"/>
      <c r="K1604" s="561"/>
      <c r="L1604" s="566"/>
    </row>
    <row r="1605" spans="1:12">
      <c r="A1605" s="101"/>
      <c r="B1605" s="72" t="s">
        <v>109</v>
      </c>
      <c r="C1605" s="561" t="str">
        <f ca="1">IF(C1599="Número",TEXT(OFFSET('Bateria indicadores proceso'!$Q$3,(RIGHT(A1594,3)),1),"######"),TEXT(OFFSET('Bateria indicadores proceso'!$Q$3,(RIGHT(A1594,3)),1),"0.0%"))</f>
        <v>150</v>
      </c>
      <c r="D1605" s="561"/>
      <c r="E1605" s="561"/>
      <c r="F1605" s="561"/>
      <c r="G1605" s="561"/>
      <c r="H1605" s="561"/>
      <c r="I1605" s="561"/>
      <c r="J1605" s="561"/>
      <c r="K1605" s="561"/>
      <c r="L1605" s="566"/>
    </row>
    <row r="1606" spans="1:12">
      <c r="A1606" s="101"/>
      <c r="B1606" s="72" t="s">
        <v>110</v>
      </c>
      <c r="C1606" s="593">
        <f ca="1">+OFFSET('Bateria indicadores proceso'!$R$3,(RIGHT(A1594,3)),1)</f>
        <v>46022</v>
      </c>
      <c r="D1606" s="593"/>
      <c r="E1606" s="593"/>
      <c r="F1606" s="593"/>
      <c r="G1606" s="593"/>
      <c r="H1606" s="593"/>
      <c r="I1606" s="593"/>
      <c r="J1606" s="593"/>
      <c r="K1606" s="593"/>
      <c r="L1606" s="594"/>
    </row>
    <row r="1607" spans="1:12">
      <c r="A1607" s="101"/>
      <c r="B1607" s="72" t="s">
        <v>111</v>
      </c>
      <c r="C1607" s="561" t="str">
        <f ca="1">OFFSET('Bateria indicadores proceso'!$M$3,(RIGHT(A1594,3)),1)</f>
        <v>Incrementar</v>
      </c>
      <c r="D1607" s="561"/>
      <c r="E1607" s="561"/>
      <c r="F1607" s="561"/>
      <c r="G1607" s="561"/>
      <c r="H1607" s="561"/>
      <c r="I1607" s="561"/>
      <c r="J1607" s="561"/>
      <c r="K1607" s="561"/>
      <c r="L1607" s="566"/>
    </row>
    <row r="1608" spans="1:12">
      <c r="A1608" s="101"/>
      <c r="B1608" s="72" t="s">
        <v>112</v>
      </c>
      <c r="C1608" s="561" t="str">
        <f ca="1">OFFSET('Bateria indicadores proceso'!$N$3,(RIGHT(A1594,3)),1)</f>
        <v>Acumulado</v>
      </c>
      <c r="D1608" s="561"/>
      <c r="E1608" s="561"/>
      <c r="F1608" s="561"/>
      <c r="G1608" s="561"/>
      <c r="H1608" s="561"/>
      <c r="I1608" s="561"/>
      <c r="J1608" s="561"/>
      <c r="K1608" s="561"/>
      <c r="L1608" s="566"/>
    </row>
    <row r="1609" spans="1:12">
      <c r="A1609" s="101"/>
      <c r="B1609" s="72" t="s">
        <v>113</v>
      </c>
      <c r="C1609" s="561" t="str">
        <f ca="1">IF(C1599="Número",TEXT(OFFSET('Bateria indicadores proceso'!$W$3,(RIGHT(A1594,3)),1),"######"),TEXT(OFFSET('Bateria indicadores proceso'!$W$3,(RIGHT(A1594,3)),1),"0.0%"))</f>
        <v>200</v>
      </c>
      <c r="D1609" s="561"/>
      <c r="E1609" s="561"/>
      <c r="F1609" s="561"/>
      <c r="G1609" s="561"/>
      <c r="H1609" s="561"/>
      <c r="I1609" s="561"/>
      <c r="J1609" s="561"/>
      <c r="K1609" s="561"/>
      <c r="L1609" s="566"/>
    </row>
    <row r="1610" spans="1:12">
      <c r="A1610" s="101"/>
      <c r="B1610" s="595" t="s">
        <v>114</v>
      </c>
      <c r="C1610" s="70" t="s">
        <v>115</v>
      </c>
      <c r="D1610" s="70" t="s">
        <v>116</v>
      </c>
      <c r="E1610" s="70" t="s">
        <v>117</v>
      </c>
      <c r="F1610" s="70" t="s">
        <v>118</v>
      </c>
      <c r="J1610" s="75"/>
      <c r="K1610" s="75"/>
      <c r="L1610" s="76"/>
    </row>
    <row r="1611" spans="1:12">
      <c r="A1611" s="101"/>
      <c r="B1611" s="595"/>
      <c r="C1611" s="70" t="str">
        <f ca="1">IF(C1599="Número",TEXT(OFFSET('Bateria indicadores proceso'!$S$3,(RIGHT(A1594,3)),1),"######"),TEXT(OFFSET('Bateria indicadores proceso'!$S$3,(RIGHT(A1594,3)),1),"0.0%"))</f>
        <v>25</v>
      </c>
      <c r="D1611" s="70" t="str">
        <f ca="1">IF(C1599="Número",TEXT(OFFSET('Bateria indicadores proceso'!$T$3,(RIGHT(A1594,3)),1),"######"),TEXT(OFFSET('Bateria indicadores proceso'!$T$3,(RIGHT(A1594,3)),1),"0.0%"))</f>
        <v>45</v>
      </c>
      <c r="E1611" s="70" t="str">
        <f ca="1">IF(C1599="Número",TEXT(OFFSET('Bateria indicadores proceso'!$U$3,(RIGHT(A1594,3)),1),"######"),TEXT(OFFSET('Bateria indicadores proceso'!$U$3,(RIGHT(A1594,3)),1),"0.0%"))</f>
        <v>55</v>
      </c>
      <c r="F1611" s="70" t="str">
        <f ca="1">IF(C1599="Número",TEXT(OFFSET('Bateria indicadores proceso'!$V$3,(RIGHT(A1594,3)),1),"######"),TEXT(OFFSET('Bateria indicadores proceso'!$V$3,(RIGHT(A1594,3)),1),"0.0%"))</f>
        <v>75</v>
      </c>
      <c r="J1611" s="77"/>
      <c r="K1611" s="77"/>
      <c r="L1611" s="78"/>
    </row>
    <row r="1612" spans="1:12">
      <c r="A1612" s="101"/>
      <c r="B1612" s="600" t="s">
        <v>119</v>
      </c>
      <c r="C1612" s="567" t="s">
        <v>120</v>
      </c>
      <c r="D1612" s="568"/>
      <c r="E1612" s="567" t="s">
        <v>121</v>
      </c>
      <c r="F1612" s="568"/>
      <c r="G1612" s="567" t="s">
        <v>122</v>
      </c>
      <c r="H1612" s="568"/>
      <c r="I1612" s="567" t="s">
        <v>123</v>
      </c>
      <c r="J1612" s="568"/>
      <c r="K1612" s="567" t="s">
        <v>124</v>
      </c>
      <c r="L1612" s="569"/>
    </row>
    <row r="1613" spans="1:12">
      <c r="A1613" s="101"/>
      <c r="B1613" s="601"/>
      <c r="C1613" s="570" t="s">
        <v>125</v>
      </c>
      <c r="D1613" s="571"/>
      <c r="E1613" s="577" t="s">
        <v>126</v>
      </c>
      <c r="F1613" s="578"/>
      <c r="G1613" s="579" t="s">
        <v>127</v>
      </c>
      <c r="H1613" s="580"/>
      <c r="I1613" s="581" t="s">
        <v>128</v>
      </c>
      <c r="J1613" s="582"/>
      <c r="K1613" s="583" t="s">
        <v>129</v>
      </c>
      <c r="L1613" s="584"/>
    </row>
    <row r="1614" spans="1:12">
      <c r="A1614" s="101"/>
      <c r="B1614" s="602"/>
      <c r="C1614" s="567" t="s">
        <v>130</v>
      </c>
      <c r="D1614" s="568"/>
      <c r="E1614" s="567" t="s">
        <v>131</v>
      </c>
      <c r="F1614" s="568"/>
      <c r="G1614" s="585" t="s">
        <v>132</v>
      </c>
      <c r="H1614" s="568"/>
      <c r="I1614" s="567" t="s">
        <v>133</v>
      </c>
      <c r="J1614" s="568"/>
      <c r="K1614" s="567" t="s">
        <v>134</v>
      </c>
      <c r="L1614" s="569"/>
    </row>
    <row r="1615" spans="1:12">
      <c r="A1615" s="101"/>
      <c r="B1615" s="72" t="s">
        <v>135</v>
      </c>
      <c r="C1615" s="559" t="str">
        <f ca="1">OFFSET('Bateria indicadores proceso'!$Y$3,(RIGHT(A1594,3)),1)</f>
        <v>Matriz de excel, registros, actualizaciones, informes controldoc</v>
      </c>
      <c r="D1615" s="559"/>
      <c r="E1615" s="559"/>
      <c r="F1615" s="559"/>
      <c r="G1615" s="559"/>
      <c r="H1615" s="559"/>
      <c r="I1615" s="559"/>
      <c r="J1615" s="559"/>
      <c r="K1615" s="559"/>
      <c r="L1615" s="560"/>
    </row>
    <row r="1616" spans="1:12">
      <c r="A1616" s="101"/>
      <c r="B1616" s="591" t="s">
        <v>136</v>
      </c>
      <c r="C1616" s="561" t="s">
        <v>137</v>
      </c>
      <c r="D1616" s="561"/>
      <c r="E1616" s="561"/>
      <c r="F1616" s="562" t="str">
        <f ca="1">OFFSET('Bateria indicadores proceso'!$B$3,(RIGHT(A1594,3)),1)</f>
        <v>GESTIÓN PARA LA PROTECCIÓN DE LOS DERECHOS</v>
      </c>
      <c r="G1616" s="562"/>
      <c r="H1616" s="562"/>
      <c r="I1616" s="562"/>
      <c r="J1616" s="562"/>
      <c r="K1616" s="562"/>
      <c r="L1616" s="563"/>
    </row>
    <row r="1617" spans="1:12">
      <c r="A1617" s="101"/>
      <c r="B1617" s="592"/>
      <c r="C1617" s="561" t="s">
        <v>138</v>
      </c>
      <c r="D1617" s="561"/>
      <c r="E1617" s="561"/>
      <c r="F1617" s="564">
        <f ca="1">OFFSET('Bateria indicadores proceso'!$C$3,(RIGHT(A1594,3)),1)</f>
        <v>0.11</v>
      </c>
      <c r="G1617" s="564"/>
      <c r="H1617" s="564"/>
      <c r="I1617" s="564"/>
      <c r="J1617" s="564"/>
      <c r="K1617" s="564"/>
      <c r="L1617" s="565"/>
    </row>
    <row r="1618" spans="1:12" ht="15.75" thickBot="1">
      <c r="A1618" s="101"/>
      <c r="B1618" s="592"/>
      <c r="C1618" s="561" t="s">
        <v>139</v>
      </c>
      <c r="D1618" s="561"/>
      <c r="E1618" s="561"/>
      <c r="F1618" s="564">
        <f ca="1">OFFSET('Bateria indicadores proceso'!$E$3,(RIGHT(A1594,3)),1)</f>
        <v>0.02</v>
      </c>
      <c r="G1618" s="564"/>
      <c r="H1618" s="564"/>
      <c r="I1618" s="564"/>
      <c r="J1618" s="564"/>
      <c r="K1618" s="564"/>
      <c r="L1618" s="565"/>
    </row>
    <row r="1619" spans="1:12" ht="16.5" thickBot="1">
      <c r="A1619" s="101"/>
      <c r="B1619" s="572" t="s">
        <v>140</v>
      </c>
      <c r="C1619" s="573"/>
      <c r="D1619" s="573"/>
      <c r="E1619" s="573"/>
      <c r="F1619" s="573"/>
      <c r="G1619" s="573"/>
      <c r="H1619" s="573"/>
      <c r="I1619" s="573"/>
      <c r="J1619" s="573"/>
      <c r="K1619" s="573"/>
      <c r="L1619" s="574"/>
    </row>
    <row r="1620" spans="1:12">
      <c r="A1620" s="101"/>
      <c r="B1620" s="72" t="s">
        <v>142</v>
      </c>
      <c r="C1620" s="561" t="str">
        <f ca="1">OFFSET('Bateria indicadores proceso'!$G$3,(RIGHT(A1594,3)),1)</f>
        <v>Director</v>
      </c>
      <c r="D1620" s="561"/>
      <c r="E1620" s="561"/>
      <c r="F1620" s="561"/>
      <c r="G1620" s="561"/>
      <c r="H1620" s="561"/>
      <c r="I1620" s="561"/>
      <c r="J1620" s="561"/>
      <c r="K1620" s="561"/>
      <c r="L1620" s="566"/>
    </row>
    <row r="1621" spans="1:12">
      <c r="A1621" s="101"/>
      <c r="B1621" s="72" t="s">
        <v>143</v>
      </c>
      <c r="C1621" s="561" t="str">
        <f ca="1">OFFSET('Bateria indicadores proceso'!$F$3,(RIGHT(A1594,3)),1)</f>
        <v>Dirección de Asuntos para Comunidades Negras, Afrocolombianas, Raizales y Palenqueras</v>
      </c>
      <c r="D1621" s="561"/>
      <c r="E1621" s="561"/>
      <c r="F1621" s="561"/>
      <c r="G1621" s="561"/>
      <c r="H1621" s="561"/>
      <c r="I1621" s="561"/>
      <c r="J1621" s="561"/>
      <c r="K1621" s="561"/>
      <c r="L1621" s="566"/>
    </row>
    <row r="1622" spans="1:12">
      <c r="A1622" s="101"/>
      <c r="B1622" s="72" t="s">
        <v>144</v>
      </c>
      <c r="C1622" s="598" t="str">
        <f ca="1">OFFSET('Bateria indicadores proceso'!$H$3,(RIGHT(A1594,3)),1)</f>
        <v>amelia.cotes@mininterior.gov.co</v>
      </c>
      <c r="D1622" s="598"/>
      <c r="E1622" s="598"/>
      <c r="F1622" s="598"/>
      <c r="G1622" s="598"/>
      <c r="H1622" s="598"/>
      <c r="I1622" s="598"/>
      <c r="J1622" s="598"/>
      <c r="K1622" s="598"/>
      <c r="L1622" s="599"/>
    </row>
    <row r="1623" spans="1:12" ht="15.75" thickBot="1">
      <c r="A1623" s="104"/>
      <c r="B1623" s="74" t="s">
        <v>145</v>
      </c>
      <c r="C1623" s="596" t="s">
        <v>146</v>
      </c>
      <c r="D1623" s="596"/>
      <c r="E1623" s="596"/>
      <c r="F1623" s="596"/>
      <c r="G1623" s="596"/>
      <c r="H1623" s="596"/>
      <c r="I1623" s="596"/>
      <c r="J1623" s="596"/>
      <c r="K1623" s="596"/>
      <c r="L1623" s="597"/>
    </row>
    <row r="1624" spans="1:12" ht="15.75" thickBot="1"/>
    <row r="1625" spans="1:12" ht="21.75" thickBot="1">
      <c r="A1625" s="586" t="s">
        <v>89</v>
      </c>
      <c r="B1625" s="587"/>
      <c r="C1625" s="587"/>
      <c r="D1625" s="587"/>
      <c r="E1625" s="587"/>
      <c r="F1625" s="587"/>
      <c r="G1625" s="587"/>
      <c r="H1625" s="587"/>
      <c r="I1625" s="587"/>
      <c r="J1625" s="587"/>
      <c r="K1625" s="587"/>
      <c r="L1625" s="588"/>
    </row>
    <row r="1626" spans="1:12" ht="32.25" thickBot="1">
      <c r="A1626" s="69" t="s">
        <v>90</v>
      </c>
      <c r="B1626" s="589" t="s">
        <v>91</v>
      </c>
      <c r="C1626" s="589"/>
      <c r="D1626" s="589"/>
      <c r="E1626" s="589"/>
      <c r="F1626" s="589"/>
      <c r="G1626" s="589"/>
      <c r="H1626" s="589"/>
      <c r="I1626" s="589"/>
      <c r="J1626" s="589"/>
      <c r="K1626" s="589"/>
      <c r="L1626" s="589"/>
    </row>
    <row r="1627" spans="1:12" ht="16.5" thickBot="1">
      <c r="A1627" s="100"/>
      <c r="B1627" s="71" t="s">
        <v>92</v>
      </c>
      <c r="C1627" s="575" t="s">
        <v>93</v>
      </c>
      <c r="D1627" s="575"/>
      <c r="E1627" s="575"/>
      <c r="F1627" s="575"/>
      <c r="G1627" s="575"/>
      <c r="H1627" s="575"/>
      <c r="I1627" s="575"/>
      <c r="J1627" s="575"/>
      <c r="K1627" s="575"/>
      <c r="L1627" s="576"/>
    </row>
    <row r="1628" spans="1:12" ht="16.5" thickBot="1">
      <c r="A1628" s="101"/>
      <c r="B1628" s="589" t="s">
        <v>94</v>
      </c>
      <c r="C1628" s="590"/>
      <c r="D1628" s="590"/>
      <c r="E1628" s="590"/>
      <c r="F1628" s="590"/>
      <c r="G1628" s="590"/>
      <c r="H1628" s="590"/>
      <c r="I1628" s="590"/>
      <c r="J1628" s="590"/>
      <c r="K1628" s="590"/>
      <c r="L1628" s="590"/>
    </row>
    <row r="1629" spans="1:12">
      <c r="A1629" s="101"/>
      <c r="B1629" s="71" t="s">
        <v>95</v>
      </c>
      <c r="C1629" s="559" t="s">
        <v>96</v>
      </c>
      <c r="D1629" s="559"/>
      <c r="E1629" s="559"/>
      <c r="F1629" s="559"/>
      <c r="G1629" s="559"/>
      <c r="H1629" s="559"/>
      <c r="I1629" s="559"/>
      <c r="J1629" s="559"/>
      <c r="K1629" s="559"/>
      <c r="L1629" s="560"/>
    </row>
    <row r="1630" spans="1:12">
      <c r="A1630" s="102" t="s">
        <v>191</v>
      </c>
      <c r="B1630" s="72" t="s">
        <v>98</v>
      </c>
      <c r="C1630" s="559" t="str">
        <f ca="1">OFFSET('Bateria indicadores proceso'!$F$3,(RIGHT(A1630,3)),1)</f>
        <v>Dirección de Asuntos para Comunidades Negras, Afrocolombianas, Raizales y Palenqueras</v>
      </c>
      <c r="D1630" s="559"/>
      <c r="E1630" s="559"/>
      <c r="F1630" s="559"/>
      <c r="G1630" s="559"/>
      <c r="H1630" s="559"/>
      <c r="I1630" s="559"/>
      <c r="J1630" s="559"/>
      <c r="K1630" s="559"/>
      <c r="L1630" s="560"/>
    </row>
    <row r="1631" spans="1:12">
      <c r="A1631" s="101"/>
      <c r="B1631" s="72" t="s">
        <v>99</v>
      </c>
      <c r="C1631" s="559" t="str">
        <f ca="1">OFFSET('Bateria indicadores proceso'!$K$3,(RIGHT(A1630,3)),1)</f>
        <v>Procesos de Consulta Previa para la adopción de Medidas Legislativas y Administrativas de Amplio Alcance Susceptibles de Afectar a las Comunidades Negras, Afrocolombianas, Raizales y Palenqueras  (Espacio Nacional de Consulta Previa - ENCP y Sesiones de las Comisiones, coordinados y realizados</v>
      </c>
      <c r="D1631" s="559"/>
      <c r="E1631" s="559"/>
      <c r="F1631" s="559"/>
      <c r="G1631" s="559"/>
      <c r="H1631" s="559"/>
      <c r="I1631" s="559"/>
      <c r="J1631" s="559"/>
      <c r="K1631" s="559"/>
      <c r="L1631" s="560"/>
    </row>
    <row r="1632" spans="1:12">
      <c r="A1632" s="101"/>
      <c r="B1632" s="72" t="s">
        <v>100</v>
      </c>
      <c r="C1632" s="559" t="str">
        <f ca="1">OFFSET('Bateria indicadores proceso'!$I$3,(RIGHT(A1630,3)),1)</f>
        <v>Eficacia</v>
      </c>
      <c r="D1632" s="559"/>
      <c r="E1632" s="559"/>
      <c r="F1632" s="559"/>
      <c r="G1632" s="559"/>
      <c r="H1632" s="559"/>
      <c r="I1632" s="559"/>
      <c r="J1632" s="559"/>
      <c r="K1632" s="559"/>
      <c r="L1632" s="560"/>
    </row>
    <row r="1633" spans="1:12" ht="15.75" thickBot="1">
      <c r="A1633" s="103"/>
      <c r="B1633" s="73" t="s">
        <v>101</v>
      </c>
      <c r="C1633" s="559" t="str">
        <f ca="1">OFFSET('Bateria indicadores proceso'!$J$3,(RIGHT(A1630,3)),1)</f>
        <v>Procesos de Consulta Previa Realizados para Medidas Legislativas y Administrativas Afectando a Comunidades Negras, Afrocolombianas, Raizales y Palenqueras, los cuales aumentan en el periodo espeficico, su inportancia se debe a la Consulta Previa es un derecho fundamental (Sent. C-169/01, Convenio 169 OIT). Medir cuántos procesos se realizan permite.Verificar que el Estado está cumpliendo con la protección de los derechos de las comunidades. Evidenciar que las entidades responsables están aplicando las normas y protocolos vigentes.</v>
      </c>
      <c r="D1633" s="559"/>
      <c r="E1633" s="559"/>
      <c r="F1633" s="559"/>
      <c r="G1633" s="559"/>
      <c r="H1633" s="559"/>
      <c r="I1633" s="559"/>
      <c r="J1633" s="559"/>
      <c r="K1633" s="559"/>
      <c r="L1633" s="560"/>
    </row>
    <row r="1634" spans="1:12" ht="16.5" thickBot="1">
      <c r="A1634" s="103"/>
      <c r="B1634" s="572" t="s">
        <v>102</v>
      </c>
      <c r="C1634" s="573"/>
      <c r="D1634" s="573"/>
      <c r="E1634" s="573"/>
      <c r="F1634" s="573"/>
      <c r="G1634" s="573"/>
      <c r="H1634" s="573"/>
      <c r="I1634" s="573"/>
      <c r="J1634" s="573"/>
      <c r="K1634" s="573"/>
      <c r="L1634" s="574"/>
    </row>
    <row r="1635" spans="1:12">
      <c r="A1635" s="101"/>
      <c r="B1635" s="71" t="s">
        <v>103</v>
      </c>
      <c r="C1635" s="559" t="str">
        <f ca="1">OFFSET('Bateria indicadores proceso'!$O$3,(RIGHT(A1630,3)),1)</f>
        <v>Número</v>
      </c>
      <c r="D1635" s="559"/>
      <c r="E1635" s="559"/>
      <c r="F1635" s="559"/>
      <c r="G1635" s="559"/>
      <c r="H1635" s="559"/>
      <c r="I1635" s="559"/>
      <c r="J1635" s="559"/>
      <c r="K1635" s="559"/>
      <c r="L1635" s="560"/>
    </row>
    <row r="1636" spans="1:12" ht="24">
      <c r="A1636" s="101"/>
      <c r="B1636" s="72" t="s">
        <v>104</v>
      </c>
      <c r="C1636" s="559"/>
      <c r="D1636" s="559"/>
      <c r="E1636" s="559"/>
      <c r="F1636" s="559"/>
      <c r="G1636" s="559"/>
      <c r="H1636" s="559"/>
      <c r="I1636" s="559"/>
      <c r="J1636" s="559"/>
      <c r="K1636" s="559"/>
      <c r="L1636" s="560"/>
    </row>
    <row r="1637" spans="1:12">
      <c r="A1637" s="101"/>
      <c r="B1637" s="72" t="s">
        <v>105</v>
      </c>
      <c r="C1637" s="559" t="str">
        <f ca="1">OFFSET('Bateria indicadores proceso'!$L$3,(RIGHT(A1630,3)),1)</f>
        <v xml:space="preserve">Sumatoria de  procesos de Consulta Previa para la adopción de Medidas Legislativas y Administrativas de Amplio Alcance Susceptibles de Afectar a las Comunidades Negras, Afrocolombianas, Raizales y Palenqueras  (Espacio Nacional de Consulta Previa - ENCP y Sesiones de las Comisiones) realizados </v>
      </c>
      <c r="D1637" s="559"/>
      <c r="E1637" s="559"/>
      <c r="F1637" s="559"/>
      <c r="G1637" s="559"/>
      <c r="H1637" s="559"/>
      <c r="I1637" s="559"/>
      <c r="J1637" s="559"/>
      <c r="K1637" s="559"/>
      <c r="L1637" s="560"/>
    </row>
    <row r="1638" spans="1:12">
      <c r="A1638" s="101"/>
      <c r="B1638" s="72" t="s">
        <v>106</v>
      </c>
      <c r="C1638" s="559" t="str">
        <f ca="1">OFFSET('Bateria indicadores proceso'!$Z$3,(RIGHT(A1630,3)),1)</f>
        <v>Trimestral</v>
      </c>
      <c r="D1638" s="559"/>
      <c r="E1638" s="559"/>
      <c r="F1638" s="559"/>
      <c r="G1638" s="559"/>
      <c r="H1638" s="559"/>
      <c r="I1638" s="559"/>
      <c r="J1638" s="559"/>
      <c r="K1638" s="559"/>
      <c r="L1638" s="560"/>
    </row>
    <row r="1639" spans="1:12">
      <c r="A1639" s="101"/>
      <c r="B1639" s="72" t="s">
        <v>107</v>
      </c>
      <c r="C1639" s="559" t="str">
        <f ca="1">OFFSET('Bateria indicadores proceso'!$X$3,(RIGHT(A1630,3)),1)</f>
        <v>Plan estratégico y de acción 2026</v>
      </c>
      <c r="D1639" s="559"/>
      <c r="E1639" s="559"/>
      <c r="F1639" s="559"/>
      <c r="G1639" s="559"/>
      <c r="H1639" s="559"/>
      <c r="I1639" s="559"/>
      <c r="J1639" s="559"/>
      <c r="K1639" s="559"/>
      <c r="L1639" s="560"/>
    </row>
    <row r="1640" spans="1:12">
      <c r="A1640" s="101"/>
      <c r="B1640" s="72" t="s">
        <v>108</v>
      </c>
      <c r="C1640" s="561">
        <f ca="1">OFFSET('Bateria indicadores proceso'!$P$3,(RIGHT(A1630,3)),1)</f>
        <v>2024</v>
      </c>
      <c r="D1640" s="561"/>
      <c r="E1640" s="561"/>
      <c r="F1640" s="561"/>
      <c r="G1640" s="561"/>
      <c r="H1640" s="561"/>
      <c r="I1640" s="561"/>
      <c r="J1640" s="561"/>
      <c r="K1640" s="561"/>
      <c r="L1640" s="566"/>
    </row>
    <row r="1641" spans="1:12">
      <c r="A1641" s="101"/>
      <c r="B1641" s="72" t="s">
        <v>109</v>
      </c>
      <c r="C1641" s="561" t="str">
        <f ca="1">IF(C1635="Número",TEXT(OFFSET('Bateria indicadores proceso'!$Q$3,(RIGHT(A1630,3)),1),"######"),TEXT(OFFSET('Bateria indicadores proceso'!$Q$3,(RIGHT(A1630,3)),1),"0.0%"))</f>
        <v>25</v>
      </c>
      <c r="D1641" s="561"/>
      <c r="E1641" s="561"/>
      <c r="F1641" s="561"/>
      <c r="G1641" s="561"/>
      <c r="H1641" s="561"/>
      <c r="I1641" s="561"/>
      <c r="J1641" s="561"/>
      <c r="K1641" s="561"/>
      <c r="L1641" s="566"/>
    </row>
    <row r="1642" spans="1:12">
      <c r="A1642" s="101"/>
      <c r="B1642" s="72" t="s">
        <v>110</v>
      </c>
      <c r="C1642" s="593">
        <f ca="1">+OFFSET('Bateria indicadores proceso'!$R$3,(RIGHT(A1630,3)),1)</f>
        <v>46022</v>
      </c>
      <c r="D1642" s="593"/>
      <c r="E1642" s="593"/>
      <c r="F1642" s="593"/>
      <c r="G1642" s="593"/>
      <c r="H1642" s="593"/>
      <c r="I1642" s="593"/>
      <c r="J1642" s="593"/>
      <c r="K1642" s="593"/>
      <c r="L1642" s="594"/>
    </row>
    <row r="1643" spans="1:12">
      <c r="A1643" s="101"/>
      <c r="B1643" s="72" t="s">
        <v>111</v>
      </c>
      <c r="C1643" s="561" t="str">
        <f ca="1">OFFSET('Bateria indicadores proceso'!$M$3,(RIGHT(A1630,3)),1)</f>
        <v>Incrementar</v>
      </c>
      <c r="D1643" s="561"/>
      <c r="E1643" s="561"/>
      <c r="F1643" s="561"/>
      <c r="G1643" s="561"/>
      <c r="H1643" s="561"/>
      <c r="I1643" s="561"/>
      <c r="J1643" s="561"/>
      <c r="K1643" s="561"/>
      <c r="L1643" s="566"/>
    </row>
    <row r="1644" spans="1:12">
      <c r="A1644" s="101"/>
      <c r="B1644" s="72" t="s">
        <v>112</v>
      </c>
      <c r="C1644" s="561" t="str">
        <f ca="1">OFFSET('Bateria indicadores proceso'!$N$3,(RIGHT(A1630,3)),1)</f>
        <v>Acumulado</v>
      </c>
      <c r="D1644" s="561"/>
      <c r="E1644" s="561"/>
      <c r="F1644" s="561"/>
      <c r="G1644" s="561"/>
      <c r="H1644" s="561"/>
      <c r="I1644" s="561"/>
      <c r="J1644" s="561"/>
      <c r="K1644" s="561"/>
      <c r="L1644" s="566"/>
    </row>
    <row r="1645" spans="1:12">
      <c r="A1645" s="101"/>
      <c r="B1645" s="72" t="s">
        <v>113</v>
      </c>
      <c r="C1645" s="561" t="str">
        <f ca="1">IF(C1635="Número",TEXT(OFFSET('Bateria indicadores proceso'!$W$3,(RIGHT(A1630,3)),1),"######"),TEXT(OFFSET('Bateria indicadores proceso'!$W$3,(RIGHT(A1630,3)),1),"0.0%"))</f>
        <v>26</v>
      </c>
      <c r="D1645" s="561"/>
      <c r="E1645" s="561"/>
      <c r="F1645" s="561"/>
      <c r="G1645" s="561"/>
      <c r="H1645" s="561"/>
      <c r="I1645" s="561"/>
      <c r="J1645" s="561"/>
      <c r="K1645" s="561"/>
      <c r="L1645" s="566"/>
    </row>
    <row r="1646" spans="1:12">
      <c r="A1646" s="101"/>
      <c r="B1646" s="595" t="s">
        <v>114</v>
      </c>
      <c r="C1646" s="70" t="s">
        <v>115</v>
      </c>
      <c r="D1646" s="70" t="s">
        <v>116</v>
      </c>
      <c r="E1646" s="70" t="s">
        <v>117</v>
      </c>
      <c r="F1646" s="70" t="s">
        <v>118</v>
      </c>
      <c r="J1646" s="75"/>
      <c r="K1646" s="75"/>
      <c r="L1646" s="76"/>
    </row>
    <row r="1647" spans="1:12">
      <c r="A1647" s="101"/>
      <c r="B1647" s="595"/>
      <c r="C1647" s="70" t="str">
        <f ca="1">IF(C1635="Número",TEXT(OFFSET('Bateria indicadores proceso'!$S$3,(RIGHT(A1630,3)),1),"######"),TEXT(OFFSET('Bateria indicadores proceso'!$S$3,(RIGHT(A1630,3)),1),"0.0%"))</f>
        <v>5</v>
      </c>
      <c r="D1647" s="70" t="str">
        <f ca="1">IF(C1635="Número",TEXT(OFFSET('Bateria indicadores proceso'!$T$3,(RIGHT(A1630,3)),1),"######"),TEXT(OFFSET('Bateria indicadores proceso'!$T$3,(RIGHT(A1630,3)),1),"0.0%"))</f>
        <v>6</v>
      </c>
      <c r="E1647" s="70" t="str">
        <f ca="1">IF(C1635="Número",TEXT(OFFSET('Bateria indicadores proceso'!$U$3,(RIGHT(A1630,3)),1),"######"),TEXT(OFFSET('Bateria indicadores proceso'!$U$3,(RIGHT(A1630,3)),1),"0.0%"))</f>
        <v>7</v>
      </c>
      <c r="F1647" s="70" t="str">
        <f ca="1">IF(C1635="Número",TEXT(OFFSET('Bateria indicadores proceso'!$V$3,(RIGHT(A1630,3)),1),"######"),TEXT(OFFSET('Bateria indicadores proceso'!$V$3,(RIGHT(A1630,3)),1),"0.0%"))</f>
        <v>8</v>
      </c>
      <c r="J1647" s="77"/>
      <c r="K1647" s="77"/>
      <c r="L1647" s="78"/>
    </row>
    <row r="1648" spans="1:12">
      <c r="A1648" s="101"/>
      <c r="B1648" s="600" t="s">
        <v>119</v>
      </c>
      <c r="C1648" s="567" t="s">
        <v>120</v>
      </c>
      <c r="D1648" s="568"/>
      <c r="E1648" s="567" t="s">
        <v>121</v>
      </c>
      <c r="F1648" s="568"/>
      <c r="G1648" s="567" t="s">
        <v>122</v>
      </c>
      <c r="H1648" s="568"/>
      <c r="I1648" s="567" t="s">
        <v>123</v>
      </c>
      <c r="J1648" s="568"/>
      <c r="K1648" s="567" t="s">
        <v>124</v>
      </c>
      <c r="L1648" s="569"/>
    </row>
    <row r="1649" spans="1:12">
      <c r="A1649" s="101"/>
      <c r="B1649" s="601"/>
      <c r="C1649" s="570" t="s">
        <v>125</v>
      </c>
      <c r="D1649" s="571"/>
      <c r="E1649" s="577" t="s">
        <v>126</v>
      </c>
      <c r="F1649" s="578"/>
      <c r="G1649" s="579" t="s">
        <v>127</v>
      </c>
      <c r="H1649" s="580"/>
      <c r="I1649" s="581" t="s">
        <v>128</v>
      </c>
      <c r="J1649" s="582"/>
      <c r="K1649" s="583" t="s">
        <v>129</v>
      </c>
      <c r="L1649" s="584"/>
    </row>
    <row r="1650" spans="1:12">
      <c r="A1650" s="101"/>
      <c r="B1650" s="602"/>
      <c r="C1650" s="567" t="s">
        <v>130</v>
      </c>
      <c r="D1650" s="568"/>
      <c r="E1650" s="567" t="s">
        <v>131</v>
      </c>
      <c r="F1650" s="568"/>
      <c r="G1650" s="585" t="s">
        <v>132</v>
      </c>
      <c r="H1650" s="568"/>
      <c r="I1650" s="567" t="s">
        <v>133</v>
      </c>
      <c r="J1650" s="568"/>
      <c r="K1650" s="567" t="s">
        <v>134</v>
      </c>
      <c r="L1650" s="569"/>
    </row>
    <row r="1651" spans="1:12">
      <c r="A1651" s="101"/>
      <c r="B1651" s="72" t="s">
        <v>135</v>
      </c>
      <c r="C1651" s="559" t="str">
        <f ca="1">OFFSET('Bateria indicadores proceso'!$Y$3,(RIGHT(A1630,3)),1)</f>
        <v>Actas de los procesos de Consulta Previa para la adopción de Medidas Legislativas y Administrativas de Amplio Alcance Susceptibles de Afectar a las Comunidades Negras, Afrocolombianas, Raizales y Palenqueras  (Espacio Nacional de Consulta Previa - ENCP y Sesiones de las Comisiones, informes, listas de asistencia</v>
      </c>
      <c r="D1651" s="559"/>
      <c r="E1651" s="559"/>
      <c r="F1651" s="559"/>
      <c r="G1651" s="559"/>
      <c r="H1651" s="559"/>
      <c r="I1651" s="559"/>
      <c r="J1651" s="559"/>
      <c r="K1651" s="559"/>
      <c r="L1651" s="560"/>
    </row>
    <row r="1652" spans="1:12">
      <c r="A1652" s="101"/>
      <c r="B1652" s="591" t="s">
        <v>136</v>
      </c>
      <c r="C1652" s="561" t="s">
        <v>137</v>
      </c>
      <c r="D1652" s="561"/>
      <c r="E1652" s="561"/>
      <c r="F1652" s="562" t="str">
        <f ca="1">OFFSET('Bateria indicadores proceso'!$B$3,(RIGHT(A1630,3)),1)</f>
        <v>GESTIÓN PARA LA PROTECCIÓN DE LOS DERECHOS</v>
      </c>
      <c r="G1652" s="562"/>
      <c r="H1652" s="562"/>
      <c r="I1652" s="562"/>
      <c r="J1652" s="562"/>
      <c r="K1652" s="562"/>
      <c r="L1652" s="563"/>
    </row>
    <row r="1653" spans="1:12">
      <c r="A1653" s="101"/>
      <c r="B1653" s="592"/>
      <c r="C1653" s="561" t="s">
        <v>138</v>
      </c>
      <c r="D1653" s="561"/>
      <c r="E1653" s="561"/>
      <c r="F1653" s="564">
        <f ca="1">OFFSET('Bateria indicadores proceso'!$C$3,(RIGHT(A1630,3)),1)</f>
        <v>0.11</v>
      </c>
      <c r="G1653" s="564"/>
      <c r="H1653" s="564"/>
      <c r="I1653" s="564"/>
      <c r="J1653" s="564"/>
      <c r="K1653" s="564"/>
      <c r="L1653" s="565"/>
    </row>
    <row r="1654" spans="1:12" ht="15.75" thickBot="1">
      <c r="A1654" s="101"/>
      <c r="B1654" s="592"/>
      <c r="C1654" s="561" t="s">
        <v>139</v>
      </c>
      <c r="D1654" s="561"/>
      <c r="E1654" s="561"/>
      <c r="F1654" s="564">
        <f ca="1">OFFSET('Bateria indicadores proceso'!$E$3,(RIGHT(A1630,3)),1)</f>
        <v>0.03</v>
      </c>
      <c r="G1654" s="564"/>
      <c r="H1654" s="564"/>
      <c r="I1654" s="564"/>
      <c r="J1654" s="564"/>
      <c r="K1654" s="564"/>
      <c r="L1654" s="565"/>
    </row>
    <row r="1655" spans="1:12" ht="16.5" thickBot="1">
      <c r="A1655" s="101"/>
      <c r="B1655" s="572" t="s">
        <v>140</v>
      </c>
      <c r="C1655" s="573"/>
      <c r="D1655" s="573"/>
      <c r="E1655" s="573"/>
      <c r="F1655" s="573"/>
      <c r="G1655" s="573"/>
      <c r="H1655" s="573"/>
      <c r="I1655" s="573"/>
      <c r="J1655" s="573"/>
      <c r="K1655" s="573"/>
      <c r="L1655" s="574"/>
    </row>
    <row r="1656" spans="1:12">
      <c r="A1656" s="101"/>
      <c r="B1656" s="72" t="s">
        <v>142</v>
      </c>
      <c r="C1656" s="561" t="str">
        <f ca="1">OFFSET('Bateria indicadores proceso'!$G$3,(RIGHT(A1630,3)),1)</f>
        <v>Director</v>
      </c>
      <c r="D1656" s="561"/>
      <c r="E1656" s="561"/>
      <c r="F1656" s="561"/>
      <c r="G1656" s="561"/>
      <c r="H1656" s="561"/>
      <c r="I1656" s="561"/>
      <c r="J1656" s="561"/>
      <c r="K1656" s="561"/>
      <c r="L1656" s="566"/>
    </row>
    <row r="1657" spans="1:12">
      <c r="A1657" s="101"/>
      <c r="B1657" s="72" t="s">
        <v>143</v>
      </c>
      <c r="C1657" s="561" t="str">
        <f ca="1">OFFSET('Bateria indicadores proceso'!$F$3,(RIGHT(A1630,3)),1)</f>
        <v>Dirección de Asuntos para Comunidades Negras, Afrocolombianas, Raizales y Palenqueras</v>
      </c>
      <c r="D1657" s="561"/>
      <c r="E1657" s="561"/>
      <c r="F1657" s="561"/>
      <c r="G1657" s="561"/>
      <c r="H1657" s="561"/>
      <c r="I1657" s="561"/>
      <c r="J1657" s="561"/>
      <c r="K1657" s="561"/>
      <c r="L1657" s="566"/>
    </row>
    <row r="1658" spans="1:12">
      <c r="A1658" s="101"/>
      <c r="B1658" s="72" t="s">
        <v>144</v>
      </c>
      <c r="C1658" s="598" t="str">
        <f ca="1">OFFSET('Bateria indicadores proceso'!$H$3,(RIGHT(A1594,3)),1)</f>
        <v>amelia.cotes@mininterior.gov.co</v>
      </c>
      <c r="D1658" s="598"/>
      <c r="E1658" s="598"/>
      <c r="F1658" s="598"/>
      <c r="G1658" s="598"/>
      <c r="H1658" s="598"/>
      <c r="I1658" s="598"/>
      <c r="J1658" s="598"/>
      <c r="K1658" s="598"/>
      <c r="L1658" s="599"/>
    </row>
    <row r="1659" spans="1:12" ht="15.75" thickBot="1">
      <c r="A1659" s="104"/>
      <c r="B1659" s="74" t="s">
        <v>145</v>
      </c>
      <c r="C1659" s="596" t="s">
        <v>146</v>
      </c>
      <c r="D1659" s="596"/>
      <c r="E1659" s="596"/>
      <c r="F1659" s="596"/>
      <c r="G1659" s="596"/>
      <c r="H1659" s="596"/>
      <c r="I1659" s="596"/>
      <c r="J1659" s="596"/>
      <c r="K1659" s="596"/>
      <c r="L1659" s="597"/>
    </row>
    <row r="1660" spans="1:12" ht="15.75" thickBot="1"/>
    <row r="1661" spans="1:12" ht="21.75" thickBot="1">
      <c r="A1661" s="586" t="s">
        <v>89</v>
      </c>
      <c r="B1661" s="587"/>
      <c r="C1661" s="587"/>
      <c r="D1661" s="587"/>
      <c r="E1661" s="587"/>
      <c r="F1661" s="587"/>
      <c r="G1661" s="587"/>
      <c r="H1661" s="587"/>
      <c r="I1661" s="587"/>
      <c r="J1661" s="587"/>
      <c r="K1661" s="587"/>
      <c r="L1661" s="588"/>
    </row>
    <row r="1662" spans="1:12" ht="32.25" thickBot="1">
      <c r="A1662" s="69" t="s">
        <v>90</v>
      </c>
      <c r="B1662" s="589" t="s">
        <v>91</v>
      </c>
      <c r="C1662" s="589"/>
      <c r="D1662" s="589"/>
      <c r="E1662" s="589"/>
      <c r="F1662" s="589"/>
      <c r="G1662" s="589"/>
      <c r="H1662" s="589"/>
      <c r="I1662" s="589"/>
      <c r="J1662" s="589"/>
      <c r="K1662" s="589"/>
      <c r="L1662" s="589"/>
    </row>
    <row r="1663" spans="1:12" ht="16.5" thickBot="1">
      <c r="A1663" s="100"/>
      <c r="B1663" s="71" t="s">
        <v>92</v>
      </c>
      <c r="C1663" s="575" t="s">
        <v>93</v>
      </c>
      <c r="D1663" s="575"/>
      <c r="E1663" s="575"/>
      <c r="F1663" s="575"/>
      <c r="G1663" s="575"/>
      <c r="H1663" s="575"/>
      <c r="I1663" s="575"/>
      <c r="J1663" s="575"/>
      <c r="K1663" s="575"/>
      <c r="L1663" s="576"/>
    </row>
    <row r="1664" spans="1:12" ht="16.5" thickBot="1">
      <c r="A1664" s="101"/>
      <c r="B1664" s="589" t="s">
        <v>94</v>
      </c>
      <c r="C1664" s="590"/>
      <c r="D1664" s="590"/>
      <c r="E1664" s="590"/>
      <c r="F1664" s="590"/>
      <c r="G1664" s="590"/>
      <c r="H1664" s="590"/>
      <c r="I1664" s="590"/>
      <c r="J1664" s="590"/>
      <c r="K1664" s="590"/>
      <c r="L1664" s="590"/>
    </row>
    <row r="1665" spans="1:12">
      <c r="A1665" s="101"/>
      <c r="B1665" s="71" t="s">
        <v>95</v>
      </c>
      <c r="C1665" s="559" t="s">
        <v>96</v>
      </c>
      <c r="D1665" s="559"/>
      <c r="E1665" s="559"/>
      <c r="F1665" s="559"/>
      <c r="G1665" s="559"/>
      <c r="H1665" s="559"/>
      <c r="I1665" s="559"/>
      <c r="J1665" s="559"/>
      <c r="K1665" s="559"/>
      <c r="L1665" s="560"/>
    </row>
    <row r="1666" spans="1:12">
      <c r="A1666" s="102" t="s">
        <v>192</v>
      </c>
      <c r="B1666" s="72" t="s">
        <v>98</v>
      </c>
      <c r="C1666" s="559" t="str">
        <f ca="1">OFFSET('Bateria indicadores proceso'!$F$3,(RIGHT(A1666,3)),1)</f>
        <v>Grupo Equipo de Paz del Ministerio del Interior</v>
      </c>
      <c r="D1666" s="559"/>
      <c r="E1666" s="559"/>
      <c r="F1666" s="559"/>
      <c r="G1666" s="559"/>
      <c r="H1666" s="559"/>
      <c r="I1666" s="559"/>
      <c r="J1666" s="559"/>
      <c r="K1666" s="559"/>
      <c r="L1666" s="560"/>
    </row>
    <row r="1667" spans="1:12">
      <c r="A1667" s="101"/>
      <c r="B1667" s="72" t="s">
        <v>99</v>
      </c>
      <c r="C1667" s="559" t="str">
        <f ca="1">OFFSET('Bateria indicadores proceso'!$K$3,(RIGHT(A1666,3)),1)</f>
        <v>Entidades o instancias articuladas para la implementación de acciones asociadas a la Paz</v>
      </c>
      <c r="D1667" s="559"/>
      <c r="E1667" s="559"/>
      <c r="F1667" s="559"/>
      <c r="G1667" s="559"/>
      <c r="H1667" s="559"/>
      <c r="I1667" s="559"/>
      <c r="J1667" s="559"/>
      <c r="K1667" s="559"/>
      <c r="L1667" s="560"/>
    </row>
    <row r="1668" spans="1:12">
      <c r="A1668" s="101"/>
      <c r="B1668" s="72" t="s">
        <v>100</v>
      </c>
      <c r="C1668" s="559" t="str">
        <f ca="1">OFFSET('Bateria indicadores proceso'!$I$3,(RIGHT(A1666,3)),1)</f>
        <v>Eficacia</v>
      </c>
      <c r="D1668" s="559"/>
      <c r="E1668" s="559"/>
      <c r="F1668" s="559"/>
      <c r="G1668" s="559"/>
      <c r="H1668" s="559"/>
      <c r="I1668" s="559"/>
      <c r="J1668" s="559"/>
      <c r="K1668" s="559"/>
      <c r="L1668" s="560"/>
    </row>
    <row r="1669" spans="1:12" ht="15.75" thickBot="1">
      <c r="A1669" s="103"/>
      <c r="B1669" s="73" t="s">
        <v>101</v>
      </c>
      <c r="C1669" s="559" t="str">
        <f ca="1">OFFSET('Bateria indicadores proceso'!$J$3,(RIGHT(A1666,3)),1)</f>
        <v>Este indicador mide el número de entidades del orden nacional y territorial e instancias de paz que se mantienen articuladas para la implementación de la Política de Paz Total. Es importante porque permite asegurar la coordinación institucional necesaria para ejecutar de manera efectiva las acciones de paz. Su objetivo es mantener el nivel de articulación dentro de un rango que garantice la implementación adecuada de la política.</v>
      </c>
      <c r="D1669" s="559"/>
      <c r="E1669" s="559"/>
      <c r="F1669" s="559"/>
      <c r="G1669" s="559"/>
      <c r="H1669" s="559"/>
      <c r="I1669" s="559"/>
      <c r="J1669" s="559"/>
      <c r="K1669" s="559"/>
      <c r="L1669" s="560"/>
    </row>
    <row r="1670" spans="1:12" ht="16.5" thickBot="1">
      <c r="A1670" s="103"/>
      <c r="B1670" s="572" t="s">
        <v>102</v>
      </c>
      <c r="C1670" s="573"/>
      <c r="D1670" s="573"/>
      <c r="E1670" s="573"/>
      <c r="F1670" s="573"/>
      <c r="G1670" s="573"/>
      <c r="H1670" s="573"/>
      <c r="I1670" s="573"/>
      <c r="J1670" s="573"/>
      <c r="K1670" s="573"/>
      <c r="L1670" s="574"/>
    </row>
    <row r="1671" spans="1:12">
      <c r="A1671" s="101"/>
      <c r="B1671" s="71" t="s">
        <v>103</v>
      </c>
      <c r="C1671" s="559" t="str">
        <f ca="1">OFFSET('Bateria indicadores proceso'!$O$3,(RIGHT(A1666,3)),1)</f>
        <v>Número</v>
      </c>
      <c r="D1671" s="559"/>
      <c r="E1671" s="559"/>
      <c r="F1671" s="559"/>
      <c r="G1671" s="559"/>
      <c r="H1671" s="559"/>
      <c r="I1671" s="559"/>
      <c r="J1671" s="559"/>
      <c r="K1671" s="559"/>
      <c r="L1671" s="560"/>
    </row>
    <row r="1672" spans="1:12" ht="24">
      <c r="A1672" s="101"/>
      <c r="B1672" s="72" t="s">
        <v>104</v>
      </c>
      <c r="C1672" s="559"/>
      <c r="D1672" s="559"/>
      <c r="E1672" s="559"/>
      <c r="F1672" s="559"/>
      <c r="G1672" s="559"/>
      <c r="H1672" s="559"/>
      <c r="I1672" s="559"/>
      <c r="J1672" s="559"/>
      <c r="K1672" s="559"/>
      <c r="L1672" s="560"/>
    </row>
    <row r="1673" spans="1:12">
      <c r="A1673" s="101"/>
      <c r="B1673" s="72" t="s">
        <v>105</v>
      </c>
      <c r="C1673" s="559" t="str">
        <f ca="1">OFFSET('Bateria indicadores proceso'!$L$3,(RIGHT(A1666,3)),1)</f>
        <v xml:space="preserve">Número de  entidades y/o instancias articuladas  para la implementación de acciones asociadas a la Paz  </v>
      </c>
      <c r="D1673" s="559"/>
      <c r="E1673" s="559"/>
      <c r="F1673" s="559"/>
      <c r="G1673" s="559"/>
      <c r="H1673" s="559"/>
      <c r="I1673" s="559"/>
      <c r="J1673" s="559"/>
      <c r="K1673" s="559"/>
      <c r="L1673" s="560"/>
    </row>
    <row r="1674" spans="1:12">
      <c r="A1674" s="101"/>
      <c r="B1674" s="72" t="s">
        <v>106</v>
      </c>
      <c r="C1674" s="559" t="str">
        <f ca="1">OFFSET('Bateria indicadores proceso'!$Z$3,(RIGHT(A1666,3)),1)</f>
        <v>Trimestral</v>
      </c>
      <c r="D1674" s="559"/>
      <c r="E1674" s="559"/>
      <c r="F1674" s="559"/>
      <c r="G1674" s="559"/>
      <c r="H1674" s="559"/>
      <c r="I1674" s="559"/>
      <c r="J1674" s="559"/>
      <c r="K1674" s="559"/>
      <c r="L1674" s="560"/>
    </row>
    <row r="1675" spans="1:12">
      <c r="A1675" s="101"/>
      <c r="B1675" s="72" t="s">
        <v>107</v>
      </c>
      <c r="C1675" s="559" t="str">
        <f ca="1">OFFSET('Bateria indicadores proceso'!$X$3,(RIGHT(A1666,3)),1)</f>
        <v>Informes de Articulacion de Entidades o Instancias asociadas a la Paz</v>
      </c>
      <c r="D1675" s="559"/>
      <c r="E1675" s="559"/>
      <c r="F1675" s="559"/>
      <c r="G1675" s="559"/>
      <c r="H1675" s="559"/>
      <c r="I1675" s="559"/>
      <c r="J1675" s="559"/>
      <c r="K1675" s="559"/>
      <c r="L1675" s="560"/>
    </row>
    <row r="1676" spans="1:12">
      <c r="A1676" s="101"/>
      <c r="B1676" s="72" t="s">
        <v>108</v>
      </c>
      <c r="C1676" s="561">
        <f ca="1">OFFSET('Bateria indicadores proceso'!$P$3,(RIGHT(A1666,3)),1)</f>
        <v>2025</v>
      </c>
      <c r="D1676" s="561"/>
      <c r="E1676" s="561"/>
      <c r="F1676" s="561"/>
      <c r="G1676" s="561"/>
      <c r="H1676" s="561"/>
      <c r="I1676" s="561"/>
      <c r="J1676" s="561"/>
      <c r="K1676" s="561"/>
      <c r="L1676" s="566"/>
    </row>
    <row r="1677" spans="1:12">
      <c r="A1677" s="101"/>
      <c r="B1677" s="72" t="s">
        <v>109</v>
      </c>
      <c r="C1677" s="561" t="str">
        <f ca="1">IF(C1671="Número",TEXT(OFFSET('Bateria indicadores proceso'!$Q$3,(RIGHT(A1666,3)),1),"######"),TEXT(OFFSET('Bateria indicadores proceso'!$Q$3,(RIGHT(A1666,3)),1),"0.0%"))</f>
        <v>12</v>
      </c>
      <c r="D1677" s="561"/>
      <c r="E1677" s="561"/>
      <c r="F1677" s="561"/>
      <c r="G1677" s="561"/>
      <c r="H1677" s="561"/>
      <c r="I1677" s="561"/>
      <c r="J1677" s="561"/>
      <c r="K1677" s="561"/>
      <c r="L1677" s="566"/>
    </row>
    <row r="1678" spans="1:12">
      <c r="A1678" s="101"/>
      <c r="B1678" s="72" t="s">
        <v>110</v>
      </c>
      <c r="C1678" s="593">
        <f ca="1">+OFFSET('Bateria indicadores proceso'!$R$3,(RIGHT(A1666,3)),1)</f>
        <v>46022</v>
      </c>
      <c r="D1678" s="593"/>
      <c r="E1678" s="593"/>
      <c r="F1678" s="593"/>
      <c r="G1678" s="593"/>
      <c r="H1678" s="593"/>
      <c r="I1678" s="593"/>
      <c r="J1678" s="593"/>
      <c r="K1678" s="593"/>
      <c r="L1678" s="594"/>
    </row>
    <row r="1679" spans="1:12">
      <c r="A1679" s="101"/>
      <c r="B1679" s="72" t="s">
        <v>111</v>
      </c>
      <c r="C1679" s="561" t="str">
        <f ca="1">OFFSET('Bateria indicadores proceso'!$M$3,(RIGHT(A1666,3)),1)</f>
        <v>Mantener</v>
      </c>
      <c r="D1679" s="561"/>
      <c r="E1679" s="561"/>
      <c r="F1679" s="561"/>
      <c r="G1679" s="561"/>
      <c r="H1679" s="561"/>
      <c r="I1679" s="561"/>
      <c r="J1679" s="561"/>
      <c r="K1679" s="561"/>
      <c r="L1679" s="566"/>
    </row>
    <row r="1680" spans="1:12">
      <c r="A1680" s="101"/>
      <c r="B1680" s="72" t="s">
        <v>112</v>
      </c>
      <c r="C1680" s="561" t="str">
        <f ca="1">OFFSET('Bateria indicadores proceso'!$N$3,(RIGHT(A1666,3)),1)</f>
        <v>Stock</v>
      </c>
      <c r="D1680" s="561"/>
      <c r="E1680" s="561"/>
      <c r="F1680" s="561"/>
      <c r="G1680" s="561"/>
      <c r="H1680" s="561"/>
      <c r="I1680" s="561"/>
      <c r="J1680" s="561"/>
      <c r="K1680" s="561"/>
      <c r="L1680" s="566"/>
    </row>
    <row r="1681" spans="1:12">
      <c r="A1681" s="101"/>
      <c r="B1681" s="72" t="s">
        <v>113</v>
      </c>
      <c r="C1681" s="561" t="str">
        <f ca="1">IF(C1671="Número",TEXT(OFFSET('Bateria indicadores proceso'!$W$3,(RIGHT(A1666,3)),1),"######"),TEXT(OFFSET('Bateria indicadores proceso'!$W$3,(RIGHT(A1666,3)),1),"0.0%"))</f>
        <v>12</v>
      </c>
      <c r="D1681" s="561"/>
      <c r="E1681" s="561"/>
      <c r="F1681" s="561"/>
      <c r="G1681" s="561"/>
      <c r="H1681" s="561"/>
      <c r="I1681" s="561"/>
      <c r="J1681" s="561"/>
      <c r="K1681" s="561"/>
      <c r="L1681" s="566"/>
    </row>
    <row r="1682" spans="1:12">
      <c r="A1682" s="101"/>
      <c r="B1682" s="595" t="s">
        <v>114</v>
      </c>
      <c r="C1682" s="70" t="s">
        <v>115</v>
      </c>
      <c r="D1682" s="70" t="s">
        <v>116</v>
      </c>
      <c r="E1682" s="70" t="s">
        <v>117</v>
      </c>
      <c r="F1682" s="70" t="s">
        <v>118</v>
      </c>
      <c r="J1682" s="75"/>
      <c r="K1682" s="75"/>
      <c r="L1682" s="76"/>
    </row>
    <row r="1683" spans="1:12">
      <c r="A1683" s="101"/>
      <c r="B1683" s="595"/>
      <c r="C1683" s="70" t="str">
        <f ca="1">IF(C1671="Número",TEXT(OFFSET('Bateria indicadores proceso'!$S$3,(RIGHT(A1666,3)),1),"######"),TEXT(OFFSET('Bateria indicadores proceso'!$S$3,(RIGHT(A1666,3)),1),"0.0%"))</f>
        <v/>
      </c>
      <c r="D1683" s="70" t="str">
        <f ca="1">IF(C1671="Número",TEXT(OFFSET('Bateria indicadores proceso'!$T$3,(RIGHT(A1666,3)),1),"######"),TEXT(OFFSET('Bateria indicadores proceso'!$T$3,(RIGHT(A1666,3)),1),"0.0%"))</f>
        <v>2</v>
      </c>
      <c r="E1683" s="70" t="str">
        <f ca="1">IF(C1671="Número",TEXT(OFFSET('Bateria indicadores proceso'!$U$3,(RIGHT(A1666,3)),1),"######"),TEXT(OFFSET('Bateria indicadores proceso'!$U$3,(RIGHT(A1666,3)),1),"0.0%"))</f>
        <v>5</v>
      </c>
      <c r="F1683" s="70" t="str">
        <f ca="1">IF(C1671="Número",TEXT(OFFSET('Bateria indicadores proceso'!$V$3,(RIGHT(A1666,3)),1),"######"),TEXT(OFFSET('Bateria indicadores proceso'!$V$3,(RIGHT(A1666,3)),1),"0.0%"))</f>
        <v>5</v>
      </c>
      <c r="J1683" s="77"/>
      <c r="K1683" s="77"/>
      <c r="L1683" s="78"/>
    </row>
    <row r="1684" spans="1:12">
      <c r="A1684" s="101"/>
      <c r="B1684" s="600" t="s">
        <v>119</v>
      </c>
      <c r="C1684" s="567" t="s">
        <v>120</v>
      </c>
      <c r="D1684" s="568"/>
      <c r="E1684" s="567" t="s">
        <v>121</v>
      </c>
      <c r="F1684" s="568"/>
      <c r="G1684" s="567" t="s">
        <v>122</v>
      </c>
      <c r="H1684" s="568"/>
      <c r="I1684" s="567" t="s">
        <v>123</v>
      </c>
      <c r="J1684" s="568"/>
      <c r="K1684" s="567" t="s">
        <v>124</v>
      </c>
      <c r="L1684" s="569"/>
    </row>
    <row r="1685" spans="1:12">
      <c r="A1685" s="101"/>
      <c r="B1685" s="601"/>
      <c r="C1685" s="570" t="s">
        <v>125</v>
      </c>
      <c r="D1685" s="571"/>
      <c r="E1685" s="577" t="s">
        <v>126</v>
      </c>
      <c r="F1685" s="578"/>
      <c r="G1685" s="579" t="s">
        <v>127</v>
      </c>
      <c r="H1685" s="580"/>
      <c r="I1685" s="581" t="s">
        <v>128</v>
      </c>
      <c r="J1685" s="582"/>
      <c r="K1685" s="583" t="s">
        <v>129</v>
      </c>
      <c r="L1685" s="584"/>
    </row>
    <row r="1686" spans="1:12">
      <c r="A1686" s="101"/>
      <c r="B1686" s="602"/>
      <c r="C1686" s="567" t="s">
        <v>130</v>
      </c>
      <c r="D1686" s="568"/>
      <c r="E1686" s="567" t="s">
        <v>131</v>
      </c>
      <c r="F1686" s="568"/>
      <c r="G1686" s="585" t="s">
        <v>132</v>
      </c>
      <c r="H1686" s="568"/>
      <c r="I1686" s="567" t="s">
        <v>133</v>
      </c>
      <c r="J1686" s="568"/>
      <c r="K1686" s="567" t="s">
        <v>134</v>
      </c>
      <c r="L1686" s="569"/>
    </row>
    <row r="1687" spans="1:12">
      <c r="A1687" s="101"/>
      <c r="B1687" s="72" t="s">
        <v>135</v>
      </c>
      <c r="C1687" s="559" t="str">
        <f ca="1">OFFSET('Bateria indicadores proceso'!$Y$3,(RIGHT(A1666,3)),1)</f>
        <v>Reportes o Informes de Iniciativas gestionadas, articuladas y/o coordinadas</v>
      </c>
      <c r="D1687" s="559"/>
      <c r="E1687" s="559"/>
      <c r="F1687" s="559"/>
      <c r="G1687" s="559"/>
      <c r="H1687" s="559"/>
      <c r="I1687" s="559"/>
      <c r="J1687" s="559"/>
      <c r="K1687" s="559"/>
      <c r="L1687" s="560"/>
    </row>
    <row r="1688" spans="1:12">
      <c r="A1688" s="101"/>
      <c r="B1688" s="591" t="s">
        <v>136</v>
      </c>
      <c r="C1688" s="561" t="s">
        <v>137</v>
      </c>
      <c r="D1688" s="561"/>
      <c r="E1688" s="561"/>
      <c r="F1688" s="562" t="str">
        <f ca="1">OFFSET('Bateria indicadores proceso'!$B$3,(RIGHT(A1666,3)),1)</f>
        <v>GESTIÓN PARA LA PROTECCIÓN DE LOS DERECHOS</v>
      </c>
      <c r="G1688" s="562"/>
      <c r="H1688" s="562"/>
      <c r="I1688" s="562"/>
      <c r="J1688" s="562"/>
      <c r="K1688" s="562"/>
      <c r="L1688" s="563"/>
    </row>
    <row r="1689" spans="1:12">
      <c r="A1689" s="101"/>
      <c r="B1689" s="592"/>
      <c r="C1689" s="561" t="s">
        <v>138</v>
      </c>
      <c r="D1689" s="561"/>
      <c r="E1689" s="561"/>
      <c r="F1689" s="564">
        <f ca="1">OFFSET('Bateria indicadores proceso'!$C$3,(RIGHT(A1666,3)),1)</f>
        <v>0.06</v>
      </c>
      <c r="G1689" s="564"/>
      <c r="H1689" s="564"/>
      <c r="I1689" s="564"/>
      <c r="J1689" s="564"/>
      <c r="K1689" s="564"/>
      <c r="L1689" s="565"/>
    </row>
    <row r="1690" spans="1:12" ht="15.75" thickBot="1">
      <c r="A1690" s="101"/>
      <c r="B1690" s="592"/>
      <c r="C1690" s="561" t="s">
        <v>139</v>
      </c>
      <c r="D1690" s="561"/>
      <c r="E1690" s="561"/>
      <c r="F1690" s="564">
        <f ca="1">OFFSET('Bateria indicadores proceso'!$E$3,(RIGHT(A1666,3)),1)</f>
        <v>0.03</v>
      </c>
      <c r="G1690" s="564"/>
      <c r="H1690" s="564"/>
      <c r="I1690" s="564"/>
      <c r="J1690" s="564"/>
      <c r="K1690" s="564"/>
      <c r="L1690" s="565"/>
    </row>
    <row r="1691" spans="1:12" ht="16.5" thickBot="1">
      <c r="A1691" s="101"/>
      <c r="B1691" s="572" t="s">
        <v>140</v>
      </c>
      <c r="C1691" s="573"/>
      <c r="D1691" s="573"/>
      <c r="E1691" s="573"/>
      <c r="F1691" s="573"/>
      <c r="G1691" s="573"/>
      <c r="H1691" s="573"/>
      <c r="I1691" s="573"/>
      <c r="J1691" s="573"/>
      <c r="K1691" s="573"/>
      <c r="L1691" s="574"/>
    </row>
    <row r="1692" spans="1:12">
      <c r="A1692" s="101"/>
      <c r="B1692" s="72" t="s">
        <v>142</v>
      </c>
      <c r="C1692" s="561" t="str">
        <f ca="1">OFFSET('Bateria indicadores proceso'!$G$3,(RIGHT(A1666,3)),1)</f>
        <v>Coordinador</v>
      </c>
      <c r="D1692" s="561"/>
      <c r="E1692" s="561"/>
      <c r="F1692" s="561"/>
      <c r="G1692" s="561"/>
      <c r="H1692" s="561"/>
      <c r="I1692" s="561"/>
      <c r="J1692" s="561"/>
      <c r="K1692" s="561"/>
      <c r="L1692" s="566"/>
    </row>
    <row r="1693" spans="1:12">
      <c r="A1693" s="101"/>
      <c r="B1693" s="72" t="s">
        <v>143</v>
      </c>
      <c r="C1693" s="561" t="str">
        <f ca="1">OFFSET('Bateria indicadores proceso'!$F$3,(RIGHT(A1666,3)),1)</f>
        <v>Grupo Equipo de Paz del Ministerio del Interior</v>
      </c>
      <c r="D1693" s="561"/>
      <c r="E1693" s="561"/>
      <c r="F1693" s="561"/>
      <c r="G1693" s="561"/>
      <c r="H1693" s="561"/>
      <c r="I1693" s="561"/>
      <c r="J1693" s="561"/>
      <c r="K1693" s="561"/>
      <c r="L1693" s="566"/>
    </row>
    <row r="1694" spans="1:12">
      <c r="A1694" s="101"/>
      <c r="B1694" s="72" t="s">
        <v>144</v>
      </c>
      <c r="C1694" s="598" t="str">
        <f ca="1">OFFSET('Bateria indicadores proceso'!$H$3,(RIGHT(A1666,3)),1)</f>
        <v>jaime.guzman@mininterior.gov.co</v>
      </c>
      <c r="D1694" s="598"/>
      <c r="E1694" s="598"/>
      <c r="F1694" s="598"/>
      <c r="G1694" s="598"/>
      <c r="H1694" s="598"/>
      <c r="I1694" s="598"/>
      <c r="J1694" s="598"/>
      <c r="K1694" s="598"/>
      <c r="L1694" s="599"/>
    </row>
    <row r="1695" spans="1:12" ht="15.75" thickBot="1">
      <c r="A1695" s="104"/>
      <c r="B1695" s="74" t="s">
        <v>145</v>
      </c>
      <c r="C1695" s="596" t="s">
        <v>146</v>
      </c>
      <c r="D1695" s="596"/>
      <c r="E1695" s="596"/>
      <c r="F1695" s="596"/>
      <c r="G1695" s="596"/>
      <c r="H1695" s="596"/>
      <c r="I1695" s="596"/>
      <c r="J1695" s="596"/>
      <c r="K1695" s="596"/>
      <c r="L1695" s="597"/>
    </row>
    <row r="1696" spans="1:12" ht="15.75" thickBot="1"/>
    <row r="1697" spans="1:12" ht="21.75" thickBot="1">
      <c r="A1697" s="586" t="s">
        <v>89</v>
      </c>
      <c r="B1697" s="587"/>
      <c r="C1697" s="587"/>
      <c r="D1697" s="587"/>
      <c r="E1697" s="587"/>
      <c r="F1697" s="587"/>
      <c r="G1697" s="587"/>
      <c r="H1697" s="587"/>
      <c r="I1697" s="587"/>
      <c r="J1697" s="587"/>
      <c r="K1697" s="587"/>
      <c r="L1697" s="588"/>
    </row>
    <row r="1698" spans="1:12" ht="32.25" thickBot="1">
      <c r="A1698" s="69" t="s">
        <v>90</v>
      </c>
      <c r="B1698" s="589" t="s">
        <v>91</v>
      </c>
      <c r="C1698" s="589"/>
      <c r="D1698" s="589"/>
      <c r="E1698" s="589"/>
      <c r="F1698" s="589"/>
      <c r="G1698" s="589"/>
      <c r="H1698" s="589"/>
      <c r="I1698" s="589"/>
      <c r="J1698" s="589"/>
      <c r="K1698" s="589"/>
      <c r="L1698" s="589"/>
    </row>
    <row r="1699" spans="1:12" ht="16.5" thickBot="1">
      <c r="A1699" s="100"/>
      <c r="B1699" s="71" t="s">
        <v>92</v>
      </c>
      <c r="C1699" s="575" t="s">
        <v>93</v>
      </c>
      <c r="D1699" s="575"/>
      <c r="E1699" s="575"/>
      <c r="F1699" s="575"/>
      <c r="G1699" s="575"/>
      <c r="H1699" s="575"/>
      <c r="I1699" s="575"/>
      <c r="J1699" s="575"/>
      <c r="K1699" s="575"/>
      <c r="L1699" s="576"/>
    </row>
    <row r="1700" spans="1:12" ht="16.5" thickBot="1">
      <c r="A1700" s="101"/>
      <c r="B1700" s="589" t="s">
        <v>94</v>
      </c>
      <c r="C1700" s="590"/>
      <c r="D1700" s="590"/>
      <c r="E1700" s="590"/>
      <c r="F1700" s="590"/>
      <c r="G1700" s="590"/>
      <c r="H1700" s="590"/>
      <c r="I1700" s="590"/>
      <c r="J1700" s="590"/>
      <c r="K1700" s="590"/>
      <c r="L1700" s="590"/>
    </row>
    <row r="1701" spans="1:12">
      <c r="A1701" s="101"/>
      <c r="B1701" s="71" t="s">
        <v>95</v>
      </c>
      <c r="C1701" s="559" t="s">
        <v>96</v>
      </c>
      <c r="D1701" s="559"/>
      <c r="E1701" s="559"/>
      <c r="F1701" s="559"/>
      <c r="G1701" s="559"/>
      <c r="H1701" s="559"/>
      <c r="I1701" s="559"/>
      <c r="J1701" s="559"/>
      <c r="K1701" s="559"/>
      <c r="L1701" s="560"/>
    </row>
    <row r="1702" spans="1:12">
      <c r="A1702" s="102" t="s">
        <v>193</v>
      </c>
      <c r="B1702" s="72" t="s">
        <v>98</v>
      </c>
      <c r="C1702" s="559" t="str">
        <f ca="1">OFFSET('Bateria indicadores proceso'!$F$3,(RIGHT(A1702,3)),1)</f>
        <v>Grupo Equipo de Paz del Ministerio del Interior</v>
      </c>
      <c r="D1702" s="559"/>
      <c r="E1702" s="559"/>
      <c r="F1702" s="559"/>
      <c r="G1702" s="559"/>
      <c r="H1702" s="559"/>
      <c r="I1702" s="559"/>
      <c r="J1702" s="559"/>
      <c r="K1702" s="559"/>
      <c r="L1702" s="560"/>
    </row>
    <row r="1703" spans="1:12">
      <c r="A1703" s="101"/>
      <c r="B1703" s="72" t="s">
        <v>99</v>
      </c>
      <c r="C1703" s="559" t="str">
        <f ca="1">OFFSET('Bateria indicadores proceso'!$K$3,(RIGHT(A1702,3)),1)</f>
        <v>Iniciativas del Sector Interior, articuladas con entidades del Orden Nacional, Territorial, Organismos de Cooperación Internacional y Multilaterales y Organizaciones sociales y etnicas.</v>
      </c>
      <c r="D1703" s="559"/>
      <c r="E1703" s="559"/>
      <c r="F1703" s="559"/>
      <c r="G1703" s="559"/>
      <c r="H1703" s="559"/>
      <c r="I1703" s="559"/>
      <c r="J1703" s="559"/>
      <c r="K1703" s="559"/>
      <c r="L1703" s="560"/>
    </row>
    <row r="1704" spans="1:12">
      <c r="A1704" s="101"/>
      <c r="B1704" s="72" t="s">
        <v>100</v>
      </c>
      <c r="C1704" s="559" t="str">
        <f ca="1">OFFSET('Bateria indicadores proceso'!$I$3,(RIGHT(A1702,3)),1)</f>
        <v>Eficacia</v>
      </c>
      <c r="D1704" s="559"/>
      <c r="E1704" s="559"/>
      <c r="F1704" s="559"/>
      <c r="G1704" s="559"/>
      <c r="H1704" s="559"/>
      <c r="I1704" s="559"/>
      <c r="J1704" s="559"/>
      <c r="K1704" s="559"/>
      <c r="L1704" s="560"/>
    </row>
    <row r="1705" spans="1:12" ht="15.75" thickBot="1">
      <c r="A1705" s="103"/>
      <c r="B1705" s="73" t="s">
        <v>101</v>
      </c>
      <c r="C1705" s="559" t="str">
        <f ca="1">OFFSET('Bateria indicadores proceso'!$J$3,(RIGHT(A1702,3)),1)</f>
        <v>Este indicador mide la gestión de la implementación de iniciativas sociales, comunitarias e institucionales del Sector Interior en articulación con entidades del orden nacional, territorial, organismos de cooperación internacional y organizaciones sociales y étnicas. Es importante porque permite fortalecer la acción conjunta para atender necesidades territoriales y poblacionales. Su objetivo es aumentar el nivel de implementación articulada de estas iniciativas.</v>
      </c>
      <c r="D1705" s="559"/>
      <c r="E1705" s="559"/>
      <c r="F1705" s="559"/>
      <c r="G1705" s="559"/>
      <c r="H1705" s="559"/>
      <c r="I1705" s="559"/>
      <c r="J1705" s="559"/>
      <c r="K1705" s="559"/>
      <c r="L1705" s="560"/>
    </row>
    <row r="1706" spans="1:12" ht="16.5" thickBot="1">
      <c r="A1706" s="103"/>
      <c r="B1706" s="572" t="s">
        <v>102</v>
      </c>
      <c r="C1706" s="573"/>
      <c r="D1706" s="573"/>
      <c r="E1706" s="573"/>
      <c r="F1706" s="573"/>
      <c r="G1706" s="573"/>
      <c r="H1706" s="573"/>
      <c r="I1706" s="573"/>
      <c r="J1706" s="573"/>
      <c r="K1706" s="573"/>
      <c r="L1706" s="574"/>
    </row>
    <row r="1707" spans="1:12">
      <c r="A1707" s="101"/>
      <c r="B1707" s="71" t="s">
        <v>103</v>
      </c>
      <c r="C1707" s="559" t="str">
        <f ca="1">OFFSET('Bateria indicadores proceso'!$O$3,(RIGHT(A1702,3)),1)</f>
        <v>Número</v>
      </c>
      <c r="D1707" s="559"/>
      <c r="E1707" s="559"/>
      <c r="F1707" s="559"/>
      <c r="G1707" s="559"/>
      <c r="H1707" s="559"/>
      <c r="I1707" s="559"/>
      <c r="J1707" s="559"/>
      <c r="K1707" s="559"/>
      <c r="L1707" s="560"/>
    </row>
    <row r="1708" spans="1:12" ht="24">
      <c r="A1708" s="101"/>
      <c r="B1708" s="72" t="s">
        <v>104</v>
      </c>
      <c r="C1708" s="559"/>
      <c r="D1708" s="559"/>
      <c r="E1708" s="559"/>
      <c r="F1708" s="559"/>
      <c r="G1708" s="559"/>
      <c r="H1708" s="559"/>
      <c r="I1708" s="559"/>
      <c r="J1708" s="559"/>
      <c r="K1708" s="559"/>
      <c r="L1708" s="560"/>
    </row>
    <row r="1709" spans="1:12">
      <c r="A1709" s="101"/>
      <c r="B1709" s="72" t="s">
        <v>105</v>
      </c>
      <c r="C1709" s="559" t="str">
        <f ca="1">OFFSET('Bateria indicadores proceso'!$L$3,(RIGHT(A1702,3)),1)</f>
        <v>Numero de Iniciativas gestionadas, articuladas y/o coordinadas</v>
      </c>
      <c r="D1709" s="559"/>
      <c r="E1709" s="559"/>
      <c r="F1709" s="559"/>
      <c r="G1709" s="559"/>
      <c r="H1709" s="559"/>
      <c r="I1709" s="559"/>
      <c r="J1709" s="559"/>
      <c r="K1709" s="559"/>
      <c r="L1709" s="560"/>
    </row>
    <row r="1710" spans="1:12">
      <c r="A1710" s="101"/>
      <c r="B1710" s="72" t="s">
        <v>106</v>
      </c>
      <c r="C1710" s="559" t="str">
        <f ca="1">OFFSET('Bateria indicadores proceso'!$Z$3,(RIGHT(A1702,3)),1)</f>
        <v>Trimestral</v>
      </c>
      <c r="D1710" s="559"/>
      <c r="E1710" s="559"/>
      <c r="F1710" s="559"/>
      <c r="G1710" s="559"/>
      <c r="H1710" s="559"/>
      <c r="I1710" s="559"/>
      <c r="J1710" s="559"/>
      <c r="K1710" s="559"/>
      <c r="L1710" s="560"/>
    </row>
    <row r="1711" spans="1:12">
      <c r="A1711" s="101"/>
      <c r="B1711" s="72" t="s">
        <v>107</v>
      </c>
      <c r="C1711" s="559" t="str">
        <f ca="1">OFFSET('Bateria indicadores proceso'!$X$3,(RIGHT(A1702,3)),1)</f>
        <v>Soportes de Articulacion e Implementacion de las Iniciativas sociales y comuntarias asociadas al sector Interior</v>
      </c>
      <c r="D1711" s="559"/>
      <c r="E1711" s="559"/>
      <c r="F1711" s="559"/>
      <c r="G1711" s="559"/>
      <c r="H1711" s="559"/>
      <c r="I1711" s="559"/>
      <c r="J1711" s="559"/>
      <c r="K1711" s="559"/>
      <c r="L1711" s="560"/>
    </row>
    <row r="1712" spans="1:12">
      <c r="A1712" s="101"/>
      <c r="B1712" s="72" t="s">
        <v>108</v>
      </c>
      <c r="C1712" s="561">
        <f ca="1">OFFSET('Bateria indicadores proceso'!$P$3,(RIGHT(A1702,3)),1)</f>
        <v>2025</v>
      </c>
      <c r="D1712" s="561"/>
      <c r="E1712" s="561"/>
      <c r="F1712" s="561"/>
      <c r="G1712" s="561"/>
      <c r="H1712" s="561"/>
      <c r="I1712" s="561"/>
      <c r="J1712" s="561"/>
      <c r="K1712" s="561"/>
      <c r="L1712" s="566"/>
    </row>
    <row r="1713" spans="1:12">
      <c r="A1713" s="101"/>
      <c r="B1713" s="72" t="s">
        <v>109</v>
      </c>
      <c r="C1713" s="561" t="str">
        <f ca="1">IF(C1707="Número",TEXT(OFFSET('Bateria indicadores proceso'!$Q$3,(RIGHT(A1702,3)),1),"######"),TEXT(OFFSET('Bateria indicadores proceso'!$Q$3,(RIGHT(A1702,3)),1),"0.0%"))</f>
        <v>17</v>
      </c>
      <c r="D1713" s="561"/>
      <c r="E1713" s="561"/>
      <c r="F1713" s="561"/>
      <c r="G1713" s="561"/>
      <c r="H1713" s="561"/>
      <c r="I1713" s="561"/>
      <c r="J1713" s="561"/>
      <c r="K1713" s="561"/>
      <c r="L1713" s="566"/>
    </row>
    <row r="1714" spans="1:12">
      <c r="A1714" s="101"/>
      <c r="B1714" s="72" t="s">
        <v>110</v>
      </c>
      <c r="C1714" s="593">
        <f ca="1">+OFFSET('Bateria indicadores proceso'!$R$3,(RIGHT(A1702,3)),1)</f>
        <v>46022</v>
      </c>
      <c r="D1714" s="593"/>
      <c r="E1714" s="593"/>
      <c r="F1714" s="593"/>
      <c r="G1714" s="593"/>
      <c r="H1714" s="593"/>
      <c r="I1714" s="593"/>
      <c r="J1714" s="593"/>
      <c r="K1714" s="593"/>
      <c r="L1714" s="594"/>
    </row>
    <row r="1715" spans="1:12">
      <c r="A1715" s="101"/>
      <c r="B1715" s="72" t="s">
        <v>111</v>
      </c>
      <c r="C1715" s="561" t="str">
        <f ca="1">OFFSET('Bateria indicadores proceso'!$M$3,(RIGHT(A1702,3)),1)</f>
        <v>Incrementar</v>
      </c>
      <c r="D1715" s="561"/>
      <c r="E1715" s="561"/>
      <c r="F1715" s="561"/>
      <c r="G1715" s="561"/>
      <c r="H1715" s="561"/>
      <c r="I1715" s="561"/>
      <c r="J1715" s="561"/>
      <c r="K1715" s="561"/>
      <c r="L1715" s="566"/>
    </row>
    <row r="1716" spans="1:12">
      <c r="A1716" s="101"/>
      <c r="B1716" s="72" t="s">
        <v>112</v>
      </c>
      <c r="C1716" s="561" t="str">
        <f ca="1">OFFSET('Bateria indicadores proceso'!$N$3,(RIGHT(A1702,3)),1)</f>
        <v>Acumulado</v>
      </c>
      <c r="D1716" s="561"/>
      <c r="E1716" s="561"/>
      <c r="F1716" s="561"/>
      <c r="G1716" s="561"/>
      <c r="H1716" s="561"/>
      <c r="I1716" s="561"/>
      <c r="J1716" s="561"/>
      <c r="K1716" s="561"/>
      <c r="L1716" s="566"/>
    </row>
    <row r="1717" spans="1:12">
      <c r="A1717" s="101"/>
      <c r="B1717" s="72" t="s">
        <v>113</v>
      </c>
      <c r="C1717" s="561" t="str">
        <f ca="1">IF(C1707="Número",TEXT(OFFSET('Bateria indicadores proceso'!$W$3,(RIGHT(A1702,3)),1),"######"),TEXT(OFFSET('Bateria indicadores proceso'!$W$3,(RIGHT(A1702,3)),1),"0.0%"))</f>
        <v>17</v>
      </c>
      <c r="D1717" s="561"/>
      <c r="E1717" s="561"/>
      <c r="F1717" s="561"/>
      <c r="G1717" s="561"/>
      <c r="H1717" s="561"/>
      <c r="I1717" s="561"/>
      <c r="J1717" s="561"/>
      <c r="K1717" s="561"/>
      <c r="L1717" s="566"/>
    </row>
    <row r="1718" spans="1:12">
      <c r="A1718" s="101"/>
      <c r="B1718" s="595" t="s">
        <v>114</v>
      </c>
      <c r="C1718" s="70" t="s">
        <v>115</v>
      </c>
      <c r="D1718" s="70" t="s">
        <v>116</v>
      </c>
      <c r="E1718" s="70" t="s">
        <v>117</v>
      </c>
      <c r="F1718" s="70" t="s">
        <v>118</v>
      </c>
      <c r="J1718" s="75"/>
      <c r="K1718" s="75"/>
      <c r="L1718" s="76"/>
    </row>
    <row r="1719" spans="1:12">
      <c r="A1719" s="101"/>
      <c r="B1719" s="595"/>
      <c r="C1719" s="70" t="str">
        <f ca="1">IF(C1707="Número",TEXT(OFFSET('Bateria indicadores proceso'!$S$3,(RIGHT(A1702,3)),1),"######"),TEXT(OFFSET('Bateria indicadores proceso'!$S$3,(RIGHT(A1702,3)),1),"0.0%"))</f>
        <v>2</v>
      </c>
      <c r="D1719" s="70" t="str">
        <f ca="1">IF(C1707="Número",TEXT(OFFSET('Bateria indicadores proceso'!$T$3,(RIGHT(A1702,3)),1),"######"),TEXT(OFFSET('Bateria indicadores proceso'!$T$3,(RIGHT(A1702,3)),1),"0.0%"))</f>
        <v>5</v>
      </c>
      <c r="E1719" s="70" t="str">
        <f ca="1">IF(C1707="Número",TEXT(OFFSET('Bateria indicadores proceso'!$U$3,(RIGHT(A1702,3)),1),"######"),TEXT(OFFSET('Bateria indicadores proceso'!$U$3,(RIGHT(A1702,3)),1),"0.0%"))</f>
        <v>5</v>
      </c>
      <c r="F1719" s="70" t="str">
        <f ca="1">IF(C1707="Número",TEXT(OFFSET('Bateria indicadores proceso'!$V$3,(RIGHT(A1702,3)),1),"######"),TEXT(OFFSET('Bateria indicadores proceso'!$V$3,(RIGHT(A1702,3)),1),"0.0%"))</f>
        <v>5</v>
      </c>
      <c r="J1719" s="77"/>
      <c r="K1719" s="77"/>
      <c r="L1719" s="78"/>
    </row>
    <row r="1720" spans="1:12">
      <c r="A1720" s="101"/>
      <c r="B1720" s="600" t="s">
        <v>119</v>
      </c>
      <c r="C1720" s="567" t="s">
        <v>120</v>
      </c>
      <c r="D1720" s="568"/>
      <c r="E1720" s="567" t="s">
        <v>121</v>
      </c>
      <c r="F1720" s="568"/>
      <c r="G1720" s="567" t="s">
        <v>122</v>
      </c>
      <c r="H1720" s="568"/>
      <c r="I1720" s="567" t="s">
        <v>123</v>
      </c>
      <c r="J1720" s="568"/>
      <c r="K1720" s="567" t="s">
        <v>124</v>
      </c>
      <c r="L1720" s="569"/>
    </row>
    <row r="1721" spans="1:12">
      <c r="A1721" s="101"/>
      <c r="B1721" s="601"/>
      <c r="C1721" s="570" t="s">
        <v>125</v>
      </c>
      <c r="D1721" s="571"/>
      <c r="E1721" s="577" t="s">
        <v>126</v>
      </c>
      <c r="F1721" s="578"/>
      <c r="G1721" s="579" t="s">
        <v>127</v>
      </c>
      <c r="H1721" s="580"/>
      <c r="I1721" s="581" t="s">
        <v>128</v>
      </c>
      <c r="J1721" s="582"/>
      <c r="K1721" s="583" t="s">
        <v>129</v>
      </c>
      <c r="L1721" s="584"/>
    </row>
    <row r="1722" spans="1:12">
      <c r="A1722" s="101"/>
      <c r="B1722" s="602"/>
      <c r="C1722" s="567" t="s">
        <v>130</v>
      </c>
      <c r="D1722" s="568"/>
      <c r="E1722" s="567" t="s">
        <v>131</v>
      </c>
      <c r="F1722" s="568"/>
      <c r="G1722" s="585" t="s">
        <v>132</v>
      </c>
      <c r="H1722" s="568"/>
      <c r="I1722" s="567" t="s">
        <v>133</v>
      </c>
      <c r="J1722" s="568"/>
      <c r="K1722" s="567" t="s">
        <v>134</v>
      </c>
      <c r="L1722" s="569"/>
    </row>
    <row r="1723" spans="1:12">
      <c r="A1723" s="101"/>
      <c r="B1723" s="72" t="s">
        <v>135</v>
      </c>
      <c r="C1723" s="559" t="str">
        <f ca="1">OFFSET('Bateria indicadores proceso'!$Y$3,(RIGHT(A1702,3)),1)</f>
        <v>Reportes o Informes de Iniciativas gestionadas, articuladas y/o coordinadas</v>
      </c>
      <c r="D1723" s="559"/>
      <c r="E1723" s="559"/>
      <c r="F1723" s="559"/>
      <c r="G1723" s="559"/>
      <c r="H1723" s="559"/>
      <c r="I1723" s="559"/>
      <c r="J1723" s="559"/>
      <c r="K1723" s="559"/>
      <c r="L1723" s="560"/>
    </row>
    <row r="1724" spans="1:12">
      <c r="A1724" s="101"/>
      <c r="B1724" s="591" t="s">
        <v>136</v>
      </c>
      <c r="C1724" s="561" t="s">
        <v>137</v>
      </c>
      <c r="D1724" s="561"/>
      <c r="E1724" s="561"/>
      <c r="F1724" s="562" t="str">
        <f ca="1">OFFSET('Bateria indicadores proceso'!$B$3,(RIGHT(A1702,3)),1)</f>
        <v>GESTIÓN PARA LA PROTECCIÓN DE LOS DERECHOS</v>
      </c>
      <c r="G1724" s="562"/>
      <c r="H1724" s="562"/>
      <c r="I1724" s="562"/>
      <c r="J1724" s="562"/>
      <c r="K1724" s="562"/>
      <c r="L1724" s="563"/>
    </row>
    <row r="1725" spans="1:12">
      <c r="A1725" s="101"/>
      <c r="B1725" s="592"/>
      <c r="C1725" s="561" t="s">
        <v>138</v>
      </c>
      <c r="D1725" s="561"/>
      <c r="E1725" s="561"/>
      <c r="F1725" s="564">
        <f ca="1">OFFSET('Bateria indicadores proceso'!$C$3,(RIGHT(A1702,3)),1)</f>
        <v>0.06</v>
      </c>
      <c r="G1725" s="564"/>
      <c r="H1725" s="564"/>
      <c r="I1725" s="564"/>
      <c r="J1725" s="564"/>
      <c r="K1725" s="564"/>
      <c r="L1725" s="565"/>
    </row>
    <row r="1726" spans="1:12" ht="15.75" thickBot="1">
      <c r="A1726" s="101"/>
      <c r="B1726" s="592"/>
      <c r="C1726" s="561" t="s">
        <v>139</v>
      </c>
      <c r="D1726" s="561"/>
      <c r="E1726" s="561"/>
      <c r="F1726" s="564">
        <f ca="1">OFFSET('Bateria indicadores proceso'!$E$3,(RIGHT(A1702,3)),1)</f>
        <v>0.03</v>
      </c>
      <c r="G1726" s="564"/>
      <c r="H1726" s="564"/>
      <c r="I1726" s="564"/>
      <c r="J1726" s="564"/>
      <c r="K1726" s="564"/>
      <c r="L1726" s="565"/>
    </row>
    <row r="1727" spans="1:12" ht="16.5" thickBot="1">
      <c r="A1727" s="101"/>
      <c r="B1727" s="572" t="s">
        <v>140</v>
      </c>
      <c r="C1727" s="573"/>
      <c r="D1727" s="573"/>
      <c r="E1727" s="573"/>
      <c r="F1727" s="573"/>
      <c r="G1727" s="573"/>
      <c r="H1727" s="573"/>
      <c r="I1727" s="573"/>
      <c r="J1727" s="573"/>
      <c r="K1727" s="573"/>
      <c r="L1727" s="574"/>
    </row>
    <row r="1728" spans="1:12">
      <c r="A1728" s="101"/>
      <c r="B1728" s="72" t="s">
        <v>142</v>
      </c>
      <c r="C1728" s="561" t="str">
        <f ca="1">OFFSET('Bateria indicadores proceso'!$G$3,(RIGHT(A1702,3)),1)</f>
        <v>Coordinador</v>
      </c>
      <c r="D1728" s="561"/>
      <c r="E1728" s="561"/>
      <c r="F1728" s="561"/>
      <c r="G1728" s="561"/>
      <c r="H1728" s="561"/>
      <c r="I1728" s="561"/>
      <c r="J1728" s="561"/>
      <c r="K1728" s="561"/>
      <c r="L1728" s="566"/>
    </row>
    <row r="1729" spans="1:12">
      <c r="A1729" s="101"/>
      <c r="B1729" s="72" t="s">
        <v>143</v>
      </c>
      <c r="C1729" s="561" t="str">
        <f ca="1">OFFSET('Bateria indicadores proceso'!$F$3,(RIGHT(A1702,3)),1)</f>
        <v>Grupo Equipo de Paz del Ministerio del Interior</v>
      </c>
      <c r="D1729" s="561"/>
      <c r="E1729" s="561"/>
      <c r="F1729" s="561"/>
      <c r="G1729" s="561"/>
      <c r="H1729" s="561"/>
      <c r="I1729" s="561"/>
      <c r="J1729" s="561"/>
      <c r="K1729" s="561"/>
      <c r="L1729" s="566"/>
    </row>
    <row r="1730" spans="1:12">
      <c r="A1730" s="101"/>
      <c r="B1730" s="72" t="s">
        <v>144</v>
      </c>
      <c r="C1730" s="598" t="str">
        <f ca="1">OFFSET('Bateria indicadores proceso'!$H$3,(RIGHT(A1666,3)),1)</f>
        <v>jaime.guzman@mininterior.gov.co</v>
      </c>
      <c r="D1730" s="598"/>
      <c r="E1730" s="598"/>
      <c r="F1730" s="598"/>
      <c r="G1730" s="598"/>
      <c r="H1730" s="598"/>
      <c r="I1730" s="598"/>
      <c r="J1730" s="598"/>
      <c r="K1730" s="598"/>
      <c r="L1730" s="599"/>
    </row>
    <row r="1731" spans="1:12" ht="15.75" thickBot="1">
      <c r="A1731" s="104"/>
      <c r="B1731" s="74" t="s">
        <v>145</v>
      </c>
      <c r="C1731" s="596" t="s">
        <v>146</v>
      </c>
      <c r="D1731" s="596"/>
      <c r="E1731" s="596"/>
      <c r="F1731" s="596"/>
      <c r="G1731" s="596"/>
      <c r="H1731" s="596"/>
      <c r="I1731" s="596"/>
      <c r="J1731" s="596"/>
      <c r="K1731" s="596"/>
      <c r="L1731" s="597"/>
    </row>
    <row r="1732" spans="1:12" ht="15.75" thickBot="1"/>
    <row r="1733" spans="1:12" ht="21.75" thickBot="1">
      <c r="A1733" s="586" t="s">
        <v>89</v>
      </c>
      <c r="B1733" s="587"/>
      <c r="C1733" s="587"/>
      <c r="D1733" s="587"/>
      <c r="E1733" s="587"/>
      <c r="F1733" s="587"/>
      <c r="G1733" s="587"/>
      <c r="H1733" s="587"/>
      <c r="I1733" s="587"/>
      <c r="J1733" s="587"/>
      <c r="K1733" s="587"/>
      <c r="L1733" s="588"/>
    </row>
    <row r="1734" spans="1:12" ht="32.25" thickBot="1">
      <c r="A1734" s="69" t="s">
        <v>90</v>
      </c>
      <c r="B1734" s="589" t="s">
        <v>91</v>
      </c>
      <c r="C1734" s="589"/>
      <c r="D1734" s="589"/>
      <c r="E1734" s="589"/>
      <c r="F1734" s="589"/>
      <c r="G1734" s="589"/>
      <c r="H1734" s="589"/>
      <c r="I1734" s="589"/>
      <c r="J1734" s="589"/>
      <c r="K1734" s="589"/>
      <c r="L1734" s="589"/>
    </row>
    <row r="1735" spans="1:12" ht="16.5" thickBot="1">
      <c r="A1735" s="100"/>
      <c r="B1735" s="71" t="s">
        <v>92</v>
      </c>
      <c r="C1735" s="575" t="s">
        <v>93</v>
      </c>
      <c r="D1735" s="575"/>
      <c r="E1735" s="575"/>
      <c r="F1735" s="575"/>
      <c r="G1735" s="575"/>
      <c r="H1735" s="575"/>
      <c r="I1735" s="575"/>
      <c r="J1735" s="575"/>
      <c r="K1735" s="575"/>
      <c r="L1735" s="576"/>
    </row>
    <row r="1736" spans="1:12" ht="16.5" thickBot="1">
      <c r="A1736" s="101"/>
      <c r="B1736" s="589" t="s">
        <v>94</v>
      </c>
      <c r="C1736" s="590"/>
      <c r="D1736" s="590"/>
      <c r="E1736" s="590"/>
      <c r="F1736" s="590"/>
      <c r="G1736" s="590"/>
      <c r="H1736" s="590"/>
      <c r="I1736" s="590"/>
      <c r="J1736" s="590"/>
      <c r="K1736" s="590"/>
      <c r="L1736" s="590"/>
    </row>
    <row r="1737" spans="1:12">
      <c r="A1737" s="101"/>
      <c r="B1737" s="71" t="s">
        <v>95</v>
      </c>
      <c r="C1737" s="559" t="s">
        <v>96</v>
      </c>
      <c r="D1737" s="559"/>
      <c r="E1737" s="559"/>
      <c r="F1737" s="559"/>
      <c r="G1737" s="559"/>
      <c r="H1737" s="559"/>
      <c r="I1737" s="559"/>
      <c r="J1737" s="559"/>
      <c r="K1737" s="559"/>
      <c r="L1737" s="560"/>
    </row>
    <row r="1738" spans="1:12">
      <c r="A1738" s="102" t="s">
        <v>194</v>
      </c>
      <c r="B1738" s="72" t="s">
        <v>98</v>
      </c>
      <c r="C1738" s="559" t="str">
        <f ca="1">OFFSET('Bateria indicadores proceso'!$F$3,(RIGHT(A1738,3)),1)</f>
        <v>Dirección de la Autoridad Nacional de Consulta Previa</v>
      </c>
      <c r="D1738" s="559"/>
      <c r="E1738" s="559"/>
      <c r="F1738" s="559"/>
      <c r="G1738" s="559"/>
      <c r="H1738" s="559"/>
      <c r="I1738" s="559"/>
      <c r="J1738" s="559"/>
      <c r="K1738" s="559"/>
      <c r="L1738" s="560"/>
    </row>
    <row r="1739" spans="1:12">
      <c r="A1739" s="101"/>
      <c r="B1739" s="72" t="s">
        <v>99</v>
      </c>
      <c r="C1739" s="559" t="str">
        <f ca="1">OFFSET('Bateria indicadores proceso'!$K$3,(RIGHT(A1738,3)),1)</f>
        <v xml:space="preserve">Porcentaje de actos administrativos expedidos para determinar la procedencia o no de la consulta previa </v>
      </c>
      <c r="D1739" s="559"/>
      <c r="E1739" s="559"/>
      <c r="F1739" s="559"/>
      <c r="G1739" s="559"/>
      <c r="H1739" s="559"/>
      <c r="I1739" s="559"/>
      <c r="J1739" s="559"/>
      <c r="K1739" s="559"/>
      <c r="L1739" s="560"/>
    </row>
    <row r="1740" spans="1:12">
      <c r="A1740" s="101"/>
      <c r="B1740" s="72" t="s">
        <v>100</v>
      </c>
      <c r="C1740" s="559" t="str">
        <f ca="1">OFFSET('Bateria indicadores proceso'!$I$3,(RIGHT(A1738,3)),1)</f>
        <v>Eficacia</v>
      </c>
      <c r="D1740" s="559"/>
      <c r="E1740" s="559"/>
      <c r="F1740" s="559"/>
      <c r="G1740" s="559"/>
      <c r="H1740" s="559"/>
      <c r="I1740" s="559"/>
      <c r="J1740" s="559"/>
      <c r="K1740" s="559"/>
      <c r="L1740" s="560"/>
    </row>
    <row r="1741" spans="1:12" ht="15.75" thickBot="1">
      <c r="A1741" s="103"/>
      <c r="B1741" s="73" t="s">
        <v>101</v>
      </c>
      <c r="C1741" s="559" t="str">
        <f ca="1">OFFSET('Bateria indicadores proceso'!$J$3,(RIGHT(A1738,3)),1)</f>
        <v xml:space="preserve">Medir la determinación de la procedencia o no de consulta previa mediante el porcentaje de actos administrativos expedidos para la toma de decisiones. Es importante la medición para establecer el volumen de actos administrativos, para la toma de decisiones, relacionadas con el procedimiento de la procedencia o no de la consulta previa. El indicador es de mantener  </v>
      </c>
      <c r="D1741" s="559"/>
      <c r="E1741" s="559"/>
      <c r="F1741" s="559"/>
      <c r="G1741" s="559"/>
      <c r="H1741" s="559"/>
      <c r="I1741" s="559"/>
      <c r="J1741" s="559"/>
      <c r="K1741" s="559"/>
      <c r="L1741" s="560"/>
    </row>
    <row r="1742" spans="1:12" ht="16.5" thickBot="1">
      <c r="A1742" s="103"/>
      <c r="B1742" s="572" t="s">
        <v>102</v>
      </c>
      <c r="C1742" s="573"/>
      <c r="D1742" s="573"/>
      <c r="E1742" s="573"/>
      <c r="F1742" s="573"/>
      <c r="G1742" s="573"/>
      <c r="H1742" s="573"/>
      <c r="I1742" s="573"/>
      <c r="J1742" s="573"/>
      <c r="K1742" s="573"/>
      <c r="L1742" s="574"/>
    </row>
    <row r="1743" spans="1:12">
      <c r="A1743" s="101"/>
      <c r="B1743" s="71" t="s">
        <v>103</v>
      </c>
      <c r="C1743" s="559" t="str">
        <f ca="1">OFFSET('Bateria indicadores proceso'!$O$3,(RIGHT(A1738,3)),1)</f>
        <v>Porcentaje</v>
      </c>
      <c r="D1743" s="559"/>
      <c r="E1743" s="559"/>
      <c r="F1743" s="559"/>
      <c r="G1743" s="559"/>
      <c r="H1743" s="559"/>
      <c r="I1743" s="559"/>
      <c r="J1743" s="559"/>
      <c r="K1743" s="559"/>
      <c r="L1743" s="560"/>
    </row>
    <row r="1744" spans="1:12" ht="24">
      <c r="A1744" s="101"/>
      <c r="B1744" s="72" t="s">
        <v>104</v>
      </c>
      <c r="C1744" s="559"/>
      <c r="D1744" s="559"/>
      <c r="E1744" s="559"/>
      <c r="F1744" s="559"/>
      <c r="G1744" s="559"/>
      <c r="H1744" s="559"/>
      <c r="I1744" s="559"/>
      <c r="J1744" s="559"/>
      <c r="K1744" s="559"/>
      <c r="L1744" s="560"/>
    </row>
    <row r="1745" spans="1:12">
      <c r="A1745" s="101"/>
      <c r="B1745" s="72" t="s">
        <v>105</v>
      </c>
      <c r="C1745" s="559" t="str">
        <f ca="1">OFFSET('Bateria indicadores proceso'!$L$3,(RIGHT(A1738,3)),1)</f>
        <v xml:space="preserve">(Número de actos administrativos expedidos para determinar la procedencia o no de la consulta previa / Número de actos administrativos programados para determinar la procedencia o no de la consulta previa ) x 100 	</v>
      </c>
      <c r="D1745" s="559"/>
      <c r="E1745" s="559"/>
      <c r="F1745" s="559"/>
      <c r="G1745" s="559"/>
      <c r="H1745" s="559"/>
      <c r="I1745" s="559"/>
      <c r="J1745" s="559"/>
      <c r="K1745" s="559"/>
      <c r="L1745" s="560"/>
    </row>
    <row r="1746" spans="1:12">
      <c r="A1746" s="101"/>
      <c r="B1746" s="72" t="s">
        <v>106</v>
      </c>
      <c r="C1746" s="559" t="str">
        <f ca="1">OFFSET('Bateria indicadores proceso'!$Z$3,(RIGHT(A1738,3)),1)</f>
        <v>Trimestral</v>
      </c>
      <c r="D1746" s="559"/>
      <c r="E1746" s="559"/>
      <c r="F1746" s="559"/>
      <c r="G1746" s="559"/>
      <c r="H1746" s="559"/>
      <c r="I1746" s="559"/>
      <c r="J1746" s="559"/>
      <c r="K1746" s="559"/>
      <c r="L1746" s="560"/>
    </row>
    <row r="1747" spans="1:12">
      <c r="A1747" s="101"/>
      <c r="B1747" s="72" t="s">
        <v>107</v>
      </c>
      <c r="C1747" s="559" t="str">
        <f ca="1">OFFSET('Bateria indicadores proceso'!$X$3,(RIGHT(A1738,3)),1)</f>
        <v>Matriz de actos administrativos 2026 de la Subdirección Ténica</v>
      </c>
      <c r="D1747" s="559"/>
      <c r="E1747" s="559"/>
      <c r="F1747" s="559"/>
      <c r="G1747" s="559"/>
      <c r="H1747" s="559"/>
      <c r="I1747" s="559"/>
      <c r="J1747" s="559"/>
      <c r="K1747" s="559"/>
      <c r="L1747" s="560"/>
    </row>
    <row r="1748" spans="1:12">
      <c r="A1748" s="101"/>
      <c r="B1748" s="72" t="s">
        <v>108</v>
      </c>
      <c r="C1748" s="561">
        <f ca="1">OFFSET('Bateria indicadores proceso'!$P$3,(RIGHT(A1738,3)),1)</f>
        <v>2023</v>
      </c>
      <c r="D1748" s="561"/>
      <c r="E1748" s="561"/>
      <c r="F1748" s="561"/>
      <c r="G1748" s="561"/>
      <c r="H1748" s="561"/>
      <c r="I1748" s="561"/>
      <c r="J1748" s="561"/>
      <c r="K1748" s="561"/>
      <c r="L1748" s="566"/>
    </row>
    <row r="1749" spans="1:12">
      <c r="A1749" s="101"/>
      <c r="B1749" s="72" t="s">
        <v>109</v>
      </c>
      <c r="C1749" s="561" t="str">
        <f ca="1">IF(C1743="Número",TEXT(OFFSET('Bateria indicadores proceso'!$Q$3,(RIGHT(A1738,3)),1),"######"),TEXT(OFFSET('Bateria indicadores proceso'!$Q$3,(RIGHT(A1738,3)),1),"0.0%"))</f>
        <v>100%</v>
      </c>
      <c r="D1749" s="561"/>
      <c r="E1749" s="561"/>
      <c r="F1749" s="561"/>
      <c r="G1749" s="561"/>
      <c r="H1749" s="561"/>
      <c r="I1749" s="561"/>
      <c r="J1749" s="561"/>
      <c r="K1749" s="561"/>
      <c r="L1749" s="566"/>
    </row>
    <row r="1750" spans="1:12">
      <c r="A1750" s="101"/>
      <c r="B1750" s="72" t="s">
        <v>110</v>
      </c>
      <c r="C1750" s="593">
        <f ca="1">+OFFSET('Bateria indicadores proceso'!$R$3,(RIGHT(A1738,3)),1)</f>
        <v>45930</v>
      </c>
      <c r="D1750" s="593"/>
      <c r="E1750" s="593"/>
      <c r="F1750" s="593"/>
      <c r="G1750" s="593"/>
      <c r="H1750" s="593"/>
      <c r="I1750" s="593"/>
      <c r="J1750" s="593"/>
      <c r="K1750" s="593"/>
      <c r="L1750" s="594"/>
    </row>
    <row r="1751" spans="1:12">
      <c r="A1751" s="101"/>
      <c r="B1751" s="72" t="s">
        <v>111</v>
      </c>
      <c r="C1751" s="561" t="str">
        <f ca="1">OFFSET('Bateria indicadores proceso'!$M$3,(RIGHT(A1738,3)),1)</f>
        <v>Mantener</v>
      </c>
      <c r="D1751" s="561"/>
      <c r="E1751" s="561"/>
      <c r="F1751" s="561"/>
      <c r="G1751" s="561"/>
      <c r="H1751" s="561"/>
      <c r="I1751" s="561"/>
      <c r="J1751" s="561"/>
      <c r="K1751" s="561"/>
      <c r="L1751" s="566"/>
    </row>
    <row r="1752" spans="1:12">
      <c r="A1752" s="101"/>
      <c r="B1752" s="72" t="s">
        <v>112</v>
      </c>
      <c r="C1752" s="561" t="str">
        <f ca="1">OFFSET('Bateria indicadores proceso'!$N$3,(RIGHT(A1738,3)),1)</f>
        <v>Flujo</v>
      </c>
      <c r="D1752" s="561"/>
      <c r="E1752" s="561"/>
      <c r="F1752" s="561"/>
      <c r="G1752" s="561"/>
      <c r="H1752" s="561"/>
      <c r="I1752" s="561"/>
      <c r="J1752" s="561"/>
      <c r="K1752" s="561"/>
      <c r="L1752" s="566"/>
    </row>
    <row r="1753" spans="1:12">
      <c r="A1753" s="101"/>
      <c r="B1753" s="72" t="s">
        <v>113</v>
      </c>
      <c r="C1753" s="561" t="str">
        <f ca="1">IF(C1743="Número",TEXT(OFFSET('Bateria indicadores proceso'!$W$3,(RIGHT(A1738,3)),1),"######"),TEXT(OFFSET('Bateria indicadores proceso'!$W$3,(RIGHT(A1738,3)),1),"0.0%"))</f>
        <v>90%</v>
      </c>
      <c r="D1753" s="561"/>
      <c r="E1753" s="561"/>
      <c r="F1753" s="561"/>
      <c r="G1753" s="561"/>
      <c r="H1753" s="561"/>
      <c r="I1753" s="561"/>
      <c r="J1753" s="561"/>
      <c r="K1753" s="561"/>
      <c r="L1753" s="566"/>
    </row>
    <row r="1754" spans="1:12">
      <c r="A1754" s="101"/>
      <c r="B1754" s="595" t="s">
        <v>114</v>
      </c>
      <c r="C1754" s="70" t="s">
        <v>115</v>
      </c>
      <c r="D1754" s="70" t="s">
        <v>116</v>
      </c>
      <c r="E1754" s="70" t="s">
        <v>117</v>
      </c>
      <c r="F1754" s="70" t="s">
        <v>118</v>
      </c>
      <c r="J1754" s="75"/>
      <c r="K1754" s="75"/>
      <c r="L1754" s="76"/>
    </row>
    <row r="1755" spans="1:12">
      <c r="A1755" s="101"/>
      <c r="B1755" s="595"/>
      <c r="C1755" s="70" t="str">
        <f ca="1">IF(C1743="Número",TEXT(OFFSET('Bateria indicadores proceso'!$S$3,(RIGHT(A1738,3)),1),"######"),TEXT(OFFSET('Bateria indicadores proceso'!$S$3,(RIGHT(A1738,3)),1),"0.0%"))</f>
        <v>90%</v>
      </c>
      <c r="D1755" s="70" t="str">
        <f ca="1">IF(C1743="Número",TEXT(OFFSET('Bateria indicadores proceso'!$T$3,(RIGHT(A1738,3)),1),"######"),TEXT(OFFSET('Bateria indicadores proceso'!$T$3,(RIGHT(A1738,3)),1),"0.0%"))</f>
        <v>90%</v>
      </c>
      <c r="E1755" s="70" t="str">
        <f ca="1">IF(C1743="Número",TEXT(OFFSET('Bateria indicadores proceso'!$U$3,(RIGHT(A1738,3)),1),"######"),TEXT(OFFSET('Bateria indicadores proceso'!$U$3,(RIGHT(A1738,3)),1),"0.0%"))</f>
        <v>90%</v>
      </c>
      <c r="F1755" s="70" t="str">
        <f ca="1">IF(C1743="Número",TEXT(OFFSET('Bateria indicadores proceso'!$V$3,(RIGHT(A1738,3)),1),"######"),TEXT(OFFSET('Bateria indicadores proceso'!$V$3,(RIGHT(A1738,3)),1),"0.0%"))</f>
        <v>90%</v>
      </c>
      <c r="J1755" s="77"/>
      <c r="K1755" s="77"/>
      <c r="L1755" s="78"/>
    </row>
    <row r="1756" spans="1:12">
      <c r="A1756" s="101"/>
      <c r="B1756" s="600" t="s">
        <v>119</v>
      </c>
      <c r="C1756" s="567" t="s">
        <v>120</v>
      </c>
      <c r="D1756" s="568"/>
      <c r="E1756" s="567" t="s">
        <v>121</v>
      </c>
      <c r="F1756" s="568"/>
      <c r="G1756" s="567" t="s">
        <v>122</v>
      </c>
      <c r="H1756" s="568"/>
      <c r="I1756" s="567" t="s">
        <v>123</v>
      </c>
      <c r="J1756" s="568"/>
      <c r="K1756" s="567" t="s">
        <v>124</v>
      </c>
      <c r="L1756" s="569"/>
    </row>
    <row r="1757" spans="1:12">
      <c r="A1757" s="101"/>
      <c r="B1757" s="601"/>
      <c r="C1757" s="570" t="s">
        <v>125</v>
      </c>
      <c r="D1757" s="571"/>
      <c r="E1757" s="577" t="s">
        <v>126</v>
      </c>
      <c r="F1757" s="578"/>
      <c r="G1757" s="579" t="s">
        <v>127</v>
      </c>
      <c r="H1757" s="580"/>
      <c r="I1757" s="581" t="s">
        <v>128</v>
      </c>
      <c r="J1757" s="582"/>
      <c r="K1757" s="583" t="s">
        <v>129</v>
      </c>
      <c r="L1757" s="584"/>
    </row>
    <row r="1758" spans="1:12">
      <c r="A1758" s="101"/>
      <c r="B1758" s="602"/>
      <c r="C1758" s="567" t="s">
        <v>130</v>
      </c>
      <c r="D1758" s="568"/>
      <c r="E1758" s="567" t="s">
        <v>131</v>
      </c>
      <c r="F1758" s="568"/>
      <c r="G1758" s="585" t="s">
        <v>132</v>
      </c>
      <c r="H1758" s="568"/>
      <c r="I1758" s="567" t="s">
        <v>133</v>
      </c>
      <c r="J1758" s="568"/>
      <c r="K1758" s="567" t="s">
        <v>134</v>
      </c>
      <c r="L1758" s="569"/>
    </row>
    <row r="1759" spans="1:12">
      <c r="A1759" s="101"/>
      <c r="B1759" s="72" t="s">
        <v>135</v>
      </c>
      <c r="C1759" s="559" t="str">
        <f ca="1">OFFSET('Bateria indicadores proceso'!$Y$3,(RIGHT(A1738,3)),1)</f>
        <v xml:space="preserve">Matriz de actos administrativos 2026 de la Subdirección Técnica  </v>
      </c>
      <c r="D1759" s="559"/>
      <c r="E1759" s="559"/>
      <c r="F1759" s="559"/>
      <c r="G1759" s="559"/>
      <c r="H1759" s="559"/>
      <c r="I1759" s="559"/>
      <c r="J1759" s="559"/>
      <c r="K1759" s="559"/>
      <c r="L1759" s="560"/>
    </row>
    <row r="1760" spans="1:12">
      <c r="A1760" s="101"/>
      <c r="B1760" s="591" t="s">
        <v>136</v>
      </c>
      <c r="C1760" s="561" t="s">
        <v>137</v>
      </c>
      <c r="D1760" s="561"/>
      <c r="E1760" s="561"/>
      <c r="F1760" s="562" t="str">
        <f ca="1">OFFSET('Bateria indicadores proceso'!$B$3,(RIGHT(A1738,3)),1)</f>
        <v>GESTIÓN PARA LA PROTECCIÓN DE LOS DERECHOS</v>
      </c>
      <c r="G1760" s="562"/>
      <c r="H1760" s="562"/>
      <c r="I1760" s="562"/>
      <c r="J1760" s="562"/>
      <c r="K1760" s="562"/>
      <c r="L1760" s="563"/>
    </row>
    <row r="1761" spans="1:12">
      <c r="A1761" s="101"/>
      <c r="B1761" s="592"/>
      <c r="C1761" s="561" t="s">
        <v>138</v>
      </c>
      <c r="D1761" s="561"/>
      <c r="E1761" s="561"/>
      <c r="F1761" s="564">
        <f ca="1">OFFSET('Bateria indicadores proceso'!$C$3,(RIGHT(A1738,3)),1)</f>
        <v>0.11</v>
      </c>
      <c r="G1761" s="564"/>
      <c r="H1761" s="564"/>
      <c r="I1761" s="564"/>
      <c r="J1761" s="564"/>
      <c r="K1761" s="564"/>
      <c r="L1761" s="565"/>
    </row>
    <row r="1762" spans="1:12" ht="15.75" thickBot="1">
      <c r="A1762" s="101"/>
      <c r="B1762" s="592"/>
      <c r="C1762" s="561" t="s">
        <v>139</v>
      </c>
      <c r="D1762" s="561"/>
      <c r="E1762" s="561"/>
      <c r="F1762" s="564">
        <f ca="1">OFFSET('Bateria indicadores proceso'!$E$3,(RIGHT(A1738,3)),1)</f>
        <v>0.04</v>
      </c>
      <c r="G1762" s="564"/>
      <c r="H1762" s="564"/>
      <c r="I1762" s="564"/>
      <c r="J1762" s="564"/>
      <c r="K1762" s="564"/>
      <c r="L1762" s="565"/>
    </row>
    <row r="1763" spans="1:12" ht="16.5" thickBot="1">
      <c r="A1763" s="101"/>
      <c r="B1763" s="572" t="s">
        <v>140</v>
      </c>
      <c r="C1763" s="573"/>
      <c r="D1763" s="573"/>
      <c r="E1763" s="573"/>
      <c r="F1763" s="573"/>
      <c r="G1763" s="573"/>
      <c r="H1763" s="573"/>
      <c r="I1763" s="573"/>
      <c r="J1763" s="573"/>
      <c r="K1763" s="573"/>
      <c r="L1763" s="574"/>
    </row>
    <row r="1764" spans="1:12">
      <c r="A1764" s="101"/>
      <c r="B1764" s="72" t="s">
        <v>142</v>
      </c>
      <c r="C1764" s="561" t="str">
        <f ca="1">OFFSET('Bateria indicadores proceso'!$G$3,(RIGHT(A1738,3)),1)</f>
        <v>Director</v>
      </c>
      <c r="D1764" s="561"/>
      <c r="E1764" s="561"/>
      <c r="F1764" s="561"/>
      <c r="G1764" s="561"/>
      <c r="H1764" s="561"/>
      <c r="I1764" s="561"/>
      <c r="J1764" s="561"/>
      <c r="K1764" s="561"/>
      <c r="L1764" s="566"/>
    </row>
    <row r="1765" spans="1:12">
      <c r="A1765" s="101"/>
      <c r="B1765" s="72" t="s">
        <v>143</v>
      </c>
      <c r="C1765" s="561" t="str">
        <f ca="1">OFFSET('Bateria indicadores proceso'!$F$3,(RIGHT(A1738,3)),1)</f>
        <v>Dirección de la Autoridad Nacional de Consulta Previa</v>
      </c>
      <c r="D1765" s="561"/>
      <c r="E1765" s="561"/>
      <c r="F1765" s="561"/>
      <c r="G1765" s="561"/>
      <c r="H1765" s="561"/>
      <c r="I1765" s="561"/>
      <c r="J1765" s="561"/>
      <c r="K1765" s="561"/>
      <c r="L1765" s="566"/>
    </row>
    <row r="1766" spans="1:12">
      <c r="A1766" s="101"/>
      <c r="B1766" s="72" t="s">
        <v>144</v>
      </c>
      <c r="C1766" s="598" t="str">
        <f ca="1">OFFSET('Bateria indicadores proceso'!$H$3,(RIGHT(A1738,3)),1)</f>
        <v>dire.alfonso.jimenez@mininterior.gov.co</v>
      </c>
      <c r="D1766" s="598"/>
      <c r="E1766" s="598"/>
      <c r="F1766" s="598"/>
      <c r="G1766" s="598"/>
      <c r="H1766" s="598"/>
      <c r="I1766" s="598"/>
      <c r="J1766" s="598"/>
      <c r="K1766" s="598"/>
      <c r="L1766" s="599"/>
    </row>
    <row r="1767" spans="1:12" ht="15.75" thickBot="1">
      <c r="A1767" s="104"/>
      <c r="B1767" s="74" t="s">
        <v>145</v>
      </c>
      <c r="C1767" s="596" t="s">
        <v>146</v>
      </c>
      <c r="D1767" s="596"/>
      <c r="E1767" s="596"/>
      <c r="F1767" s="596"/>
      <c r="G1767" s="596"/>
      <c r="H1767" s="596"/>
      <c r="I1767" s="596"/>
      <c r="J1767" s="596"/>
      <c r="K1767" s="596"/>
      <c r="L1767" s="597"/>
    </row>
    <row r="1768" spans="1:12" ht="15.75" thickBot="1"/>
    <row r="1769" spans="1:12" ht="21.75" thickBot="1">
      <c r="A1769" s="586" t="s">
        <v>89</v>
      </c>
      <c r="B1769" s="587"/>
      <c r="C1769" s="587"/>
      <c r="D1769" s="587"/>
      <c r="E1769" s="587"/>
      <c r="F1769" s="587"/>
      <c r="G1769" s="587"/>
      <c r="H1769" s="587"/>
      <c r="I1769" s="587"/>
      <c r="J1769" s="587"/>
      <c r="K1769" s="587"/>
      <c r="L1769" s="588"/>
    </row>
    <row r="1770" spans="1:12" ht="32.25" thickBot="1">
      <c r="A1770" s="69" t="s">
        <v>90</v>
      </c>
      <c r="B1770" s="589" t="s">
        <v>91</v>
      </c>
      <c r="C1770" s="589"/>
      <c r="D1770" s="589"/>
      <c r="E1770" s="589"/>
      <c r="F1770" s="589"/>
      <c r="G1770" s="589"/>
      <c r="H1770" s="589"/>
      <c r="I1770" s="589"/>
      <c r="J1770" s="589"/>
      <c r="K1770" s="589"/>
      <c r="L1770" s="589"/>
    </row>
    <row r="1771" spans="1:12" ht="16.5" thickBot="1">
      <c r="A1771" s="100"/>
      <c r="B1771" s="71" t="s">
        <v>92</v>
      </c>
      <c r="C1771" s="575" t="s">
        <v>93</v>
      </c>
      <c r="D1771" s="575"/>
      <c r="E1771" s="575"/>
      <c r="F1771" s="575"/>
      <c r="G1771" s="575"/>
      <c r="H1771" s="575"/>
      <c r="I1771" s="575"/>
      <c r="J1771" s="575"/>
      <c r="K1771" s="575"/>
      <c r="L1771" s="576"/>
    </row>
    <row r="1772" spans="1:12" ht="16.5" thickBot="1">
      <c r="A1772" s="101"/>
      <c r="B1772" s="589" t="s">
        <v>94</v>
      </c>
      <c r="C1772" s="590"/>
      <c r="D1772" s="590"/>
      <c r="E1772" s="590"/>
      <c r="F1772" s="590"/>
      <c r="G1772" s="590"/>
      <c r="H1772" s="590"/>
      <c r="I1772" s="590"/>
      <c r="J1772" s="590"/>
      <c r="K1772" s="590"/>
      <c r="L1772" s="590"/>
    </row>
    <row r="1773" spans="1:12">
      <c r="A1773" s="101"/>
      <c r="B1773" s="71" t="s">
        <v>95</v>
      </c>
      <c r="C1773" s="559" t="s">
        <v>96</v>
      </c>
      <c r="D1773" s="559"/>
      <c r="E1773" s="559"/>
      <c r="F1773" s="559"/>
      <c r="G1773" s="559"/>
      <c r="H1773" s="559"/>
      <c r="I1773" s="559"/>
      <c r="J1773" s="559"/>
      <c r="K1773" s="559"/>
      <c r="L1773" s="560"/>
    </row>
    <row r="1774" spans="1:12">
      <c r="A1774" s="102" t="s">
        <v>195</v>
      </c>
      <c r="B1774" s="72" t="s">
        <v>98</v>
      </c>
      <c r="C1774" s="559" t="str">
        <f ca="1">OFFSET('Bateria indicadores proceso'!$F$3,(RIGHT(A1774,3)),1)</f>
        <v>Dirección de la Autoridad Nacional de Consulta Previa</v>
      </c>
      <c r="D1774" s="559"/>
      <c r="E1774" s="559"/>
      <c r="F1774" s="559"/>
      <c r="G1774" s="559"/>
      <c r="H1774" s="559"/>
      <c r="I1774" s="559"/>
      <c r="J1774" s="559"/>
      <c r="K1774" s="559"/>
      <c r="L1774" s="560"/>
    </row>
    <row r="1775" spans="1:12">
      <c r="A1775" s="101"/>
      <c r="B1775" s="72" t="s">
        <v>99</v>
      </c>
      <c r="C1775" s="559" t="str">
        <f ca="1">OFFSET('Bateria indicadores proceso'!$K$3,(RIGHT(A1774,3)),1)</f>
        <v xml:space="preserve">Porcentaje de reuniones convocadas y atendidas en el marco de procesos de consulta previa </v>
      </c>
      <c r="D1775" s="559"/>
      <c r="E1775" s="559"/>
      <c r="F1775" s="559"/>
      <c r="G1775" s="559"/>
      <c r="H1775" s="559"/>
      <c r="I1775" s="559"/>
      <c r="J1775" s="559"/>
      <c r="K1775" s="559"/>
      <c r="L1775" s="560"/>
    </row>
    <row r="1776" spans="1:12">
      <c r="A1776" s="101"/>
      <c r="B1776" s="72" t="s">
        <v>100</v>
      </c>
      <c r="C1776" s="559" t="str">
        <f ca="1">OFFSET('Bateria indicadores proceso'!$I$3,(RIGHT(A1774,3)),1)</f>
        <v>Eficacia</v>
      </c>
      <c r="D1776" s="559"/>
      <c r="E1776" s="559"/>
      <c r="F1776" s="559"/>
      <c r="G1776" s="559"/>
      <c r="H1776" s="559"/>
      <c r="I1776" s="559"/>
      <c r="J1776" s="559"/>
      <c r="K1776" s="559"/>
      <c r="L1776" s="560"/>
    </row>
    <row r="1777" spans="1:12" ht="15.75" thickBot="1">
      <c r="A1777" s="103"/>
      <c r="B1777" s="73" t="s">
        <v>101</v>
      </c>
      <c r="C1777" s="559" t="str">
        <f ca="1">OFFSET('Bateria indicadores proceso'!$J$3,(RIGHT(A1774,3)),1)</f>
        <v>Medir la gestión y coordinación de los procesos consultivos mediante el porcentaje de reuniones atendidas y convocadas en el marco de procesos de consulta previa. Es importante medirlo para el monitoreo y toma de decisiones de la gestión del desarrollo de los procesos consultivos . El indicador es de mantener</v>
      </c>
      <c r="D1777" s="559"/>
      <c r="E1777" s="559"/>
      <c r="F1777" s="559"/>
      <c r="G1777" s="559"/>
      <c r="H1777" s="559"/>
      <c r="I1777" s="559"/>
      <c r="J1777" s="559"/>
      <c r="K1777" s="559"/>
      <c r="L1777" s="560"/>
    </row>
    <row r="1778" spans="1:12" ht="16.5" thickBot="1">
      <c r="A1778" s="103"/>
      <c r="B1778" s="572" t="s">
        <v>102</v>
      </c>
      <c r="C1778" s="573"/>
      <c r="D1778" s="573"/>
      <c r="E1778" s="573"/>
      <c r="F1778" s="573"/>
      <c r="G1778" s="573"/>
      <c r="H1778" s="573"/>
      <c r="I1778" s="573"/>
      <c r="J1778" s="573"/>
      <c r="K1778" s="573"/>
      <c r="L1778" s="574"/>
    </row>
    <row r="1779" spans="1:12">
      <c r="A1779" s="101"/>
      <c r="B1779" s="71" t="s">
        <v>103</v>
      </c>
      <c r="C1779" s="559" t="str">
        <f ca="1">OFFSET('Bateria indicadores proceso'!$O$3,(RIGHT(A1774,3)),1)</f>
        <v>Porcentaje</v>
      </c>
      <c r="D1779" s="559"/>
      <c r="E1779" s="559"/>
      <c r="F1779" s="559"/>
      <c r="G1779" s="559"/>
      <c r="H1779" s="559"/>
      <c r="I1779" s="559"/>
      <c r="J1779" s="559"/>
      <c r="K1779" s="559"/>
      <c r="L1779" s="560"/>
    </row>
    <row r="1780" spans="1:12" ht="24">
      <c r="A1780" s="101"/>
      <c r="B1780" s="72" t="s">
        <v>104</v>
      </c>
      <c r="C1780" s="559"/>
      <c r="D1780" s="559"/>
      <c r="E1780" s="559"/>
      <c r="F1780" s="559"/>
      <c r="G1780" s="559"/>
      <c r="H1780" s="559"/>
      <c r="I1780" s="559"/>
      <c r="J1780" s="559"/>
      <c r="K1780" s="559"/>
      <c r="L1780" s="560"/>
    </row>
    <row r="1781" spans="1:12">
      <c r="A1781" s="101"/>
      <c r="B1781" s="72" t="s">
        <v>105</v>
      </c>
      <c r="C1781" s="559" t="str">
        <f ca="1">OFFSET('Bateria indicadores proceso'!$L$3,(RIGHT(A1774,3)),1)</f>
        <v>SI((Número de reuniones atendidas en el marco de procesos de consulta previa/Número de reunioones convocados en el marco de procesos de consulta previa)&gt;=85%;1;(Número de reuniones atendidas en el marco de procesos de consulta previa/Número de reunioones convocados en el marco de procesos de consulta previa)/85%)</v>
      </c>
      <c r="D1781" s="559"/>
      <c r="E1781" s="559"/>
      <c r="F1781" s="559"/>
      <c r="G1781" s="559"/>
      <c r="H1781" s="559"/>
      <c r="I1781" s="559"/>
      <c r="J1781" s="559"/>
      <c r="K1781" s="559"/>
      <c r="L1781" s="560"/>
    </row>
    <row r="1782" spans="1:12">
      <c r="A1782" s="101"/>
      <c r="B1782" s="72" t="s">
        <v>106</v>
      </c>
      <c r="C1782" s="559" t="str">
        <f ca="1">OFFSET('Bateria indicadores proceso'!$Z$3,(RIGHT(A1774,3)),1)</f>
        <v>Trimestral</v>
      </c>
      <c r="D1782" s="559"/>
      <c r="E1782" s="559"/>
      <c r="F1782" s="559"/>
      <c r="G1782" s="559"/>
      <c r="H1782" s="559"/>
      <c r="I1782" s="559"/>
      <c r="J1782" s="559"/>
      <c r="K1782" s="559"/>
      <c r="L1782" s="560"/>
    </row>
    <row r="1783" spans="1:12">
      <c r="A1783" s="101"/>
      <c r="B1783" s="72" t="s">
        <v>107</v>
      </c>
      <c r="C1783" s="559" t="str">
        <f ca="1">OFFSET('Bateria indicadores proceso'!$X$3,(RIGHT(A1774,3)),1)</f>
        <v>Matriz de reuniones convocadas y atendidas en el marco de la Consulta Previa de la Subdirección de Gestión.</v>
      </c>
      <c r="D1783" s="559"/>
      <c r="E1783" s="559"/>
      <c r="F1783" s="559"/>
      <c r="G1783" s="559"/>
      <c r="H1783" s="559"/>
      <c r="I1783" s="559"/>
      <c r="J1783" s="559"/>
      <c r="K1783" s="559"/>
      <c r="L1783" s="560"/>
    </row>
    <row r="1784" spans="1:12">
      <c r="A1784" s="101"/>
      <c r="B1784" s="72" t="s">
        <v>108</v>
      </c>
      <c r="C1784" s="561">
        <f ca="1">OFFSET('Bateria indicadores proceso'!$P$3,(RIGHT(A1774,3)),1)</f>
        <v>2023</v>
      </c>
      <c r="D1784" s="561"/>
      <c r="E1784" s="561"/>
      <c r="F1784" s="561"/>
      <c r="G1784" s="561"/>
      <c r="H1784" s="561"/>
      <c r="I1784" s="561"/>
      <c r="J1784" s="561"/>
      <c r="K1784" s="561"/>
      <c r="L1784" s="566"/>
    </row>
    <row r="1785" spans="1:12">
      <c r="A1785" s="101"/>
      <c r="B1785" s="72" t="s">
        <v>109</v>
      </c>
      <c r="C1785" s="561" t="str">
        <f ca="1">IF(C1779="Número",TEXT(OFFSET('Bateria indicadores proceso'!$Q$3,(RIGHT(A1774,3)),1),"######"),TEXT(OFFSET('Bateria indicadores proceso'!$Q$3,(RIGHT(A1774,3)),1),"0.0%"))</f>
        <v>100%</v>
      </c>
      <c r="D1785" s="561"/>
      <c r="E1785" s="561"/>
      <c r="F1785" s="561"/>
      <c r="G1785" s="561"/>
      <c r="H1785" s="561"/>
      <c r="I1785" s="561"/>
      <c r="J1785" s="561"/>
      <c r="K1785" s="561"/>
      <c r="L1785" s="566"/>
    </row>
    <row r="1786" spans="1:12">
      <c r="A1786" s="101"/>
      <c r="B1786" s="72" t="s">
        <v>110</v>
      </c>
      <c r="C1786" s="593">
        <f ca="1">+OFFSET('Bateria indicadores proceso'!$R$3,(RIGHT(A1774,3)),1)</f>
        <v>45930</v>
      </c>
      <c r="D1786" s="593"/>
      <c r="E1786" s="593"/>
      <c r="F1786" s="593"/>
      <c r="G1786" s="593"/>
      <c r="H1786" s="593"/>
      <c r="I1786" s="593"/>
      <c r="J1786" s="593"/>
      <c r="K1786" s="593"/>
      <c r="L1786" s="594"/>
    </row>
    <row r="1787" spans="1:12">
      <c r="A1787" s="101"/>
      <c r="B1787" s="72" t="s">
        <v>111</v>
      </c>
      <c r="C1787" s="561" t="str">
        <f ca="1">OFFSET('Bateria indicadores proceso'!$M$3,(RIGHT(A1774,3)),1)</f>
        <v>Mantener</v>
      </c>
      <c r="D1787" s="561"/>
      <c r="E1787" s="561"/>
      <c r="F1787" s="561"/>
      <c r="G1787" s="561"/>
      <c r="H1787" s="561"/>
      <c r="I1787" s="561"/>
      <c r="J1787" s="561"/>
      <c r="K1787" s="561"/>
      <c r="L1787" s="566"/>
    </row>
    <row r="1788" spans="1:12">
      <c r="A1788" s="101"/>
      <c r="B1788" s="72" t="s">
        <v>112</v>
      </c>
      <c r="C1788" s="561" t="str">
        <f ca="1">OFFSET('Bateria indicadores proceso'!$N$3,(RIGHT(A1774,3)),1)</f>
        <v>Flujo</v>
      </c>
      <c r="D1788" s="561"/>
      <c r="E1788" s="561"/>
      <c r="F1788" s="561"/>
      <c r="G1788" s="561"/>
      <c r="H1788" s="561"/>
      <c r="I1788" s="561"/>
      <c r="J1788" s="561"/>
      <c r="K1788" s="561"/>
      <c r="L1788" s="566"/>
    </row>
    <row r="1789" spans="1:12">
      <c r="A1789" s="101"/>
      <c r="B1789" s="72" t="s">
        <v>113</v>
      </c>
      <c r="C1789" s="561" t="str">
        <f ca="1">IF(C1779="Número",TEXT(OFFSET('Bateria indicadores proceso'!$W$3,(RIGHT(A1774,3)),1),"######"),TEXT(OFFSET('Bateria indicadores proceso'!$W$3,(RIGHT(A1774,3)),1),"0.0%"))</f>
        <v>100%</v>
      </c>
      <c r="D1789" s="561"/>
      <c r="E1789" s="561"/>
      <c r="F1789" s="561"/>
      <c r="G1789" s="561"/>
      <c r="H1789" s="561"/>
      <c r="I1789" s="561"/>
      <c r="J1789" s="561"/>
      <c r="K1789" s="561"/>
      <c r="L1789" s="566"/>
    </row>
    <row r="1790" spans="1:12">
      <c r="A1790" s="101"/>
      <c r="B1790" s="595" t="s">
        <v>114</v>
      </c>
      <c r="C1790" s="70" t="s">
        <v>115</v>
      </c>
      <c r="D1790" s="70" t="s">
        <v>116</v>
      </c>
      <c r="E1790" s="70" t="s">
        <v>117</v>
      </c>
      <c r="F1790" s="70" t="s">
        <v>118</v>
      </c>
      <c r="J1790" s="75"/>
      <c r="K1790" s="75"/>
      <c r="L1790" s="76"/>
    </row>
    <row r="1791" spans="1:12">
      <c r="A1791" s="101"/>
      <c r="B1791" s="595"/>
      <c r="C1791" s="70" t="str">
        <f ca="1">IF(C1779="Número",TEXT(OFFSET('Bateria indicadores proceso'!$S$3,(RIGHT(A1774,3)),1),"######"),TEXT(OFFSET('Bateria indicadores proceso'!$S$3,(RIGHT(A1774,3)),1),"0.0%"))</f>
        <v>100%</v>
      </c>
      <c r="D1791" s="70" t="str">
        <f ca="1">IF(C1779="Número",TEXT(OFFSET('Bateria indicadores proceso'!$T$3,(RIGHT(A1774,3)),1),"######"),TEXT(OFFSET('Bateria indicadores proceso'!$T$3,(RIGHT(A1774,3)),1),"0.0%"))</f>
        <v>100%</v>
      </c>
      <c r="E1791" s="70" t="str">
        <f ca="1">IF(C1779="Número",TEXT(OFFSET('Bateria indicadores proceso'!$U$3,(RIGHT(A1774,3)),1),"######"),TEXT(OFFSET('Bateria indicadores proceso'!$U$3,(RIGHT(A1774,3)),1),"0.0%"))</f>
        <v>100%</v>
      </c>
      <c r="F1791" s="70" t="str">
        <f ca="1">IF(C1779="Número",TEXT(OFFSET('Bateria indicadores proceso'!$V$3,(RIGHT(A1774,3)),1),"######"),TEXT(OFFSET('Bateria indicadores proceso'!$V$3,(RIGHT(A1774,3)),1),"0.0%"))</f>
        <v>100%</v>
      </c>
      <c r="J1791" s="77"/>
      <c r="K1791" s="77"/>
      <c r="L1791" s="78"/>
    </row>
    <row r="1792" spans="1:12">
      <c r="A1792" s="101"/>
      <c r="B1792" s="600" t="s">
        <v>119</v>
      </c>
      <c r="C1792" s="567" t="s">
        <v>120</v>
      </c>
      <c r="D1792" s="568"/>
      <c r="E1792" s="567" t="s">
        <v>121</v>
      </c>
      <c r="F1792" s="568"/>
      <c r="G1792" s="567" t="s">
        <v>122</v>
      </c>
      <c r="H1792" s="568"/>
      <c r="I1792" s="567" t="s">
        <v>123</v>
      </c>
      <c r="J1792" s="568"/>
      <c r="K1792" s="567" t="s">
        <v>124</v>
      </c>
      <c r="L1792" s="569"/>
    </row>
    <row r="1793" spans="1:12">
      <c r="A1793" s="101"/>
      <c r="B1793" s="601"/>
      <c r="C1793" s="570" t="s">
        <v>125</v>
      </c>
      <c r="D1793" s="571"/>
      <c r="E1793" s="577" t="s">
        <v>126</v>
      </c>
      <c r="F1793" s="578"/>
      <c r="G1793" s="579" t="s">
        <v>127</v>
      </c>
      <c r="H1793" s="580"/>
      <c r="I1793" s="581" t="s">
        <v>128</v>
      </c>
      <c r="J1793" s="582"/>
      <c r="K1793" s="583" t="s">
        <v>129</v>
      </c>
      <c r="L1793" s="584"/>
    </row>
    <row r="1794" spans="1:12">
      <c r="A1794" s="101"/>
      <c r="B1794" s="602"/>
      <c r="C1794" s="567" t="s">
        <v>130</v>
      </c>
      <c r="D1794" s="568"/>
      <c r="E1794" s="567" t="s">
        <v>131</v>
      </c>
      <c r="F1794" s="568"/>
      <c r="G1794" s="585" t="s">
        <v>132</v>
      </c>
      <c r="H1794" s="568"/>
      <c r="I1794" s="567" t="s">
        <v>133</v>
      </c>
      <c r="J1794" s="568"/>
      <c r="K1794" s="567" t="s">
        <v>134</v>
      </c>
      <c r="L1794" s="569"/>
    </row>
    <row r="1795" spans="1:12">
      <c r="A1795" s="101"/>
      <c r="B1795" s="72" t="s">
        <v>135</v>
      </c>
      <c r="C1795" s="559" t="str">
        <f ca="1">OFFSET('Bateria indicadores proceso'!$Y$3,(RIGHT(A1774,3)),1)</f>
        <v xml:space="preserve">Matriz de reuniones convocadas y atendidas en el marco de la Consulta Previa de la Subdirección de Gestión </v>
      </c>
      <c r="D1795" s="559"/>
      <c r="E1795" s="559"/>
      <c r="F1795" s="559"/>
      <c r="G1795" s="559"/>
      <c r="H1795" s="559"/>
      <c r="I1795" s="559"/>
      <c r="J1795" s="559"/>
      <c r="K1795" s="559"/>
      <c r="L1795" s="560"/>
    </row>
    <row r="1796" spans="1:12">
      <c r="A1796" s="101"/>
      <c r="B1796" s="591" t="s">
        <v>136</v>
      </c>
      <c r="C1796" s="561" t="s">
        <v>137</v>
      </c>
      <c r="D1796" s="561"/>
      <c r="E1796" s="561"/>
      <c r="F1796" s="562" t="str">
        <f ca="1">OFFSET('Bateria indicadores proceso'!$B$3,(RIGHT(A1774,3)),1)</f>
        <v>GESTIÓN PARA LA PROTECCIÓN DE LOS DERECHOS</v>
      </c>
      <c r="G1796" s="562"/>
      <c r="H1796" s="562"/>
      <c r="I1796" s="562"/>
      <c r="J1796" s="562"/>
      <c r="K1796" s="562"/>
      <c r="L1796" s="563"/>
    </row>
    <row r="1797" spans="1:12">
      <c r="A1797" s="101"/>
      <c r="B1797" s="592"/>
      <c r="C1797" s="561" t="s">
        <v>138</v>
      </c>
      <c r="D1797" s="561"/>
      <c r="E1797" s="561"/>
      <c r="F1797" s="564">
        <f ca="1">OFFSET('Bateria indicadores proceso'!$C$3,(RIGHT(A1774,3)),1)</f>
        <v>0.11</v>
      </c>
      <c r="G1797" s="564"/>
      <c r="H1797" s="564"/>
      <c r="I1797" s="564"/>
      <c r="J1797" s="564"/>
      <c r="K1797" s="564"/>
      <c r="L1797" s="565"/>
    </row>
    <row r="1798" spans="1:12" ht="15.75" thickBot="1">
      <c r="A1798" s="101"/>
      <c r="B1798" s="592"/>
      <c r="C1798" s="561" t="s">
        <v>139</v>
      </c>
      <c r="D1798" s="561"/>
      <c r="E1798" s="561"/>
      <c r="F1798" s="564">
        <f ca="1">OFFSET('Bateria indicadores proceso'!$E$3,(RIGHT(A1774,3)),1)</f>
        <v>0.04</v>
      </c>
      <c r="G1798" s="564"/>
      <c r="H1798" s="564"/>
      <c r="I1798" s="564"/>
      <c r="J1798" s="564"/>
      <c r="K1798" s="564"/>
      <c r="L1798" s="565"/>
    </row>
    <row r="1799" spans="1:12" ht="16.5" thickBot="1">
      <c r="A1799" s="101"/>
      <c r="B1799" s="572" t="s">
        <v>140</v>
      </c>
      <c r="C1799" s="573"/>
      <c r="D1799" s="573"/>
      <c r="E1799" s="573"/>
      <c r="F1799" s="573"/>
      <c r="G1799" s="573"/>
      <c r="H1799" s="573"/>
      <c r="I1799" s="573"/>
      <c r="J1799" s="573"/>
      <c r="K1799" s="573"/>
      <c r="L1799" s="574"/>
    </row>
    <row r="1800" spans="1:12">
      <c r="A1800" s="101"/>
      <c r="B1800" s="72" t="s">
        <v>142</v>
      </c>
      <c r="C1800" s="561" t="str">
        <f ca="1">OFFSET('Bateria indicadores proceso'!$G$3,(RIGHT(A1774,3)),1)</f>
        <v>Director</v>
      </c>
      <c r="D1800" s="561"/>
      <c r="E1800" s="561"/>
      <c r="F1800" s="561"/>
      <c r="G1800" s="561"/>
      <c r="H1800" s="561"/>
      <c r="I1800" s="561"/>
      <c r="J1800" s="561"/>
      <c r="K1800" s="561"/>
      <c r="L1800" s="566"/>
    </row>
    <row r="1801" spans="1:12">
      <c r="A1801" s="101"/>
      <c r="B1801" s="72" t="s">
        <v>143</v>
      </c>
      <c r="C1801" s="561" t="str">
        <f ca="1">OFFSET('Bateria indicadores proceso'!$F$3,(RIGHT(A1774,3)),1)</f>
        <v>Dirección de la Autoridad Nacional de Consulta Previa</v>
      </c>
      <c r="D1801" s="561"/>
      <c r="E1801" s="561"/>
      <c r="F1801" s="561"/>
      <c r="G1801" s="561"/>
      <c r="H1801" s="561"/>
      <c r="I1801" s="561"/>
      <c r="J1801" s="561"/>
      <c r="K1801" s="561"/>
      <c r="L1801" s="566"/>
    </row>
    <row r="1802" spans="1:12">
      <c r="A1802" s="101"/>
      <c r="B1802" s="72" t="s">
        <v>144</v>
      </c>
      <c r="C1802" s="598" t="str">
        <f ca="1">OFFSET('Bateria indicadores proceso'!$H$3,(RIGHT(A1738,3)),1)</f>
        <v>dire.alfonso.jimenez@mininterior.gov.co</v>
      </c>
      <c r="D1802" s="598"/>
      <c r="E1802" s="598"/>
      <c r="F1802" s="598"/>
      <c r="G1802" s="598"/>
      <c r="H1802" s="598"/>
      <c r="I1802" s="598"/>
      <c r="J1802" s="598"/>
      <c r="K1802" s="598"/>
      <c r="L1802" s="599"/>
    </row>
    <row r="1803" spans="1:12" ht="15.75" thickBot="1">
      <c r="A1803" s="104"/>
      <c r="B1803" s="74" t="s">
        <v>145</v>
      </c>
      <c r="C1803" s="596" t="s">
        <v>146</v>
      </c>
      <c r="D1803" s="596"/>
      <c r="E1803" s="596"/>
      <c r="F1803" s="596"/>
      <c r="G1803" s="596"/>
      <c r="H1803" s="596"/>
      <c r="I1803" s="596"/>
      <c r="J1803" s="596"/>
      <c r="K1803" s="596"/>
      <c r="L1803" s="597"/>
    </row>
    <row r="1804" spans="1:12" ht="15.75" thickBot="1"/>
    <row r="1805" spans="1:12" ht="21.75" thickBot="1">
      <c r="A1805" s="586" t="s">
        <v>89</v>
      </c>
      <c r="B1805" s="587"/>
      <c r="C1805" s="587"/>
      <c r="D1805" s="587"/>
      <c r="E1805" s="587"/>
      <c r="F1805" s="587"/>
      <c r="G1805" s="587"/>
      <c r="H1805" s="587"/>
      <c r="I1805" s="587"/>
      <c r="J1805" s="587"/>
      <c r="K1805" s="587"/>
      <c r="L1805" s="588"/>
    </row>
    <row r="1806" spans="1:12" ht="32.25" thickBot="1">
      <c r="A1806" s="69" t="s">
        <v>90</v>
      </c>
      <c r="B1806" s="589" t="s">
        <v>91</v>
      </c>
      <c r="C1806" s="589"/>
      <c r="D1806" s="589"/>
      <c r="E1806" s="589"/>
      <c r="F1806" s="589"/>
      <c r="G1806" s="589"/>
      <c r="H1806" s="589"/>
      <c r="I1806" s="589"/>
      <c r="J1806" s="589"/>
      <c r="K1806" s="589"/>
      <c r="L1806" s="589"/>
    </row>
    <row r="1807" spans="1:12" ht="16.5" thickBot="1">
      <c r="A1807" s="100"/>
      <c r="B1807" s="71" t="s">
        <v>92</v>
      </c>
      <c r="C1807" s="575" t="s">
        <v>93</v>
      </c>
      <c r="D1807" s="575"/>
      <c r="E1807" s="575"/>
      <c r="F1807" s="575"/>
      <c r="G1807" s="575"/>
      <c r="H1807" s="575"/>
      <c r="I1807" s="575"/>
      <c r="J1807" s="575"/>
      <c r="K1807" s="575"/>
      <c r="L1807" s="576"/>
    </row>
    <row r="1808" spans="1:12" ht="16.5" thickBot="1">
      <c r="A1808" s="101"/>
      <c r="B1808" s="589" t="s">
        <v>94</v>
      </c>
      <c r="C1808" s="590"/>
      <c r="D1808" s="590"/>
      <c r="E1808" s="590"/>
      <c r="F1808" s="590"/>
      <c r="G1808" s="590"/>
      <c r="H1808" s="590"/>
      <c r="I1808" s="590"/>
      <c r="J1808" s="590"/>
      <c r="K1808" s="590"/>
      <c r="L1808" s="590"/>
    </row>
    <row r="1809" spans="1:12">
      <c r="A1809" s="101"/>
      <c r="B1809" s="71" t="s">
        <v>95</v>
      </c>
      <c r="C1809" s="559" t="s">
        <v>96</v>
      </c>
      <c r="D1809" s="559"/>
      <c r="E1809" s="559"/>
      <c r="F1809" s="559"/>
      <c r="G1809" s="559"/>
      <c r="H1809" s="559"/>
      <c r="I1809" s="559"/>
      <c r="J1809" s="559"/>
      <c r="K1809" s="559"/>
      <c r="L1809" s="560"/>
    </row>
    <row r="1810" spans="1:12">
      <c r="A1810" s="102" t="s">
        <v>196</v>
      </c>
      <c r="B1810" s="72" t="s">
        <v>98</v>
      </c>
      <c r="C1810" s="559" t="str">
        <f ca="1">OFFSET('Bateria indicadores proceso'!$F$3,(RIGHT(A1810,3)),1)</f>
        <v>Dirección de la Autoridad Nacional de Consulta Previa</v>
      </c>
      <c r="D1810" s="559"/>
      <c r="E1810" s="559"/>
      <c r="F1810" s="559"/>
      <c r="G1810" s="559"/>
      <c r="H1810" s="559"/>
      <c r="I1810" s="559"/>
      <c r="J1810" s="559"/>
      <c r="K1810" s="559"/>
      <c r="L1810" s="560"/>
    </row>
    <row r="1811" spans="1:12">
      <c r="A1811" s="101"/>
      <c r="B1811" s="72" t="s">
        <v>99</v>
      </c>
      <c r="C1811" s="559" t="str">
        <f ca="1">OFFSET('Bateria indicadores proceso'!$K$3,(RIGHT(A1810,3)),1)</f>
        <v>Porcentaje de estrategias de formación implementadas desde la escuela de formación para grupos de interés.</v>
      </c>
      <c r="D1811" s="559"/>
      <c r="E1811" s="559"/>
      <c r="F1811" s="559"/>
      <c r="G1811" s="559"/>
      <c r="H1811" s="559"/>
      <c r="I1811" s="559"/>
      <c r="J1811" s="559"/>
      <c r="K1811" s="559"/>
      <c r="L1811" s="560"/>
    </row>
    <row r="1812" spans="1:12">
      <c r="A1812" s="101"/>
      <c r="B1812" s="72" t="s">
        <v>100</v>
      </c>
      <c r="C1812" s="559" t="str">
        <f ca="1">OFFSET('Bateria indicadores proceso'!$I$3,(RIGHT(A1810,3)),1)</f>
        <v>Eficacia</v>
      </c>
      <c r="D1812" s="559"/>
      <c r="E1812" s="559"/>
      <c r="F1812" s="559"/>
      <c r="G1812" s="559"/>
      <c r="H1812" s="559"/>
      <c r="I1812" s="559"/>
      <c r="J1812" s="559"/>
      <c r="K1812" s="559"/>
      <c r="L1812" s="560"/>
    </row>
    <row r="1813" spans="1:12" ht="15.75" thickBot="1">
      <c r="A1813" s="103"/>
      <c r="B1813" s="73" t="s">
        <v>101</v>
      </c>
      <c r="C1813" s="559" t="str">
        <f ca="1">OFFSET('Bateria indicadores proceso'!$J$3,(RIGHT(A1810,3)),1)</f>
        <v xml:space="preserve">Medir la estrategias implementadas de los procesos de formación en consulta previa desde la escuela de formación para grupos de interés, a fin de establecer el avance de la sensibilización en materia de consulta previa de los grupos de interés.  Es importante la medición porque mediante la implementacion de estrategias de formación se fortalecen las capacidades y habilidades para grupos de interes en materia de consulta previa. El indicador es de mantener  </v>
      </c>
      <c r="D1813" s="559"/>
      <c r="E1813" s="559"/>
      <c r="F1813" s="559"/>
      <c r="G1813" s="559"/>
      <c r="H1813" s="559"/>
      <c r="I1813" s="559"/>
      <c r="J1813" s="559"/>
      <c r="K1813" s="559"/>
      <c r="L1813" s="560"/>
    </row>
    <row r="1814" spans="1:12" ht="16.5" thickBot="1">
      <c r="A1814" s="103"/>
      <c r="B1814" s="572" t="s">
        <v>102</v>
      </c>
      <c r="C1814" s="573"/>
      <c r="D1814" s="573"/>
      <c r="E1814" s="573"/>
      <c r="F1814" s="573"/>
      <c r="G1814" s="573"/>
      <c r="H1814" s="573"/>
      <c r="I1814" s="573"/>
      <c r="J1814" s="573"/>
      <c r="K1814" s="573"/>
      <c r="L1814" s="574"/>
    </row>
    <row r="1815" spans="1:12">
      <c r="A1815" s="101"/>
      <c r="B1815" s="71" t="s">
        <v>103</v>
      </c>
      <c r="C1815" s="559" t="str">
        <f ca="1">OFFSET('Bateria indicadores proceso'!$O$3,(RIGHT(A1810,3)),1)</f>
        <v>Porcentaje</v>
      </c>
      <c r="D1815" s="559"/>
      <c r="E1815" s="559"/>
      <c r="F1815" s="559"/>
      <c r="G1815" s="559"/>
      <c r="H1815" s="559"/>
      <c r="I1815" s="559"/>
      <c r="J1815" s="559"/>
      <c r="K1815" s="559"/>
      <c r="L1815" s="560"/>
    </row>
    <row r="1816" spans="1:12" ht="24">
      <c r="A1816" s="101"/>
      <c r="B1816" s="72" t="s">
        <v>104</v>
      </c>
      <c r="C1816" s="559"/>
      <c r="D1816" s="559"/>
      <c r="E1816" s="559"/>
      <c r="F1816" s="559"/>
      <c r="G1816" s="559"/>
      <c r="H1816" s="559"/>
      <c r="I1816" s="559"/>
      <c r="J1816" s="559"/>
      <c r="K1816" s="559"/>
      <c r="L1816" s="560"/>
    </row>
    <row r="1817" spans="1:12">
      <c r="A1817" s="101"/>
      <c r="B1817" s="72" t="s">
        <v>105</v>
      </c>
      <c r="C1817" s="559" t="str">
        <f ca="1">OFFSET('Bateria indicadores proceso'!$L$3,(RIGHT(A1810,3)),1)</f>
        <v>(Número de estrategias de formación implementadas desde la escuela de formación para grupos de interés / Número de estrategias de formación programadas a implementar desde la escuela de formación para grupos de interés) x 100</v>
      </c>
      <c r="D1817" s="559"/>
      <c r="E1817" s="559"/>
      <c r="F1817" s="559"/>
      <c r="G1817" s="559"/>
      <c r="H1817" s="559"/>
      <c r="I1817" s="559"/>
      <c r="J1817" s="559"/>
      <c r="K1817" s="559"/>
      <c r="L1817" s="560"/>
    </row>
    <row r="1818" spans="1:12">
      <c r="A1818" s="101"/>
      <c r="B1818" s="72" t="s">
        <v>106</v>
      </c>
      <c r="C1818" s="559" t="str">
        <f ca="1">OFFSET('Bateria indicadores proceso'!$Z$3,(RIGHT(A1810,3)),1)</f>
        <v>Trimestral</v>
      </c>
      <c r="D1818" s="559"/>
      <c r="E1818" s="559"/>
      <c r="F1818" s="559"/>
      <c r="G1818" s="559"/>
      <c r="H1818" s="559"/>
      <c r="I1818" s="559"/>
      <c r="J1818" s="559"/>
      <c r="K1818" s="559"/>
      <c r="L1818" s="560"/>
    </row>
    <row r="1819" spans="1:12">
      <c r="A1819" s="101"/>
      <c r="B1819" s="72" t="s">
        <v>107</v>
      </c>
      <c r="C1819" s="559" t="str">
        <f ca="1">OFFSET('Bateria indicadores proceso'!$X$3,(RIGHT(A1810,3)),1)</f>
        <v xml:space="preserve">Reporte del número de estrategias de formación implementadas desde la escuela de formación para  grupos de interés 									</v>
      </c>
      <c r="D1819" s="559"/>
      <c r="E1819" s="559"/>
      <c r="F1819" s="559"/>
      <c r="G1819" s="559"/>
      <c r="H1819" s="559"/>
      <c r="I1819" s="559"/>
      <c r="J1819" s="559"/>
      <c r="K1819" s="559"/>
      <c r="L1819" s="560"/>
    </row>
    <row r="1820" spans="1:12">
      <c r="A1820" s="101"/>
      <c r="B1820" s="72" t="s">
        <v>108</v>
      </c>
      <c r="C1820" s="561">
        <f ca="1">OFFSET('Bateria indicadores proceso'!$P$3,(RIGHT(A1810,3)),1)</f>
        <v>2025</v>
      </c>
      <c r="D1820" s="561"/>
      <c r="E1820" s="561"/>
      <c r="F1820" s="561"/>
      <c r="G1820" s="561"/>
      <c r="H1820" s="561"/>
      <c r="I1820" s="561"/>
      <c r="J1820" s="561"/>
      <c r="K1820" s="561"/>
      <c r="L1820" s="566"/>
    </row>
    <row r="1821" spans="1:12">
      <c r="A1821" s="101"/>
      <c r="B1821" s="72" t="s">
        <v>109</v>
      </c>
      <c r="C1821" s="561" t="str">
        <f ca="1">IF(C1815="Número",TEXT(OFFSET('Bateria indicadores proceso'!$Q$3,(RIGHT(A1810,3)),1),"######"),TEXT(OFFSET('Bateria indicadores proceso'!$Q$3,(RIGHT(A1810,3)),1),"0.0%"))</f>
        <v>100%</v>
      </c>
      <c r="D1821" s="561"/>
      <c r="E1821" s="561"/>
      <c r="F1821" s="561"/>
      <c r="G1821" s="561"/>
      <c r="H1821" s="561"/>
      <c r="I1821" s="561"/>
      <c r="J1821" s="561"/>
      <c r="K1821" s="561"/>
      <c r="L1821" s="566"/>
    </row>
    <row r="1822" spans="1:12">
      <c r="A1822" s="101"/>
      <c r="B1822" s="72" t="s">
        <v>110</v>
      </c>
      <c r="C1822" s="593">
        <f ca="1">+OFFSET('Bateria indicadores proceso'!$R$3,(RIGHT(A1810,3)),1)</f>
        <v>45930</v>
      </c>
      <c r="D1822" s="593"/>
      <c r="E1822" s="593"/>
      <c r="F1822" s="593"/>
      <c r="G1822" s="593"/>
      <c r="H1822" s="593"/>
      <c r="I1822" s="593"/>
      <c r="J1822" s="593"/>
      <c r="K1822" s="593"/>
      <c r="L1822" s="594"/>
    </row>
    <row r="1823" spans="1:12">
      <c r="A1823" s="101"/>
      <c r="B1823" s="72" t="s">
        <v>111</v>
      </c>
      <c r="C1823" s="561" t="str">
        <f ca="1">OFFSET('Bateria indicadores proceso'!$M$3,(RIGHT(A1810,3)),1)</f>
        <v>Mantener</v>
      </c>
      <c r="D1823" s="561"/>
      <c r="E1823" s="561"/>
      <c r="F1823" s="561"/>
      <c r="G1823" s="561"/>
      <c r="H1823" s="561"/>
      <c r="I1823" s="561"/>
      <c r="J1823" s="561"/>
      <c r="K1823" s="561"/>
      <c r="L1823" s="566"/>
    </row>
    <row r="1824" spans="1:12">
      <c r="A1824" s="101"/>
      <c r="B1824" s="72" t="s">
        <v>112</v>
      </c>
      <c r="C1824" s="561" t="str">
        <f ca="1">OFFSET('Bateria indicadores proceso'!$N$3,(RIGHT(A1810,3)),1)</f>
        <v>Flujo</v>
      </c>
      <c r="D1824" s="561"/>
      <c r="E1824" s="561"/>
      <c r="F1824" s="561"/>
      <c r="G1824" s="561"/>
      <c r="H1824" s="561"/>
      <c r="I1824" s="561"/>
      <c r="J1824" s="561"/>
      <c r="K1824" s="561"/>
      <c r="L1824" s="566"/>
    </row>
    <row r="1825" spans="1:12">
      <c r="A1825" s="101"/>
      <c r="B1825" s="72" t="s">
        <v>113</v>
      </c>
      <c r="C1825" s="561" t="str">
        <f ca="1">IF(C1815="Número",TEXT(OFFSET('Bateria indicadores proceso'!$W$3,(RIGHT(A1810,3)),1),"######"),TEXT(OFFSET('Bateria indicadores proceso'!$W$3,(RIGHT(A1810,3)),1),"0.0%"))</f>
        <v>100%</v>
      </c>
      <c r="D1825" s="561"/>
      <c r="E1825" s="561"/>
      <c r="F1825" s="561"/>
      <c r="G1825" s="561"/>
      <c r="H1825" s="561"/>
      <c r="I1825" s="561"/>
      <c r="J1825" s="561"/>
      <c r="K1825" s="561"/>
      <c r="L1825" s="566"/>
    </row>
    <row r="1826" spans="1:12">
      <c r="A1826" s="101"/>
      <c r="B1826" s="595" t="s">
        <v>114</v>
      </c>
      <c r="C1826" s="70" t="s">
        <v>115</v>
      </c>
      <c r="D1826" s="70" t="s">
        <v>116</v>
      </c>
      <c r="E1826" s="70" t="s">
        <v>117</v>
      </c>
      <c r="F1826" s="70" t="s">
        <v>118</v>
      </c>
      <c r="J1826" s="75"/>
      <c r="K1826" s="75"/>
      <c r="L1826" s="76"/>
    </row>
    <row r="1827" spans="1:12">
      <c r="A1827" s="101"/>
      <c r="B1827" s="595"/>
      <c r="C1827" s="70" t="str">
        <f ca="1">IF(C1815="Número",TEXT(OFFSET('Bateria indicadores proceso'!$S$3,(RIGHT(A1810,3)),1),"######"),TEXT(OFFSET('Bateria indicadores proceso'!$S$3,(RIGHT(A1810,3)),1),"0.0%"))</f>
        <v>100%</v>
      </c>
      <c r="D1827" s="70" t="str">
        <f ca="1">IF(C1815="Número",TEXT(OFFSET('Bateria indicadores proceso'!$T$3,(RIGHT(A1810,3)),1),"######"),TEXT(OFFSET('Bateria indicadores proceso'!$T$3,(RIGHT(A1810,3)),1),"0.0%"))</f>
        <v>100%</v>
      </c>
      <c r="E1827" s="70" t="str">
        <f ca="1">IF(C1815="Número",TEXT(OFFSET('Bateria indicadores proceso'!$U$3,(RIGHT(A1810,3)),1),"######"),TEXT(OFFSET('Bateria indicadores proceso'!$U$3,(RIGHT(A1810,3)),1),"0.0%"))</f>
        <v>100%</v>
      </c>
      <c r="F1827" s="70" t="str">
        <f ca="1">IF(C1815="Número",TEXT(OFFSET('Bateria indicadores proceso'!$V$3,(RIGHT(A1810,3)),1),"######"),TEXT(OFFSET('Bateria indicadores proceso'!$V$3,(RIGHT(A1810,3)),1),"0.0%"))</f>
        <v>100%</v>
      </c>
      <c r="J1827" s="77"/>
      <c r="K1827" s="77"/>
      <c r="L1827" s="78"/>
    </row>
    <row r="1828" spans="1:12">
      <c r="A1828" s="101"/>
      <c r="B1828" s="600" t="s">
        <v>119</v>
      </c>
      <c r="C1828" s="567" t="s">
        <v>120</v>
      </c>
      <c r="D1828" s="568"/>
      <c r="E1828" s="567" t="s">
        <v>121</v>
      </c>
      <c r="F1828" s="568"/>
      <c r="G1828" s="567" t="s">
        <v>122</v>
      </c>
      <c r="H1828" s="568"/>
      <c r="I1828" s="567" t="s">
        <v>123</v>
      </c>
      <c r="J1828" s="568"/>
      <c r="K1828" s="567" t="s">
        <v>124</v>
      </c>
      <c r="L1828" s="569"/>
    </row>
    <row r="1829" spans="1:12">
      <c r="A1829" s="101"/>
      <c r="B1829" s="601"/>
      <c r="C1829" s="570" t="s">
        <v>125</v>
      </c>
      <c r="D1829" s="571"/>
      <c r="E1829" s="577" t="s">
        <v>126</v>
      </c>
      <c r="F1829" s="578"/>
      <c r="G1829" s="579" t="s">
        <v>127</v>
      </c>
      <c r="H1829" s="580"/>
      <c r="I1829" s="581" t="s">
        <v>128</v>
      </c>
      <c r="J1829" s="582"/>
      <c r="K1829" s="583" t="s">
        <v>129</v>
      </c>
      <c r="L1829" s="584"/>
    </row>
    <row r="1830" spans="1:12">
      <c r="A1830" s="101"/>
      <c r="B1830" s="602"/>
      <c r="C1830" s="567" t="s">
        <v>130</v>
      </c>
      <c r="D1830" s="568"/>
      <c r="E1830" s="567" t="s">
        <v>131</v>
      </c>
      <c r="F1830" s="568"/>
      <c r="G1830" s="585" t="s">
        <v>132</v>
      </c>
      <c r="H1830" s="568"/>
      <c r="I1830" s="567" t="s">
        <v>133</v>
      </c>
      <c r="J1830" s="568"/>
      <c r="K1830" s="567" t="s">
        <v>134</v>
      </c>
      <c r="L1830" s="569"/>
    </row>
    <row r="1831" spans="1:12">
      <c r="A1831" s="101"/>
      <c r="B1831" s="72" t="s">
        <v>135</v>
      </c>
      <c r="C1831" s="559" t="str">
        <f ca="1">OFFSET('Bateria indicadores proceso'!$Y$3,(RIGHT(A1810,3)),1)</f>
        <v xml:space="preserve">Reporte del número de estrategias de formación implementadas desde la escuela de formación para  grupos de interés 									</v>
      </c>
      <c r="D1831" s="559"/>
      <c r="E1831" s="559"/>
      <c r="F1831" s="559"/>
      <c r="G1831" s="559"/>
      <c r="H1831" s="559"/>
      <c r="I1831" s="559"/>
      <c r="J1831" s="559"/>
      <c r="K1831" s="559"/>
      <c r="L1831" s="560"/>
    </row>
    <row r="1832" spans="1:12">
      <c r="A1832" s="101"/>
      <c r="B1832" s="591" t="s">
        <v>136</v>
      </c>
      <c r="C1832" s="561" t="s">
        <v>137</v>
      </c>
      <c r="D1832" s="561"/>
      <c r="E1832" s="561"/>
      <c r="F1832" s="562" t="str">
        <f ca="1">OFFSET('Bateria indicadores proceso'!$B$3,(RIGHT(A1810,3)),1)</f>
        <v>GESTIÓN PARA LA PROTECCIÓN DE LOS DERECHOS</v>
      </c>
      <c r="G1832" s="562"/>
      <c r="H1832" s="562"/>
      <c r="I1832" s="562"/>
      <c r="J1832" s="562"/>
      <c r="K1832" s="562"/>
      <c r="L1832" s="563"/>
    </row>
    <row r="1833" spans="1:12">
      <c r="A1833" s="101"/>
      <c r="B1833" s="592"/>
      <c r="C1833" s="561" t="s">
        <v>138</v>
      </c>
      <c r="D1833" s="561"/>
      <c r="E1833" s="561"/>
      <c r="F1833" s="564">
        <f ca="1">OFFSET('Bateria indicadores proceso'!$C$3,(RIGHT(A1810,3)),1)</f>
        <v>0.11</v>
      </c>
      <c r="G1833" s="564"/>
      <c r="H1833" s="564"/>
      <c r="I1833" s="564"/>
      <c r="J1833" s="564"/>
      <c r="K1833" s="564"/>
      <c r="L1833" s="565"/>
    </row>
    <row r="1834" spans="1:12" ht="15.75" thickBot="1">
      <c r="A1834" s="101"/>
      <c r="B1834" s="592"/>
      <c r="C1834" s="561" t="s">
        <v>139</v>
      </c>
      <c r="D1834" s="561"/>
      <c r="E1834" s="561"/>
      <c r="F1834" s="564">
        <f ca="1">OFFSET('Bateria indicadores proceso'!$E$3,(RIGHT(A1810,3)),1)</f>
        <v>0.03</v>
      </c>
      <c r="G1834" s="564"/>
      <c r="H1834" s="564"/>
      <c r="I1834" s="564"/>
      <c r="J1834" s="564"/>
      <c r="K1834" s="564"/>
      <c r="L1834" s="565"/>
    </row>
    <row r="1835" spans="1:12" ht="16.5" thickBot="1">
      <c r="A1835" s="101"/>
      <c r="B1835" s="572" t="s">
        <v>140</v>
      </c>
      <c r="C1835" s="573"/>
      <c r="D1835" s="573"/>
      <c r="E1835" s="573"/>
      <c r="F1835" s="573"/>
      <c r="G1835" s="573"/>
      <c r="H1835" s="573"/>
      <c r="I1835" s="573"/>
      <c r="J1835" s="573"/>
      <c r="K1835" s="573"/>
      <c r="L1835" s="574"/>
    </row>
    <row r="1836" spans="1:12">
      <c r="A1836" s="101"/>
      <c r="B1836" s="72" t="s">
        <v>142</v>
      </c>
      <c r="C1836" s="561" t="str">
        <f ca="1">OFFSET('Bateria indicadores proceso'!$G$3,(RIGHT(A1810,3)),1)</f>
        <v>Director</v>
      </c>
      <c r="D1836" s="561"/>
      <c r="E1836" s="561"/>
      <c r="F1836" s="561"/>
      <c r="G1836" s="561"/>
      <c r="H1836" s="561"/>
      <c r="I1836" s="561"/>
      <c r="J1836" s="561"/>
      <c r="K1836" s="561"/>
      <c r="L1836" s="566"/>
    </row>
    <row r="1837" spans="1:12">
      <c r="A1837" s="101"/>
      <c r="B1837" s="72" t="s">
        <v>143</v>
      </c>
      <c r="C1837" s="561" t="str">
        <f ca="1">OFFSET('Bateria indicadores proceso'!$F$3,(RIGHT(A1810,3)),1)</f>
        <v>Dirección de la Autoridad Nacional de Consulta Previa</v>
      </c>
      <c r="D1837" s="561"/>
      <c r="E1837" s="561"/>
      <c r="F1837" s="561"/>
      <c r="G1837" s="561"/>
      <c r="H1837" s="561"/>
      <c r="I1837" s="561"/>
      <c r="J1837" s="561"/>
      <c r="K1837" s="561"/>
      <c r="L1837" s="566"/>
    </row>
    <row r="1838" spans="1:12">
      <c r="A1838" s="101"/>
      <c r="B1838" s="72" t="s">
        <v>144</v>
      </c>
      <c r="C1838" s="598" t="str">
        <f ca="1">OFFSET('Bateria indicadores proceso'!$H$3,(RIGHT(A1810,3)),1)</f>
        <v>dire.alfonso.jimenez@mininterior.gov.co</v>
      </c>
      <c r="D1838" s="598"/>
      <c r="E1838" s="598"/>
      <c r="F1838" s="598"/>
      <c r="G1838" s="598"/>
      <c r="H1838" s="598"/>
      <c r="I1838" s="598"/>
      <c r="J1838" s="598"/>
      <c r="K1838" s="598"/>
      <c r="L1838" s="599"/>
    </row>
    <row r="1839" spans="1:12" ht="15.75" thickBot="1">
      <c r="A1839" s="104"/>
      <c r="B1839" s="74" t="s">
        <v>145</v>
      </c>
      <c r="C1839" s="596" t="s">
        <v>146</v>
      </c>
      <c r="D1839" s="596"/>
      <c r="E1839" s="596"/>
      <c r="F1839" s="596"/>
      <c r="G1839" s="596"/>
      <c r="H1839" s="596"/>
      <c r="I1839" s="596"/>
      <c r="J1839" s="596"/>
      <c r="K1839" s="596"/>
      <c r="L1839" s="597"/>
    </row>
    <row r="1840" spans="1:12" ht="15.75" thickBot="1"/>
    <row r="1841" spans="1:12" ht="21.75" thickBot="1">
      <c r="A1841" s="586" t="s">
        <v>89</v>
      </c>
      <c r="B1841" s="587"/>
      <c r="C1841" s="587"/>
      <c r="D1841" s="587"/>
      <c r="E1841" s="587"/>
      <c r="F1841" s="587"/>
      <c r="G1841" s="587"/>
      <c r="H1841" s="587"/>
      <c r="I1841" s="587"/>
      <c r="J1841" s="587"/>
      <c r="K1841" s="587"/>
      <c r="L1841" s="588"/>
    </row>
    <row r="1842" spans="1:12" ht="32.25" thickBot="1">
      <c r="A1842" s="69" t="s">
        <v>90</v>
      </c>
      <c r="B1842" s="589" t="s">
        <v>91</v>
      </c>
      <c r="C1842" s="589"/>
      <c r="D1842" s="589"/>
      <c r="E1842" s="589"/>
      <c r="F1842" s="589"/>
      <c r="G1842" s="589"/>
      <c r="H1842" s="589"/>
      <c r="I1842" s="589"/>
      <c r="J1842" s="589"/>
      <c r="K1842" s="589"/>
      <c r="L1842" s="589"/>
    </row>
    <row r="1843" spans="1:12" ht="16.5" thickBot="1">
      <c r="A1843" s="100"/>
      <c r="B1843" s="71" t="s">
        <v>92</v>
      </c>
      <c r="C1843" s="575" t="s">
        <v>93</v>
      </c>
      <c r="D1843" s="575"/>
      <c r="E1843" s="575"/>
      <c r="F1843" s="575"/>
      <c r="G1843" s="575"/>
      <c r="H1843" s="575"/>
      <c r="I1843" s="575"/>
      <c r="J1843" s="575"/>
      <c r="K1843" s="575"/>
      <c r="L1843" s="576"/>
    </row>
    <row r="1844" spans="1:12" ht="16.5" thickBot="1">
      <c r="A1844" s="101"/>
      <c r="B1844" s="589" t="s">
        <v>94</v>
      </c>
      <c r="C1844" s="590"/>
      <c r="D1844" s="590"/>
      <c r="E1844" s="590"/>
      <c r="F1844" s="590"/>
      <c r="G1844" s="590"/>
      <c r="H1844" s="590"/>
      <c r="I1844" s="590"/>
      <c r="J1844" s="590"/>
      <c r="K1844" s="590"/>
      <c r="L1844" s="590"/>
    </row>
    <row r="1845" spans="1:12">
      <c r="A1845" s="101"/>
      <c r="B1845" s="71" t="s">
        <v>95</v>
      </c>
      <c r="C1845" s="559" t="s">
        <v>96</v>
      </c>
      <c r="D1845" s="559"/>
      <c r="E1845" s="559"/>
      <c r="F1845" s="559"/>
      <c r="G1845" s="559"/>
      <c r="H1845" s="559"/>
      <c r="I1845" s="559"/>
      <c r="J1845" s="559"/>
      <c r="K1845" s="559"/>
      <c r="L1845" s="560"/>
    </row>
    <row r="1846" spans="1:12">
      <c r="A1846" s="102" t="s">
        <v>197</v>
      </c>
      <c r="B1846" s="72" t="s">
        <v>98</v>
      </c>
      <c r="C1846" s="559" t="str">
        <f ca="1">OFFSET('Bateria indicadores proceso'!$F$3,(RIGHT(A1846,3)),1)</f>
        <v>Dirección de Asuntos Religiosos</v>
      </c>
      <c r="D1846" s="559"/>
      <c r="E1846" s="559"/>
      <c r="F1846" s="559"/>
      <c r="G1846" s="559"/>
      <c r="H1846" s="559"/>
      <c r="I1846" s="559"/>
      <c r="J1846" s="559"/>
      <c r="K1846" s="559"/>
      <c r="L1846" s="560"/>
    </row>
    <row r="1847" spans="1:12">
      <c r="A1847" s="101"/>
      <c r="B1847" s="72" t="s">
        <v>99</v>
      </c>
      <c r="C1847" s="559" t="str">
        <f ca="1">OFFSET('Bateria indicadores proceso'!$K$3,(RIGHT(A1846,3)),1)</f>
        <v xml:space="preserve">Asistencias técnicas realizadas a las entidades territoriales (Gobernaciones y Alcaldías)  de manera presencial y virtual, sobre las metodologías y kit de herramientas realizadas por la Dirección de Asuntos Religiosos </v>
      </c>
      <c r="D1847" s="559"/>
      <c r="E1847" s="559"/>
      <c r="F1847" s="559"/>
      <c r="G1847" s="559"/>
      <c r="H1847" s="559"/>
      <c r="I1847" s="559"/>
      <c r="J1847" s="559"/>
      <c r="K1847" s="559"/>
      <c r="L1847" s="560"/>
    </row>
    <row r="1848" spans="1:12">
      <c r="A1848" s="101"/>
      <c r="B1848" s="72" t="s">
        <v>100</v>
      </c>
      <c r="C1848" s="559" t="str">
        <f ca="1">OFFSET('Bateria indicadores proceso'!$I$3,(RIGHT(A1846,3)),1)</f>
        <v>Eficiencia</v>
      </c>
      <c r="D1848" s="559"/>
      <c r="E1848" s="559"/>
      <c r="F1848" s="559"/>
      <c r="G1848" s="559"/>
      <c r="H1848" s="559"/>
      <c r="I1848" s="559"/>
      <c r="J1848" s="559"/>
      <c r="K1848" s="559"/>
      <c r="L1848" s="560"/>
    </row>
    <row r="1849" spans="1:12" ht="15.75" thickBot="1">
      <c r="A1849" s="103"/>
      <c r="B1849" s="73" t="s">
        <v>101</v>
      </c>
      <c r="C1849" s="559" t="str">
        <f ca="1">OFFSET('Bateria indicadores proceso'!$J$3,(RIGHT(A1846,3)),1)</f>
        <v>Incrementar la cantidad de asistencias técnicas y acompañamientos efectuados por la DAR a las Gobernaciones y Alcaldías, tanto de manera presencial como virtual, en relación con las metodologías y kit de herramientas determinados, permite identificar el grado de cumplimiento en la gestión del proceso de asesoría y asistencia técnica brindado por la DAR a las entidades territoriales, de igual forma facilita evaluar el cumplimiento de la estrategia de relacionamiento Nación - Territorio, garantizar la transferencia de conocimiento y mejorar la gestión en las entidades territoriales. la tendencia de este indicador es incremental.</v>
      </c>
      <c r="D1849" s="559"/>
      <c r="E1849" s="559"/>
      <c r="F1849" s="559"/>
      <c r="G1849" s="559"/>
      <c r="H1849" s="559"/>
      <c r="I1849" s="559"/>
      <c r="J1849" s="559"/>
      <c r="K1849" s="559"/>
      <c r="L1849" s="560"/>
    </row>
    <row r="1850" spans="1:12" ht="16.5" thickBot="1">
      <c r="A1850" s="103"/>
      <c r="B1850" s="572" t="s">
        <v>102</v>
      </c>
      <c r="C1850" s="573"/>
      <c r="D1850" s="573"/>
      <c r="E1850" s="573"/>
      <c r="F1850" s="573"/>
      <c r="G1850" s="573"/>
      <c r="H1850" s="573"/>
      <c r="I1850" s="573"/>
      <c r="J1850" s="573"/>
      <c r="K1850" s="573"/>
      <c r="L1850" s="574"/>
    </row>
    <row r="1851" spans="1:12">
      <c r="A1851" s="101"/>
      <c r="B1851" s="71" t="s">
        <v>103</v>
      </c>
      <c r="C1851" s="559" t="str">
        <f ca="1">OFFSET('Bateria indicadores proceso'!$O$3,(RIGHT(A1846,3)),1)</f>
        <v>Número</v>
      </c>
      <c r="D1851" s="559"/>
      <c r="E1851" s="559"/>
      <c r="F1851" s="559"/>
      <c r="G1851" s="559"/>
      <c r="H1851" s="559"/>
      <c r="I1851" s="559"/>
      <c r="J1851" s="559"/>
      <c r="K1851" s="559"/>
      <c r="L1851" s="560"/>
    </row>
    <row r="1852" spans="1:12" ht="24">
      <c r="A1852" s="101"/>
      <c r="B1852" s="72" t="s">
        <v>104</v>
      </c>
      <c r="C1852" s="559"/>
      <c r="D1852" s="559"/>
      <c r="E1852" s="559"/>
      <c r="F1852" s="559"/>
      <c r="G1852" s="559"/>
      <c r="H1852" s="559"/>
      <c r="I1852" s="559"/>
      <c r="J1852" s="559"/>
      <c r="K1852" s="559"/>
      <c r="L1852" s="560"/>
    </row>
    <row r="1853" spans="1:12">
      <c r="A1853" s="101"/>
      <c r="B1853" s="72" t="s">
        <v>105</v>
      </c>
      <c r="C1853" s="559" t="str">
        <f ca="1">OFFSET('Bateria indicadores proceso'!$L$3,(RIGHT(A1846,3)),1)</f>
        <v>Sumatoria del número de asistencias técnicas realizadas a las entidades territoriales (Gobernaciones y Alcaldías) de manera presencial y virtual</v>
      </c>
      <c r="D1853" s="559"/>
      <c r="E1853" s="559"/>
      <c r="F1853" s="559"/>
      <c r="G1853" s="559"/>
      <c r="H1853" s="559"/>
      <c r="I1853" s="559"/>
      <c r="J1853" s="559"/>
      <c r="K1853" s="559"/>
      <c r="L1853" s="560"/>
    </row>
    <row r="1854" spans="1:12">
      <c r="A1854" s="101"/>
      <c r="B1854" s="72" t="s">
        <v>106</v>
      </c>
      <c r="C1854" s="559" t="str">
        <f ca="1">OFFSET('Bateria indicadores proceso'!$Z$3,(RIGHT(A1846,3)),1)</f>
        <v>Trimestral</v>
      </c>
      <c r="D1854" s="559"/>
      <c r="E1854" s="559"/>
      <c r="F1854" s="559"/>
      <c r="G1854" s="559"/>
      <c r="H1854" s="559"/>
      <c r="I1854" s="559"/>
      <c r="J1854" s="559"/>
      <c r="K1854" s="559"/>
      <c r="L1854" s="560"/>
    </row>
    <row r="1855" spans="1:12">
      <c r="A1855" s="101"/>
      <c r="B1855" s="72" t="s">
        <v>107</v>
      </c>
      <c r="C1855" s="559" t="str">
        <f ca="1">OFFSET('Bateria indicadores proceso'!$X$3,(RIGHT(A1846,3)),1)</f>
        <v>Bitácora de eventos DAR 2026</v>
      </c>
      <c r="D1855" s="559"/>
      <c r="E1855" s="559"/>
      <c r="F1855" s="559"/>
      <c r="G1855" s="559"/>
      <c r="H1855" s="559"/>
      <c r="I1855" s="559"/>
      <c r="J1855" s="559"/>
      <c r="K1855" s="559"/>
      <c r="L1855" s="560"/>
    </row>
    <row r="1856" spans="1:12">
      <c r="A1856" s="101"/>
      <c r="B1856" s="72" t="s">
        <v>108</v>
      </c>
      <c r="C1856" s="561">
        <f ca="1">OFFSET('Bateria indicadores proceso'!$P$3,(RIGHT(A1846,3)),1)</f>
        <v>2023</v>
      </c>
      <c r="D1856" s="561"/>
      <c r="E1856" s="561"/>
      <c r="F1856" s="561"/>
      <c r="G1856" s="561"/>
      <c r="H1856" s="561"/>
      <c r="I1856" s="561"/>
      <c r="J1856" s="561"/>
      <c r="K1856" s="561"/>
      <c r="L1856" s="566"/>
    </row>
    <row r="1857" spans="1:12">
      <c r="A1857" s="101"/>
      <c r="B1857" s="72" t="s">
        <v>109</v>
      </c>
      <c r="C1857" s="561" t="str">
        <f ca="1">IF(C1851="Número",TEXT(OFFSET('Bateria indicadores proceso'!$Q$3,(RIGHT(A1846,3)),1),"######"),TEXT(OFFSET('Bateria indicadores proceso'!$Q$3,(RIGHT(A1846,3)),1),"0.0%"))</f>
        <v>357</v>
      </c>
      <c r="D1857" s="561"/>
      <c r="E1857" s="561"/>
      <c r="F1857" s="561"/>
      <c r="G1857" s="561"/>
      <c r="H1857" s="561"/>
      <c r="I1857" s="561"/>
      <c r="J1857" s="561"/>
      <c r="K1857" s="561"/>
      <c r="L1857" s="566"/>
    </row>
    <row r="1858" spans="1:12">
      <c r="A1858" s="101"/>
      <c r="B1858" s="72" t="s">
        <v>110</v>
      </c>
      <c r="C1858" s="593">
        <f ca="1">+OFFSET('Bateria indicadores proceso'!$R$3,(RIGHT(A1846,3)),1)</f>
        <v>46022</v>
      </c>
      <c r="D1858" s="593"/>
      <c r="E1858" s="593"/>
      <c r="F1858" s="593"/>
      <c r="G1858" s="593"/>
      <c r="H1858" s="593"/>
      <c r="I1858" s="593"/>
      <c r="J1858" s="593"/>
      <c r="K1858" s="593"/>
      <c r="L1858" s="594"/>
    </row>
    <row r="1859" spans="1:12">
      <c r="A1859" s="101"/>
      <c r="B1859" s="72" t="s">
        <v>111</v>
      </c>
      <c r="C1859" s="561" t="str">
        <f ca="1">OFFSET('Bateria indicadores proceso'!$M$3,(RIGHT(A1846,3)),1)</f>
        <v>Incrementar</v>
      </c>
      <c r="D1859" s="561"/>
      <c r="E1859" s="561"/>
      <c r="F1859" s="561"/>
      <c r="G1859" s="561"/>
      <c r="H1859" s="561"/>
      <c r="I1859" s="561"/>
      <c r="J1859" s="561"/>
      <c r="K1859" s="561"/>
      <c r="L1859" s="566"/>
    </row>
    <row r="1860" spans="1:12">
      <c r="A1860" s="101"/>
      <c r="B1860" s="72" t="s">
        <v>112</v>
      </c>
      <c r="C1860" s="561" t="str">
        <f ca="1">OFFSET('Bateria indicadores proceso'!$N$3,(RIGHT(A1846,3)),1)</f>
        <v>Acumulado</v>
      </c>
      <c r="D1860" s="561"/>
      <c r="E1860" s="561"/>
      <c r="F1860" s="561"/>
      <c r="G1860" s="561"/>
      <c r="H1860" s="561"/>
      <c r="I1860" s="561"/>
      <c r="J1860" s="561"/>
      <c r="K1860" s="561"/>
      <c r="L1860" s="566"/>
    </row>
    <row r="1861" spans="1:12">
      <c r="A1861" s="101"/>
      <c r="B1861" s="72" t="s">
        <v>113</v>
      </c>
      <c r="C1861" s="561" t="str">
        <f ca="1">IF(C1851="Número",TEXT(OFFSET('Bateria indicadores proceso'!$W$3,(RIGHT(A1846,3)),1),"######"),TEXT(OFFSET('Bateria indicadores proceso'!$W$3,(RIGHT(A1846,3)),1),"0.0%"))</f>
        <v>80</v>
      </c>
      <c r="D1861" s="561"/>
      <c r="E1861" s="561"/>
      <c r="F1861" s="561"/>
      <c r="G1861" s="561"/>
      <c r="H1861" s="561"/>
      <c r="I1861" s="561"/>
      <c r="J1861" s="561"/>
      <c r="K1861" s="561"/>
      <c r="L1861" s="566"/>
    </row>
    <row r="1862" spans="1:12">
      <c r="A1862" s="101"/>
      <c r="B1862" s="595" t="s">
        <v>114</v>
      </c>
      <c r="C1862" s="70" t="s">
        <v>115</v>
      </c>
      <c r="D1862" s="70" t="s">
        <v>116</v>
      </c>
      <c r="E1862" s="70" t="s">
        <v>117</v>
      </c>
      <c r="F1862" s="70" t="s">
        <v>118</v>
      </c>
      <c r="J1862" s="75"/>
      <c r="K1862" s="75"/>
      <c r="L1862" s="76"/>
    </row>
    <row r="1863" spans="1:12">
      <c r="A1863" s="101"/>
      <c r="B1863" s="595"/>
      <c r="C1863" s="70" t="str">
        <f ca="1">IF(C1851="Número",TEXT(OFFSET('Bateria indicadores proceso'!$S$3,(RIGHT(A1846,3)),1),"######"),TEXT(OFFSET('Bateria indicadores proceso'!$S$3,(RIGHT(A1846,3)),1),"0.0%"))</f>
        <v>5</v>
      </c>
      <c r="D1863" s="70" t="str">
        <f ca="1">IF(C1851="Número",TEXT(OFFSET('Bateria indicadores proceso'!$T$3,(RIGHT(A1846,3)),1),"######"),TEXT(OFFSET('Bateria indicadores proceso'!$T$3,(RIGHT(A1846,3)),1),"0.0%"))</f>
        <v>25</v>
      </c>
      <c r="E1863" s="70" t="str">
        <f ca="1">IF(C1851="Número",TEXT(OFFSET('Bateria indicadores proceso'!$U$3,(RIGHT(A1846,3)),1),"######"),TEXT(OFFSET('Bateria indicadores proceso'!$U$3,(RIGHT(A1846,3)),1),"0.0%"))</f>
        <v>25</v>
      </c>
      <c r="F1863" s="70" t="str">
        <f ca="1">IF(C1851="Número",TEXT(OFFSET('Bateria indicadores proceso'!$V$3,(RIGHT(A1846,3)),1),"######"),TEXT(OFFSET('Bateria indicadores proceso'!$V$3,(RIGHT(A1846,3)),1),"0.0%"))</f>
        <v>25</v>
      </c>
      <c r="J1863" s="77"/>
      <c r="K1863" s="77"/>
      <c r="L1863" s="78"/>
    </row>
    <row r="1864" spans="1:12">
      <c r="A1864" s="101"/>
      <c r="B1864" s="600" t="s">
        <v>119</v>
      </c>
      <c r="C1864" s="567" t="s">
        <v>120</v>
      </c>
      <c r="D1864" s="568"/>
      <c r="E1864" s="567" t="s">
        <v>121</v>
      </c>
      <c r="F1864" s="568"/>
      <c r="G1864" s="567" t="s">
        <v>122</v>
      </c>
      <c r="H1864" s="568"/>
      <c r="I1864" s="567" t="s">
        <v>123</v>
      </c>
      <c r="J1864" s="568"/>
      <c r="K1864" s="567" t="s">
        <v>124</v>
      </c>
      <c r="L1864" s="569"/>
    </row>
    <row r="1865" spans="1:12">
      <c r="A1865" s="101"/>
      <c r="B1865" s="601"/>
      <c r="C1865" s="570" t="s">
        <v>125</v>
      </c>
      <c r="D1865" s="571"/>
      <c r="E1865" s="577" t="s">
        <v>126</v>
      </c>
      <c r="F1865" s="578"/>
      <c r="G1865" s="579" t="s">
        <v>127</v>
      </c>
      <c r="H1865" s="580"/>
      <c r="I1865" s="581" t="s">
        <v>128</v>
      </c>
      <c r="J1865" s="582"/>
      <c r="K1865" s="583" t="s">
        <v>129</v>
      </c>
      <c r="L1865" s="584"/>
    </row>
    <row r="1866" spans="1:12">
      <c r="A1866" s="101"/>
      <c r="B1866" s="602"/>
      <c r="C1866" s="567" t="s">
        <v>130</v>
      </c>
      <c r="D1866" s="568"/>
      <c r="E1866" s="567" t="s">
        <v>131</v>
      </c>
      <c r="F1866" s="568"/>
      <c r="G1866" s="585" t="s">
        <v>132</v>
      </c>
      <c r="H1866" s="568"/>
      <c r="I1866" s="567" t="s">
        <v>133</v>
      </c>
      <c r="J1866" s="568"/>
      <c r="K1866" s="567" t="s">
        <v>134</v>
      </c>
      <c r="L1866" s="569"/>
    </row>
    <row r="1867" spans="1:12">
      <c r="A1867" s="101"/>
      <c r="B1867" s="72" t="s">
        <v>135</v>
      </c>
      <c r="C1867" s="559" t="str">
        <f ca="1">OFFSET('Bateria indicadores proceso'!$Y$3,(RIGHT(A1846,3)),1)</f>
        <v>Registros de asistencia técnica y acompañamientos (actas, informes de comisión, Listas de asistencia, reportes de plataformas virtuales y registros fotográficos).</v>
      </c>
      <c r="D1867" s="559"/>
      <c r="E1867" s="559"/>
      <c r="F1867" s="559"/>
      <c r="G1867" s="559"/>
      <c r="H1867" s="559"/>
      <c r="I1867" s="559"/>
      <c r="J1867" s="559"/>
      <c r="K1867" s="559"/>
      <c r="L1867" s="560"/>
    </row>
    <row r="1868" spans="1:12">
      <c r="A1868" s="101"/>
      <c r="B1868" s="591" t="s">
        <v>136</v>
      </c>
      <c r="C1868" s="561" t="s">
        <v>137</v>
      </c>
      <c r="D1868" s="561"/>
      <c r="E1868" s="561"/>
      <c r="F1868" s="562" t="str">
        <f ca="1">OFFSET('Bateria indicadores proceso'!$B$3,(RIGHT(A1846,3)),1)</f>
        <v>GESTIÓN PARA LA PROTECCIÓN DE LOS DERECHOS</v>
      </c>
      <c r="G1868" s="562"/>
      <c r="H1868" s="562"/>
      <c r="I1868" s="562"/>
      <c r="J1868" s="562"/>
      <c r="K1868" s="562"/>
      <c r="L1868" s="563"/>
    </row>
    <row r="1869" spans="1:12">
      <c r="A1869" s="101"/>
      <c r="B1869" s="592"/>
      <c r="C1869" s="561" t="s">
        <v>138</v>
      </c>
      <c r="D1869" s="561"/>
      <c r="E1869" s="561"/>
      <c r="F1869" s="564">
        <f ca="1">OFFSET('Bateria indicadores proceso'!$C$3,(RIGHT(A1846,3)),1)</f>
        <v>0.11</v>
      </c>
      <c r="G1869" s="564"/>
      <c r="H1869" s="564"/>
      <c r="I1869" s="564"/>
      <c r="J1869" s="564"/>
      <c r="K1869" s="564"/>
      <c r="L1869" s="565"/>
    </row>
    <row r="1870" spans="1:12" ht="15.75" thickBot="1">
      <c r="A1870" s="101"/>
      <c r="B1870" s="592"/>
      <c r="C1870" s="561" t="s">
        <v>139</v>
      </c>
      <c r="D1870" s="561"/>
      <c r="E1870" s="561"/>
      <c r="F1870" s="564">
        <f ca="1">OFFSET('Bateria indicadores proceso'!$E$3,(RIGHT(A1846,3)),1)</f>
        <v>0.03</v>
      </c>
      <c r="G1870" s="564"/>
      <c r="H1870" s="564"/>
      <c r="I1870" s="564"/>
      <c r="J1870" s="564"/>
      <c r="K1870" s="564"/>
      <c r="L1870" s="565"/>
    </row>
    <row r="1871" spans="1:12" ht="16.5" thickBot="1">
      <c r="A1871" s="101"/>
      <c r="B1871" s="572" t="s">
        <v>140</v>
      </c>
      <c r="C1871" s="573"/>
      <c r="D1871" s="573"/>
      <c r="E1871" s="573"/>
      <c r="F1871" s="573"/>
      <c r="G1871" s="573"/>
      <c r="H1871" s="573"/>
      <c r="I1871" s="573"/>
      <c r="J1871" s="573"/>
      <c r="K1871" s="573"/>
      <c r="L1871" s="574"/>
    </row>
    <row r="1872" spans="1:12">
      <c r="A1872" s="101"/>
      <c r="B1872" s="72" t="s">
        <v>142</v>
      </c>
      <c r="C1872" s="561" t="str">
        <f ca="1">OFFSET('Bateria indicadores proceso'!$G$3,(RIGHT(A1846,3)),1)</f>
        <v>Director</v>
      </c>
      <c r="D1872" s="561"/>
      <c r="E1872" s="561"/>
      <c r="F1872" s="561"/>
      <c r="G1872" s="561"/>
      <c r="H1872" s="561"/>
      <c r="I1872" s="561"/>
      <c r="J1872" s="561"/>
      <c r="K1872" s="561"/>
      <c r="L1872" s="566"/>
    </row>
    <row r="1873" spans="1:12">
      <c r="A1873" s="101"/>
      <c r="B1873" s="72" t="s">
        <v>143</v>
      </c>
      <c r="C1873" s="561" t="str">
        <f ca="1">OFFSET('Bateria indicadores proceso'!$F$3,(RIGHT(A1846,3)),1)</f>
        <v>Dirección de Asuntos Religiosos</v>
      </c>
      <c r="D1873" s="561"/>
      <c r="E1873" s="561"/>
      <c r="F1873" s="561"/>
      <c r="G1873" s="561"/>
      <c r="H1873" s="561"/>
      <c r="I1873" s="561"/>
      <c r="J1873" s="561"/>
      <c r="K1873" s="561"/>
      <c r="L1873" s="566"/>
    </row>
    <row r="1874" spans="1:12">
      <c r="A1874" s="101"/>
      <c r="B1874" s="72" t="s">
        <v>144</v>
      </c>
      <c r="C1874" s="598" t="str">
        <f ca="1">OFFSET('Bateria indicadores proceso'!$H$3,(RIGHT(A1810,3)),1)</f>
        <v>dire.alfonso.jimenez@mininterior.gov.co</v>
      </c>
      <c r="D1874" s="598"/>
      <c r="E1874" s="598"/>
      <c r="F1874" s="598"/>
      <c r="G1874" s="598"/>
      <c r="H1874" s="598"/>
      <c r="I1874" s="598"/>
      <c r="J1874" s="598"/>
      <c r="K1874" s="598"/>
      <c r="L1874" s="599"/>
    </row>
    <row r="1875" spans="1:12" ht="15.75" thickBot="1">
      <c r="A1875" s="104"/>
      <c r="B1875" s="74" t="s">
        <v>145</v>
      </c>
      <c r="C1875" s="596" t="s">
        <v>146</v>
      </c>
      <c r="D1875" s="596"/>
      <c r="E1875" s="596"/>
      <c r="F1875" s="596"/>
      <c r="G1875" s="596"/>
      <c r="H1875" s="596"/>
      <c r="I1875" s="596"/>
      <c r="J1875" s="596"/>
      <c r="K1875" s="596"/>
      <c r="L1875" s="597"/>
    </row>
    <row r="1876" spans="1:12" ht="15.75" thickBot="1"/>
    <row r="1877" spans="1:12" ht="21.75" thickBot="1">
      <c r="A1877" s="586" t="s">
        <v>89</v>
      </c>
      <c r="B1877" s="587"/>
      <c r="C1877" s="587"/>
      <c r="D1877" s="587"/>
      <c r="E1877" s="587"/>
      <c r="F1877" s="587"/>
      <c r="G1877" s="587"/>
      <c r="H1877" s="587"/>
      <c r="I1877" s="587"/>
      <c r="J1877" s="587"/>
      <c r="K1877" s="587"/>
      <c r="L1877" s="588"/>
    </row>
    <row r="1878" spans="1:12" ht="32.25" thickBot="1">
      <c r="A1878" s="69" t="s">
        <v>90</v>
      </c>
      <c r="B1878" s="589" t="s">
        <v>91</v>
      </c>
      <c r="C1878" s="589"/>
      <c r="D1878" s="589"/>
      <c r="E1878" s="589"/>
      <c r="F1878" s="589"/>
      <c r="G1878" s="589"/>
      <c r="H1878" s="589"/>
      <c r="I1878" s="589"/>
      <c r="J1878" s="589"/>
      <c r="K1878" s="589"/>
      <c r="L1878" s="589"/>
    </row>
    <row r="1879" spans="1:12" ht="16.5" thickBot="1">
      <c r="A1879" s="100"/>
      <c r="B1879" s="71" t="s">
        <v>92</v>
      </c>
      <c r="C1879" s="575" t="s">
        <v>93</v>
      </c>
      <c r="D1879" s="575"/>
      <c r="E1879" s="575"/>
      <c r="F1879" s="575"/>
      <c r="G1879" s="575"/>
      <c r="H1879" s="575"/>
      <c r="I1879" s="575"/>
      <c r="J1879" s="575"/>
      <c r="K1879" s="575"/>
      <c r="L1879" s="576"/>
    </row>
    <row r="1880" spans="1:12" ht="16.5" thickBot="1">
      <c r="A1880" s="101"/>
      <c r="B1880" s="589" t="s">
        <v>94</v>
      </c>
      <c r="C1880" s="590"/>
      <c r="D1880" s="590"/>
      <c r="E1880" s="590"/>
      <c r="F1880" s="590"/>
      <c r="G1880" s="590"/>
      <c r="H1880" s="590"/>
      <c r="I1880" s="590"/>
      <c r="J1880" s="590"/>
      <c r="K1880" s="590"/>
      <c r="L1880" s="590"/>
    </row>
    <row r="1881" spans="1:12">
      <c r="A1881" s="101"/>
      <c r="B1881" s="71" t="s">
        <v>95</v>
      </c>
      <c r="C1881" s="559" t="s">
        <v>96</v>
      </c>
      <c r="D1881" s="559"/>
      <c r="E1881" s="559"/>
      <c r="F1881" s="559"/>
      <c r="G1881" s="559"/>
      <c r="H1881" s="559"/>
      <c r="I1881" s="559"/>
      <c r="J1881" s="559"/>
      <c r="K1881" s="559"/>
      <c r="L1881" s="560"/>
    </row>
    <row r="1882" spans="1:12">
      <c r="A1882" s="102" t="s">
        <v>198</v>
      </c>
      <c r="B1882" s="72" t="s">
        <v>98</v>
      </c>
      <c r="C1882" s="559" t="str">
        <f ca="1">OFFSET('Bateria indicadores proceso'!$F$3,(RIGHT(A1882,3)),1)</f>
        <v>Dirección de Asuntos Religiosos</v>
      </c>
      <c r="D1882" s="559"/>
      <c r="E1882" s="559"/>
      <c r="F1882" s="559"/>
      <c r="G1882" s="559"/>
      <c r="H1882" s="559"/>
      <c r="I1882" s="559"/>
      <c r="J1882" s="559"/>
      <c r="K1882" s="559"/>
      <c r="L1882" s="560"/>
    </row>
    <row r="1883" spans="1:12">
      <c r="A1883" s="101"/>
      <c r="B1883" s="72" t="s">
        <v>99</v>
      </c>
      <c r="C1883" s="559" t="str">
        <f ca="1">OFFSET('Bateria indicadores proceso'!$K$3,(RIGHT(A1882,3)),1)</f>
        <v xml:space="preserve">Trámites del Sistema de gestión documental y custodia de los expedientes realizados  por la Dirección de Asuntos Religiosos </v>
      </c>
      <c r="D1883" s="559"/>
      <c r="E1883" s="559"/>
      <c r="F1883" s="559"/>
      <c r="G1883" s="559"/>
      <c r="H1883" s="559"/>
      <c r="I1883" s="559"/>
      <c r="J1883" s="559"/>
      <c r="K1883" s="559"/>
      <c r="L1883" s="560"/>
    </row>
    <row r="1884" spans="1:12">
      <c r="A1884" s="101"/>
      <c r="B1884" s="72" t="s">
        <v>100</v>
      </c>
      <c r="C1884" s="559" t="str">
        <f ca="1">OFFSET('Bateria indicadores proceso'!$I$3,(RIGHT(A1882,3)),1)</f>
        <v>Eficacia</v>
      </c>
      <c r="D1884" s="559"/>
      <c r="E1884" s="559"/>
      <c r="F1884" s="559"/>
      <c r="G1884" s="559"/>
      <c r="H1884" s="559"/>
      <c r="I1884" s="559"/>
      <c r="J1884" s="559"/>
      <c r="K1884" s="559"/>
      <c r="L1884" s="560"/>
    </row>
    <row r="1885" spans="1:12" ht="15.75" thickBot="1">
      <c r="A1885" s="103"/>
      <c r="B1885" s="73" t="s">
        <v>101</v>
      </c>
      <c r="C1885" s="559" t="str">
        <f ca="1">OFFSET('Bateria indicadores proceso'!$J$3,(RIGHT(A1882,3)),1)</f>
        <v>Mantener el porcentaje de solicitudes de trámites atendidos de manera efectiva dentro de los tiempos establecidos por el Sistema de Gestión Documental. Es importante, porque permite garantizar la eficiencia y oportunidad en la gestión documental, asegurando la custodia adecuada de los expedientes y el cumplimiento normativo. Además, contribuye a la transparencia y a la satisfacción de los usuarios internos y externos. La tendencia de este indicador es de "Mantener".</v>
      </c>
      <c r="D1885" s="559"/>
      <c r="E1885" s="559"/>
      <c r="F1885" s="559"/>
      <c r="G1885" s="559"/>
      <c r="H1885" s="559"/>
      <c r="I1885" s="559"/>
      <c r="J1885" s="559"/>
      <c r="K1885" s="559"/>
      <c r="L1885" s="560"/>
    </row>
    <row r="1886" spans="1:12" ht="16.5" thickBot="1">
      <c r="A1886" s="103"/>
      <c r="B1886" s="572" t="s">
        <v>102</v>
      </c>
      <c r="C1886" s="573"/>
      <c r="D1886" s="573"/>
      <c r="E1886" s="573"/>
      <c r="F1886" s="573"/>
      <c r="G1886" s="573"/>
      <c r="H1886" s="573"/>
      <c r="I1886" s="573"/>
      <c r="J1886" s="573"/>
      <c r="K1886" s="573"/>
      <c r="L1886" s="574"/>
    </row>
    <row r="1887" spans="1:12">
      <c r="A1887" s="101"/>
      <c r="B1887" s="71" t="s">
        <v>103</v>
      </c>
      <c r="C1887" s="559" t="str">
        <f ca="1">OFFSET('Bateria indicadores proceso'!$O$3,(RIGHT(A1882,3)),1)</f>
        <v>Porcentaje</v>
      </c>
      <c r="D1887" s="559"/>
      <c r="E1887" s="559"/>
      <c r="F1887" s="559"/>
      <c r="G1887" s="559"/>
      <c r="H1887" s="559"/>
      <c r="I1887" s="559"/>
      <c r="J1887" s="559"/>
      <c r="K1887" s="559"/>
      <c r="L1887" s="560"/>
    </row>
    <row r="1888" spans="1:12" ht="24">
      <c r="A1888" s="101"/>
      <c r="B1888" s="72" t="s">
        <v>104</v>
      </c>
      <c r="C1888" s="559"/>
      <c r="D1888" s="559"/>
      <c r="E1888" s="559"/>
      <c r="F1888" s="559"/>
      <c r="G1888" s="559"/>
      <c r="H1888" s="559"/>
      <c r="I1888" s="559"/>
      <c r="J1888" s="559"/>
      <c r="K1888" s="559"/>
      <c r="L1888" s="560"/>
    </row>
    <row r="1889" spans="1:12">
      <c r="A1889" s="101"/>
      <c r="B1889" s="72" t="s">
        <v>105</v>
      </c>
      <c r="C1889" s="559" t="str">
        <f ca="1">OFFSET('Bateria indicadores proceso'!$L$3,(RIGHT(A1882,3)),1)</f>
        <v>((Sumatoria del número de actos administrativos por solicitud de personerías jurídicas especiales y extendidas y otros trámites de las entidades religiosas atendidos y en custodia) / (el número de solicitudes de trámites recibidos en el periodo)) multiplicado por 100</v>
      </c>
      <c r="D1889" s="559"/>
      <c r="E1889" s="559"/>
      <c r="F1889" s="559"/>
      <c r="G1889" s="559"/>
      <c r="H1889" s="559"/>
      <c r="I1889" s="559"/>
      <c r="J1889" s="559"/>
      <c r="K1889" s="559"/>
      <c r="L1889" s="560"/>
    </row>
    <row r="1890" spans="1:12">
      <c r="A1890" s="101"/>
      <c r="B1890" s="72" t="s">
        <v>106</v>
      </c>
      <c r="C1890" s="559" t="str">
        <f ca="1">OFFSET('Bateria indicadores proceso'!$Z$3,(RIGHT(A1882,3)),1)</f>
        <v>Trimestral</v>
      </c>
      <c r="D1890" s="559"/>
      <c r="E1890" s="559"/>
      <c r="F1890" s="559"/>
      <c r="G1890" s="559"/>
      <c r="H1890" s="559"/>
      <c r="I1890" s="559"/>
      <c r="J1890" s="559"/>
      <c r="K1890" s="559"/>
      <c r="L1890" s="560"/>
    </row>
    <row r="1891" spans="1:12">
      <c r="A1891" s="101"/>
      <c r="B1891" s="72" t="s">
        <v>107</v>
      </c>
      <c r="C1891" s="559" t="str">
        <f ca="1">OFFSET('Bateria indicadores proceso'!$X$3,(RIGHT(A1882,3)),1)</f>
        <v>Sistema de gestión documental,  tablero de reparto  y registro de custodia de los expedientes</v>
      </c>
      <c r="D1891" s="559"/>
      <c r="E1891" s="559"/>
      <c r="F1891" s="559"/>
      <c r="G1891" s="559"/>
      <c r="H1891" s="559"/>
      <c r="I1891" s="559"/>
      <c r="J1891" s="559"/>
      <c r="K1891" s="559"/>
      <c r="L1891" s="560"/>
    </row>
    <row r="1892" spans="1:12">
      <c r="A1892" s="101"/>
      <c r="B1892" s="72" t="s">
        <v>108</v>
      </c>
      <c r="C1892" s="561">
        <f ca="1">OFFSET('Bateria indicadores proceso'!$P$3,(RIGHT(A1882,3)),1)</f>
        <v>2023</v>
      </c>
      <c r="D1892" s="561"/>
      <c r="E1892" s="561"/>
      <c r="F1892" s="561"/>
      <c r="G1892" s="561"/>
      <c r="H1892" s="561"/>
      <c r="I1892" s="561"/>
      <c r="J1892" s="561"/>
      <c r="K1892" s="561"/>
      <c r="L1892" s="566"/>
    </row>
    <row r="1893" spans="1:12">
      <c r="A1893" s="101"/>
      <c r="B1893" s="72" t="s">
        <v>109</v>
      </c>
      <c r="C1893" s="561" t="str">
        <f ca="1">IF(C1887="Número",TEXT(OFFSET('Bateria indicadores proceso'!$Q$3,(RIGHT(A1882,3)),1),"######"),TEXT(OFFSET('Bateria indicadores proceso'!$Q$3,(RIGHT(A1882,3)),1),"0.0%"))</f>
        <v>100%</v>
      </c>
      <c r="D1893" s="561"/>
      <c r="E1893" s="561"/>
      <c r="F1893" s="561"/>
      <c r="G1893" s="561"/>
      <c r="H1893" s="561"/>
      <c r="I1893" s="561"/>
      <c r="J1893" s="561"/>
      <c r="K1893" s="561"/>
      <c r="L1893" s="566"/>
    </row>
    <row r="1894" spans="1:12">
      <c r="A1894" s="101"/>
      <c r="B1894" s="72" t="s">
        <v>110</v>
      </c>
      <c r="C1894" s="593">
        <f ca="1">+OFFSET('Bateria indicadores proceso'!$R$3,(RIGHT(A1882,3)),1)</f>
        <v>46022</v>
      </c>
      <c r="D1894" s="593"/>
      <c r="E1894" s="593"/>
      <c r="F1894" s="593"/>
      <c r="G1894" s="593"/>
      <c r="H1894" s="593"/>
      <c r="I1894" s="593"/>
      <c r="J1894" s="593"/>
      <c r="K1894" s="593"/>
      <c r="L1894" s="594"/>
    </row>
    <row r="1895" spans="1:12">
      <c r="A1895" s="101"/>
      <c r="B1895" s="72" t="s">
        <v>111</v>
      </c>
      <c r="C1895" s="561" t="str">
        <f ca="1">OFFSET('Bateria indicadores proceso'!$M$3,(RIGHT(A1882,3)),1)</f>
        <v>Mantener</v>
      </c>
      <c r="D1895" s="561"/>
      <c r="E1895" s="561"/>
      <c r="F1895" s="561"/>
      <c r="G1895" s="561"/>
      <c r="H1895" s="561"/>
      <c r="I1895" s="561"/>
      <c r="J1895" s="561"/>
      <c r="K1895" s="561"/>
      <c r="L1895" s="566"/>
    </row>
    <row r="1896" spans="1:12">
      <c r="A1896" s="101"/>
      <c r="B1896" s="72" t="s">
        <v>112</v>
      </c>
      <c r="C1896" s="561" t="str">
        <f ca="1">OFFSET('Bateria indicadores proceso'!$N$3,(RIGHT(A1882,3)),1)</f>
        <v>Stock</v>
      </c>
      <c r="D1896" s="561"/>
      <c r="E1896" s="561"/>
      <c r="F1896" s="561"/>
      <c r="G1896" s="561"/>
      <c r="H1896" s="561"/>
      <c r="I1896" s="561"/>
      <c r="J1896" s="561"/>
      <c r="K1896" s="561"/>
      <c r="L1896" s="566"/>
    </row>
    <row r="1897" spans="1:12">
      <c r="A1897" s="101"/>
      <c r="B1897" s="72" t="s">
        <v>113</v>
      </c>
      <c r="C1897" s="561" t="str">
        <f ca="1">IF(C1887="Número",TEXT(OFFSET('Bateria indicadores proceso'!$W$3,(RIGHT(A1882,3)),1),"######"),TEXT(OFFSET('Bateria indicadores proceso'!$W$3,(RIGHT(A1882,3)),1),"0.0%"))</f>
        <v>100%</v>
      </c>
      <c r="D1897" s="561"/>
      <c r="E1897" s="561"/>
      <c r="F1897" s="561"/>
      <c r="G1897" s="561"/>
      <c r="H1897" s="561"/>
      <c r="I1897" s="561"/>
      <c r="J1897" s="561"/>
      <c r="K1897" s="561"/>
      <c r="L1897" s="566"/>
    </row>
    <row r="1898" spans="1:12">
      <c r="A1898" s="101"/>
      <c r="B1898" s="595" t="s">
        <v>114</v>
      </c>
      <c r="C1898" s="70" t="s">
        <v>115</v>
      </c>
      <c r="D1898" s="70" t="s">
        <v>116</v>
      </c>
      <c r="E1898" s="70" t="s">
        <v>117</v>
      </c>
      <c r="F1898" s="70" t="s">
        <v>118</v>
      </c>
      <c r="J1898" s="75"/>
      <c r="K1898" s="75"/>
      <c r="L1898" s="76"/>
    </row>
    <row r="1899" spans="1:12">
      <c r="A1899" s="101"/>
      <c r="B1899" s="595"/>
      <c r="C1899" s="70" t="str">
        <f ca="1">IF(C1887="Número",TEXT(OFFSET('Bateria indicadores proceso'!$S$3,(RIGHT(A1882,3)),1),"######"),TEXT(OFFSET('Bateria indicadores proceso'!$S$3,(RIGHT(A1882,3)),1),"0.0%"))</f>
        <v>100%</v>
      </c>
      <c r="D1899" s="70" t="str">
        <f ca="1">IF(C1887="Número",TEXT(OFFSET('Bateria indicadores proceso'!$T$3,(RIGHT(A1882,3)),1),"######"),TEXT(OFFSET('Bateria indicadores proceso'!$T$3,(RIGHT(A1882,3)),1),"0.0%"))</f>
        <v>100%</v>
      </c>
      <c r="E1899" s="70" t="str">
        <f ca="1">IF(C1887="Número",TEXT(OFFSET('Bateria indicadores proceso'!$U$3,(RIGHT(A1882,3)),1),"######"),TEXT(OFFSET('Bateria indicadores proceso'!$U$3,(RIGHT(A1882,3)),1),"0.0%"))</f>
        <v>100%</v>
      </c>
      <c r="F1899" s="70" t="str">
        <f ca="1">IF(C1887="Número",TEXT(OFFSET('Bateria indicadores proceso'!$V$3,(RIGHT(A1882,3)),1),"######"),TEXT(OFFSET('Bateria indicadores proceso'!$V$3,(RIGHT(A1882,3)),1),"0.0%"))</f>
        <v>100%</v>
      </c>
      <c r="J1899" s="77"/>
      <c r="K1899" s="77"/>
      <c r="L1899" s="78"/>
    </row>
    <row r="1900" spans="1:12">
      <c r="A1900" s="101"/>
      <c r="B1900" s="600" t="s">
        <v>119</v>
      </c>
      <c r="C1900" s="567" t="s">
        <v>120</v>
      </c>
      <c r="D1900" s="568"/>
      <c r="E1900" s="567" t="s">
        <v>121</v>
      </c>
      <c r="F1900" s="568"/>
      <c r="G1900" s="567" t="s">
        <v>122</v>
      </c>
      <c r="H1900" s="568"/>
      <c r="I1900" s="567" t="s">
        <v>123</v>
      </c>
      <c r="J1900" s="568"/>
      <c r="K1900" s="567" t="s">
        <v>124</v>
      </c>
      <c r="L1900" s="569"/>
    </row>
    <row r="1901" spans="1:12">
      <c r="A1901" s="101"/>
      <c r="B1901" s="601"/>
      <c r="C1901" s="570" t="s">
        <v>125</v>
      </c>
      <c r="D1901" s="571"/>
      <c r="E1901" s="577" t="s">
        <v>126</v>
      </c>
      <c r="F1901" s="578"/>
      <c r="G1901" s="579" t="s">
        <v>127</v>
      </c>
      <c r="H1901" s="580"/>
      <c r="I1901" s="581" t="s">
        <v>128</v>
      </c>
      <c r="J1901" s="582"/>
      <c r="K1901" s="583" t="s">
        <v>129</v>
      </c>
      <c r="L1901" s="584"/>
    </row>
    <row r="1902" spans="1:12">
      <c r="A1902" s="101"/>
      <c r="B1902" s="602"/>
      <c r="C1902" s="567" t="s">
        <v>130</v>
      </c>
      <c r="D1902" s="568"/>
      <c r="E1902" s="567" t="s">
        <v>131</v>
      </c>
      <c r="F1902" s="568"/>
      <c r="G1902" s="585" t="s">
        <v>132</v>
      </c>
      <c r="H1902" s="568"/>
      <c r="I1902" s="567" t="s">
        <v>133</v>
      </c>
      <c r="J1902" s="568"/>
      <c r="K1902" s="567" t="s">
        <v>134</v>
      </c>
      <c r="L1902" s="569"/>
    </row>
    <row r="1903" spans="1:12">
      <c r="A1903" s="101"/>
      <c r="B1903" s="72" t="s">
        <v>135</v>
      </c>
      <c r="C1903" s="559" t="str">
        <f ca="1">OFFSET('Bateria indicadores proceso'!$Y$3,(RIGHT(A1882,3)),1)</f>
        <v>Reportes del Sistema de gestión documental,  tablero de reparto  y registro de custodia de los expedientes; clasificadospor trámites así: 2. reforma de estatutos, 3. personería jurídica especial, 4. personería jurídica extendida, 5. dignatarios, y 6. tutelas</v>
      </c>
      <c r="D1903" s="559"/>
      <c r="E1903" s="559"/>
      <c r="F1903" s="559"/>
      <c r="G1903" s="559"/>
      <c r="H1903" s="559"/>
      <c r="I1903" s="559"/>
      <c r="J1903" s="559"/>
      <c r="K1903" s="559"/>
      <c r="L1903" s="560"/>
    </row>
    <row r="1904" spans="1:12">
      <c r="A1904" s="101"/>
      <c r="B1904" s="591" t="s">
        <v>136</v>
      </c>
      <c r="C1904" s="561" t="s">
        <v>137</v>
      </c>
      <c r="D1904" s="561"/>
      <c r="E1904" s="561"/>
      <c r="F1904" s="562" t="str">
        <f ca="1">OFFSET('Bateria indicadores proceso'!$B$3,(RIGHT(A1882,3)),1)</f>
        <v>GESTIÓN PARA LA PROTECCIÓN DE LOS DERECHOS</v>
      </c>
      <c r="G1904" s="562"/>
      <c r="H1904" s="562"/>
      <c r="I1904" s="562"/>
      <c r="J1904" s="562"/>
      <c r="K1904" s="562"/>
      <c r="L1904" s="563"/>
    </row>
    <row r="1905" spans="1:12">
      <c r="A1905" s="101"/>
      <c r="B1905" s="592"/>
      <c r="C1905" s="561" t="s">
        <v>138</v>
      </c>
      <c r="D1905" s="561"/>
      <c r="E1905" s="561"/>
      <c r="F1905" s="564">
        <f ca="1">OFFSET('Bateria indicadores proceso'!$C$3,(RIGHT(A1882,3)),1)</f>
        <v>0.11</v>
      </c>
      <c r="G1905" s="564"/>
      <c r="H1905" s="564"/>
      <c r="I1905" s="564"/>
      <c r="J1905" s="564"/>
      <c r="K1905" s="564"/>
      <c r="L1905" s="565"/>
    </row>
    <row r="1906" spans="1:12" ht="15.75" thickBot="1">
      <c r="A1906" s="101"/>
      <c r="B1906" s="592"/>
      <c r="C1906" s="561" t="s">
        <v>139</v>
      </c>
      <c r="D1906" s="561"/>
      <c r="E1906" s="561"/>
      <c r="F1906" s="564">
        <f ca="1">OFFSET('Bateria indicadores proceso'!$E$3,(RIGHT(A1882,3)),1)</f>
        <v>0.04</v>
      </c>
      <c r="G1906" s="564"/>
      <c r="H1906" s="564"/>
      <c r="I1906" s="564"/>
      <c r="J1906" s="564"/>
      <c r="K1906" s="564"/>
      <c r="L1906" s="565"/>
    </row>
    <row r="1907" spans="1:12" ht="16.5" thickBot="1">
      <c r="A1907" s="101"/>
      <c r="B1907" s="572" t="s">
        <v>140</v>
      </c>
      <c r="C1907" s="573"/>
      <c r="D1907" s="573"/>
      <c r="E1907" s="573"/>
      <c r="F1907" s="573"/>
      <c r="G1907" s="573"/>
      <c r="H1907" s="573"/>
      <c r="I1907" s="573"/>
      <c r="J1907" s="573"/>
      <c r="K1907" s="573"/>
      <c r="L1907" s="574"/>
    </row>
    <row r="1908" spans="1:12">
      <c r="A1908" s="101"/>
      <c r="B1908" s="72" t="s">
        <v>142</v>
      </c>
      <c r="C1908" s="561" t="str">
        <f ca="1">OFFSET('Bateria indicadores proceso'!$G$3,(RIGHT(A1882,3)),1)</f>
        <v>Director</v>
      </c>
      <c r="D1908" s="561"/>
      <c r="E1908" s="561"/>
      <c r="F1908" s="561"/>
      <c r="G1908" s="561"/>
      <c r="H1908" s="561"/>
      <c r="I1908" s="561"/>
      <c r="J1908" s="561"/>
      <c r="K1908" s="561"/>
      <c r="L1908" s="566"/>
    </row>
    <row r="1909" spans="1:12">
      <c r="A1909" s="101"/>
      <c r="B1909" s="72" t="s">
        <v>143</v>
      </c>
      <c r="C1909" s="561" t="str">
        <f ca="1">OFFSET('Bateria indicadores proceso'!$F$3,(RIGHT(A1882,3)),1)</f>
        <v>Dirección de Asuntos Religiosos</v>
      </c>
      <c r="D1909" s="561"/>
      <c r="E1909" s="561"/>
      <c r="F1909" s="561"/>
      <c r="G1909" s="561"/>
      <c r="H1909" s="561"/>
      <c r="I1909" s="561"/>
      <c r="J1909" s="561"/>
      <c r="K1909" s="561"/>
      <c r="L1909" s="566"/>
    </row>
    <row r="1910" spans="1:12">
      <c r="A1910" s="101"/>
      <c r="B1910" s="72" t="s">
        <v>144</v>
      </c>
      <c r="C1910" s="598" t="str">
        <f ca="1">OFFSET('Bateria indicadores proceso'!$H$3,(RIGHT(A1882,3)),1)</f>
        <v>richard.gamboa@mininterior.gov.co</v>
      </c>
      <c r="D1910" s="598"/>
      <c r="E1910" s="598"/>
      <c r="F1910" s="598"/>
      <c r="G1910" s="598"/>
      <c r="H1910" s="598"/>
      <c r="I1910" s="598"/>
      <c r="J1910" s="598"/>
      <c r="K1910" s="598"/>
      <c r="L1910" s="599"/>
    </row>
    <row r="1911" spans="1:12" ht="15.75" thickBot="1">
      <c r="A1911" s="104"/>
      <c r="B1911" s="74" t="s">
        <v>145</v>
      </c>
      <c r="C1911" s="596" t="s">
        <v>146</v>
      </c>
      <c r="D1911" s="596"/>
      <c r="E1911" s="596"/>
      <c r="F1911" s="596"/>
      <c r="G1911" s="596"/>
      <c r="H1911" s="596"/>
      <c r="I1911" s="596"/>
      <c r="J1911" s="596"/>
      <c r="K1911" s="596"/>
      <c r="L1911" s="597"/>
    </row>
    <row r="1912" spans="1:12" ht="15.75" thickBot="1"/>
    <row r="1913" spans="1:12" ht="21.75" thickBot="1">
      <c r="A1913" s="586" t="s">
        <v>89</v>
      </c>
      <c r="B1913" s="587"/>
      <c r="C1913" s="587"/>
      <c r="D1913" s="587"/>
      <c r="E1913" s="587"/>
      <c r="F1913" s="587"/>
      <c r="G1913" s="587"/>
      <c r="H1913" s="587"/>
      <c r="I1913" s="587"/>
      <c r="J1913" s="587"/>
      <c r="K1913" s="587"/>
      <c r="L1913" s="588"/>
    </row>
    <row r="1914" spans="1:12" ht="32.25" thickBot="1">
      <c r="A1914" s="69" t="s">
        <v>90</v>
      </c>
      <c r="B1914" s="589" t="s">
        <v>91</v>
      </c>
      <c r="C1914" s="589"/>
      <c r="D1914" s="589"/>
      <c r="E1914" s="589"/>
      <c r="F1914" s="589"/>
      <c r="G1914" s="589"/>
      <c r="H1914" s="589"/>
      <c r="I1914" s="589"/>
      <c r="J1914" s="589"/>
      <c r="K1914" s="589"/>
      <c r="L1914" s="589"/>
    </row>
    <row r="1915" spans="1:12" ht="16.5" thickBot="1">
      <c r="A1915" s="100"/>
      <c r="B1915" s="71" t="s">
        <v>92</v>
      </c>
      <c r="C1915" s="575" t="s">
        <v>93</v>
      </c>
      <c r="D1915" s="575"/>
      <c r="E1915" s="575"/>
      <c r="F1915" s="575"/>
      <c r="G1915" s="575"/>
      <c r="H1915" s="575"/>
      <c r="I1915" s="575"/>
      <c r="J1915" s="575"/>
      <c r="K1915" s="575"/>
      <c r="L1915" s="576"/>
    </row>
    <row r="1916" spans="1:12" ht="16.5" thickBot="1">
      <c r="A1916" s="101"/>
      <c r="B1916" s="589" t="s">
        <v>94</v>
      </c>
      <c r="C1916" s="590"/>
      <c r="D1916" s="590"/>
      <c r="E1916" s="590"/>
      <c r="F1916" s="590"/>
      <c r="G1916" s="590"/>
      <c r="H1916" s="590"/>
      <c r="I1916" s="590"/>
      <c r="J1916" s="590"/>
      <c r="K1916" s="590"/>
      <c r="L1916" s="590"/>
    </row>
    <row r="1917" spans="1:12">
      <c r="A1917" s="101"/>
      <c r="B1917" s="71" t="s">
        <v>95</v>
      </c>
      <c r="C1917" s="559" t="s">
        <v>96</v>
      </c>
      <c r="D1917" s="559"/>
      <c r="E1917" s="559"/>
      <c r="F1917" s="559"/>
      <c r="G1917" s="559"/>
      <c r="H1917" s="559"/>
      <c r="I1917" s="559"/>
      <c r="J1917" s="559"/>
      <c r="K1917" s="559"/>
      <c r="L1917" s="560"/>
    </row>
    <row r="1918" spans="1:12">
      <c r="A1918" s="102" t="s">
        <v>199</v>
      </c>
      <c r="B1918" s="72" t="s">
        <v>98</v>
      </c>
      <c r="C1918" s="559" t="str">
        <f ca="1">OFFSET('Bateria indicadores proceso'!$F$3,(RIGHT(A1918,3)),1)</f>
        <v>Dirección de Asuntos Religiosos</v>
      </c>
      <c r="D1918" s="559"/>
      <c r="E1918" s="559"/>
      <c r="F1918" s="559"/>
      <c r="G1918" s="559"/>
      <c r="H1918" s="559"/>
      <c r="I1918" s="559"/>
      <c r="J1918" s="559"/>
      <c r="K1918" s="559"/>
      <c r="L1918" s="560"/>
    </row>
    <row r="1919" spans="1:12">
      <c r="A1919" s="101"/>
      <c r="B1919" s="72" t="s">
        <v>99</v>
      </c>
      <c r="C1919" s="559" t="str">
        <f ca="1">OFFSET('Bateria indicadores proceso'!$K$3,(RIGHT(A1918,3)),1)</f>
        <v xml:space="preserve">Certificados de existencia y representación legal de las entidades religiosas expedidos por la Dirección de Asuntos Religiosos </v>
      </c>
      <c r="D1919" s="559"/>
      <c r="E1919" s="559"/>
      <c r="F1919" s="559"/>
      <c r="G1919" s="559"/>
      <c r="H1919" s="559"/>
      <c r="I1919" s="559"/>
      <c r="J1919" s="559"/>
      <c r="K1919" s="559"/>
      <c r="L1919" s="560"/>
    </row>
    <row r="1920" spans="1:12">
      <c r="A1920" s="101"/>
      <c r="B1920" s="72" t="s">
        <v>100</v>
      </c>
      <c r="C1920" s="559" t="str">
        <f ca="1">OFFSET('Bateria indicadores proceso'!$I$3,(RIGHT(A1918,3)),1)</f>
        <v>Efectividad</v>
      </c>
      <c r="D1920" s="559"/>
      <c r="E1920" s="559"/>
      <c r="F1920" s="559"/>
      <c r="G1920" s="559"/>
      <c r="H1920" s="559"/>
      <c r="I1920" s="559"/>
      <c r="J1920" s="559"/>
      <c r="K1920" s="559"/>
      <c r="L1920" s="560"/>
    </row>
    <row r="1921" spans="1:12" ht="15.75" thickBot="1">
      <c r="A1921" s="103"/>
      <c r="B1921" s="73" t="s">
        <v>101</v>
      </c>
      <c r="C1921" s="559" t="str">
        <f ca="1">OFFSET('Bateria indicadores proceso'!$J$3,(RIGHT(A1918,3)),1)</f>
        <v>Mantener el porcentaje de expedición de certificados de existencia y representación legal dentro del tiempo establecido por la normativa, es importante porque garantiza la eficiencia y oportunidad en la atención de trámites, lo cual permite asegurar la transparencia, la eficiencia administrativa y la satisfacción de las entidades religiosas.</v>
      </c>
      <c r="D1921" s="559"/>
      <c r="E1921" s="559"/>
      <c r="F1921" s="559"/>
      <c r="G1921" s="559"/>
      <c r="H1921" s="559"/>
      <c r="I1921" s="559"/>
      <c r="J1921" s="559"/>
      <c r="K1921" s="559"/>
      <c r="L1921" s="560"/>
    </row>
    <row r="1922" spans="1:12" ht="16.5" thickBot="1">
      <c r="A1922" s="103"/>
      <c r="B1922" s="572" t="s">
        <v>102</v>
      </c>
      <c r="C1922" s="573"/>
      <c r="D1922" s="573"/>
      <c r="E1922" s="573"/>
      <c r="F1922" s="573"/>
      <c r="G1922" s="573"/>
      <c r="H1922" s="573"/>
      <c r="I1922" s="573"/>
      <c r="J1922" s="573"/>
      <c r="K1922" s="573"/>
      <c r="L1922" s="574"/>
    </row>
    <row r="1923" spans="1:12">
      <c r="A1923" s="101"/>
      <c r="B1923" s="71" t="s">
        <v>103</v>
      </c>
      <c r="C1923" s="559" t="str">
        <f ca="1">OFFSET('Bateria indicadores proceso'!$O$3,(RIGHT(A1918,3)),1)</f>
        <v>Porcentaje</v>
      </c>
      <c r="D1923" s="559"/>
      <c r="E1923" s="559"/>
      <c r="F1923" s="559"/>
      <c r="G1923" s="559"/>
      <c r="H1923" s="559"/>
      <c r="I1923" s="559"/>
      <c r="J1923" s="559"/>
      <c r="K1923" s="559"/>
      <c r="L1923" s="560"/>
    </row>
    <row r="1924" spans="1:12" ht="24">
      <c r="A1924" s="101"/>
      <c r="B1924" s="72" t="s">
        <v>104</v>
      </c>
      <c r="C1924" s="559"/>
      <c r="D1924" s="559"/>
      <c r="E1924" s="559"/>
      <c r="F1924" s="559"/>
      <c r="G1924" s="559"/>
      <c r="H1924" s="559"/>
      <c r="I1924" s="559"/>
      <c r="J1924" s="559"/>
      <c r="K1924" s="559"/>
      <c r="L1924" s="560"/>
    </row>
    <row r="1925" spans="1:12">
      <c r="A1925" s="101"/>
      <c r="B1925" s="72" t="s">
        <v>105</v>
      </c>
      <c r="C1925" s="559" t="str">
        <f ca="1">OFFSET('Bateria indicadores proceso'!$L$3,(RIGHT(A1918,3)),1)</f>
        <v>((Número certificaciones de representacion legal  de las entidades religiosas expedidos) /( número de solicitudes de certificación de representacion legal  de las entidades religiosas recibidos)) multiplicado por 100</v>
      </c>
      <c r="D1925" s="559"/>
      <c r="E1925" s="559"/>
      <c r="F1925" s="559"/>
      <c r="G1925" s="559"/>
      <c r="H1925" s="559"/>
      <c r="I1925" s="559"/>
      <c r="J1925" s="559"/>
      <c r="K1925" s="559"/>
      <c r="L1925" s="560"/>
    </row>
    <row r="1926" spans="1:12">
      <c r="A1926" s="101"/>
      <c r="B1926" s="72" t="s">
        <v>106</v>
      </c>
      <c r="C1926" s="559" t="str">
        <f ca="1">OFFSET('Bateria indicadores proceso'!$Z$3,(RIGHT(A1918,3)),1)</f>
        <v>Trimestral</v>
      </c>
      <c r="D1926" s="559"/>
      <c r="E1926" s="559"/>
      <c r="F1926" s="559"/>
      <c r="G1926" s="559"/>
      <c r="H1926" s="559"/>
      <c r="I1926" s="559"/>
      <c r="J1926" s="559"/>
      <c r="K1926" s="559"/>
      <c r="L1926" s="560"/>
    </row>
    <row r="1927" spans="1:12">
      <c r="A1927" s="101"/>
      <c r="B1927" s="72" t="s">
        <v>107</v>
      </c>
      <c r="C1927" s="559" t="str">
        <f ca="1">OFFSET('Bateria indicadores proceso'!$X$3,(RIGHT(A1918,3)),1)</f>
        <v>Registro público de entidades religiosas (Plataforma BPM)</v>
      </c>
      <c r="D1927" s="559"/>
      <c r="E1927" s="559"/>
      <c r="F1927" s="559"/>
      <c r="G1927" s="559"/>
      <c r="H1927" s="559"/>
      <c r="I1927" s="559"/>
      <c r="J1927" s="559"/>
      <c r="K1927" s="559"/>
      <c r="L1927" s="560"/>
    </row>
    <row r="1928" spans="1:12">
      <c r="A1928" s="101"/>
      <c r="B1928" s="72" t="s">
        <v>108</v>
      </c>
      <c r="C1928" s="561">
        <f ca="1">OFFSET('Bateria indicadores proceso'!$P$3,(RIGHT(A1918,3)),1)</f>
        <v>2019</v>
      </c>
      <c r="D1928" s="561"/>
      <c r="E1928" s="561"/>
      <c r="F1928" s="561"/>
      <c r="G1928" s="561"/>
      <c r="H1928" s="561"/>
      <c r="I1928" s="561"/>
      <c r="J1928" s="561"/>
      <c r="K1928" s="561"/>
      <c r="L1928" s="566"/>
    </row>
    <row r="1929" spans="1:12">
      <c r="A1929" s="101"/>
      <c r="B1929" s="72" t="s">
        <v>109</v>
      </c>
      <c r="C1929" s="561" t="str">
        <f ca="1">IF(C1923="Número",TEXT(OFFSET('Bateria indicadores proceso'!$Q$3,(RIGHT(A1918,3)),1),"######"),TEXT(OFFSET('Bateria indicadores proceso'!$Q$3,(RIGHT(A1918,3)),1),"0.0%"))</f>
        <v>100%</v>
      </c>
      <c r="D1929" s="561"/>
      <c r="E1929" s="561"/>
      <c r="F1929" s="561"/>
      <c r="G1929" s="561"/>
      <c r="H1929" s="561"/>
      <c r="I1929" s="561"/>
      <c r="J1929" s="561"/>
      <c r="K1929" s="561"/>
      <c r="L1929" s="566"/>
    </row>
    <row r="1930" spans="1:12">
      <c r="A1930" s="101"/>
      <c r="B1930" s="72" t="s">
        <v>110</v>
      </c>
      <c r="C1930" s="593">
        <f ca="1">+OFFSET('Bateria indicadores proceso'!$R$3,(RIGHT(A1918,3)),1)</f>
        <v>46022</v>
      </c>
      <c r="D1930" s="593"/>
      <c r="E1930" s="593"/>
      <c r="F1930" s="593"/>
      <c r="G1930" s="593"/>
      <c r="H1930" s="593"/>
      <c r="I1930" s="593"/>
      <c r="J1930" s="593"/>
      <c r="K1930" s="593"/>
      <c r="L1930" s="594"/>
    </row>
    <row r="1931" spans="1:12">
      <c r="A1931" s="101"/>
      <c r="B1931" s="72" t="s">
        <v>111</v>
      </c>
      <c r="C1931" s="561" t="str">
        <f ca="1">OFFSET('Bateria indicadores proceso'!$M$3,(RIGHT(A1918,3)),1)</f>
        <v>Mantener</v>
      </c>
      <c r="D1931" s="561"/>
      <c r="E1931" s="561"/>
      <c r="F1931" s="561"/>
      <c r="G1931" s="561"/>
      <c r="H1931" s="561"/>
      <c r="I1931" s="561"/>
      <c r="J1931" s="561"/>
      <c r="K1931" s="561"/>
      <c r="L1931" s="566"/>
    </row>
    <row r="1932" spans="1:12">
      <c r="A1932" s="101"/>
      <c r="B1932" s="72" t="s">
        <v>112</v>
      </c>
      <c r="C1932" s="561" t="str">
        <f ca="1">OFFSET('Bateria indicadores proceso'!$N$3,(RIGHT(A1918,3)),1)</f>
        <v>Stock</v>
      </c>
      <c r="D1932" s="561"/>
      <c r="E1932" s="561"/>
      <c r="F1932" s="561"/>
      <c r="G1932" s="561"/>
      <c r="H1932" s="561"/>
      <c r="I1932" s="561"/>
      <c r="J1932" s="561"/>
      <c r="K1932" s="561"/>
      <c r="L1932" s="566"/>
    </row>
    <row r="1933" spans="1:12">
      <c r="A1933" s="101"/>
      <c r="B1933" s="72" t="s">
        <v>113</v>
      </c>
      <c r="C1933" s="561" t="str">
        <f ca="1">IF(C1923="Número",TEXT(OFFSET('Bateria indicadores proceso'!$W$3,(RIGHT(A1918,3)),1),"######"),TEXT(OFFSET('Bateria indicadores proceso'!$W$3,(RIGHT(A1918,3)),1),"0.0%"))</f>
        <v>100%</v>
      </c>
      <c r="D1933" s="561"/>
      <c r="E1933" s="561"/>
      <c r="F1933" s="561"/>
      <c r="G1933" s="561"/>
      <c r="H1933" s="561"/>
      <c r="I1933" s="561"/>
      <c r="J1933" s="561"/>
      <c r="K1933" s="561"/>
      <c r="L1933" s="566"/>
    </row>
    <row r="1934" spans="1:12">
      <c r="A1934" s="101"/>
      <c r="B1934" s="595" t="s">
        <v>114</v>
      </c>
      <c r="C1934" s="70" t="s">
        <v>115</v>
      </c>
      <c r="D1934" s="70" t="s">
        <v>116</v>
      </c>
      <c r="E1934" s="70" t="s">
        <v>117</v>
      </c>
      <c r="F1934" s="70" t="s">
        <v>118</v>
      </c>
      <c r="J1934" s="75"/>
      <c r="K1934" s="75"/>
      <c r="L1934" s="76"/>
    </row>
    <row r="1935" spans="1:12">
      <c r="A1935" s="101"/>
      <c r="B1935" s="595"/>
      <c r="C1935" s="70" t="str">
        <f ca="1">IF(C1923="Número",TEXT(OFFSET('Bateria indicadores proceso'!$S$3,(RIGHT(A1918,3)),1),"######"),TEXT(OFFSET('Bateria indicadores proceso'!$S$3,(RIGHT(A1918,3)),1),"0.0%"))</f>
        <v>100%</v>
      </c>
      <c r="D1935" s="70" t="str">
        <f ca="1">IF(C1923="Número",TEXT(OFFSET('Bateria indicadores proceso'!$T$3,(RIGHT(A1918,3)),1),"######"),TEXT(OFFSET('Bateria indicadores proceso'!$T$3,(RIGHT(A1918,3)),1),"0.0%"))</f>
        <v>100%</v>
      </c>
      <c r="E1935" s="70" t="str">
        <f ca="1">IF(C1923="Número",TEXT(OFFSET('Bateria indicadores proceso'!$U$3,(RIGHT(A1918,3)),1),"######"),TEXT(OFFSET('Bateria indicadores proceso'!$U$3,(RIGHT(A1918,3)),1),"0.0%"))</f>
        <v>100%</v>
      </c>
      <c r="F1935" s="70" t="str">
        <f ca="1">IF(C1923="Número",TEXT(OFFSET('Bateria indicadores proceso'!$V$3,(RIGHT(A1918,3)),1),"######"),TEXT(OFFSET('Bateria indicadores proceso'!$V$3,(RIGHT(A1918,3)),1),"0.0%"))</f>
        <v>100%</v>
      </c>
      <c r="J1935" s="77"/>
      <c r="K1935" s="77"/>
      <c r="L1935" s="78"/>
    </row>
    <row r="1936" spans="1:12">
      <c r="A1936" s="101"/>
      <c r="B1936" s="600" t="s">
        <v>119</v>
      </c>
      <c r="C1936" s="567" t="s">
        <v>120</v>
      </c>
      <c r="D1936" s="568"/>
      <c r="E1936" s="567" t="s">
        <v>121</v>
      </c>
      <c r="F1936" s="568"/>
      <c r="G1936" s="567" t="s">
        <v>122</v>
      </c>
      <c r="H1936" s="568"/>
      <c r="I1936" s="567" t="s">
        <v>123</v>
      </c>
      <c r="J1936" s="568"/>
      <c r="K1936" s="567" t="s">
        <v>124</v>
      </c>
      <c r="L1936" s="569"/>
    </row>
    <row r="1937" spans="1:12">
      <c r="A1937" s="101"/>
      <c r="B1937" s="601"/>
      <c r="C1937" s="570" t="s">
        <v>125</v>
      </c>
      <c r="D1937" s="571"/>
      <c r="E1937" s="577" t="s">
        <v>126</v>
      </c>
      <c r="F1937" s="578"/>
      <c r="G1937" s="579" t="s">
        <v>127</v>
      </c>
      <c r="H1937" s="580"/>
      <c r="I1937" s="581" t="s">
        <v>128</v>
      </c>
      <c r="J1937" s="582"/>
      <c r="K1937" s="583" t="s">
        <v>129</v>
      </c>
      <c r="L1937" s="584"/>
    </row>
    <row r="1938" spans="1:12">
      <c r="A1938" s="101"/>
      <c r="B1938" s="602"/>
      <c r="C1938" s="567" t="s">
        <v>130</v>
      </c>
      <c r="D1938" s="568"/>
      <c r="E1938" s="567" t="s">
        <v>131</v>
      </c>
      <c r="F1938" s="568"/>
      <c r="G1938" s="585" t="s">
        <v>132</v>
      </c>
      <c r="H1938" s="568"/>
      <c r="I1938" s="567" t="s">
        <v>133</v>
      </c>
      <c r="J1938" s="568"/>
      <c r="K1938" s="567" t="s">
        <v>134</v>
      </c>
      <c r="L1938" s="569"/>
    </row>
    <row r="1939" spans="1:12">
      <c r="A1939" s="101"/>
      <c r="B1939" s="72" t="s">
        <v>135</v>
      </c>
      <c r="C1939" s="559" t="str">
        <f ca="1">OFFSET('Bateria indicadores proceso'!$Y$3,(RIGHT(A1918,3)),1)</f>
        <v>Reportes del Sistema de gestión documental BPM, tablero de reparto  y registro de custodia de los expedientes; clasificadospor trámites así: 1. Certificados de existencia y representacion legal</v>
      </c>
      <c r="D1939" s="559"/>
      <c r="E1939" s="559"/>
      <c r="F1939" s="559"/>
      <c r="G1939" s="559"/>
      <c r="H1939" s="559"/>
      <c r="I1939" s="559"/>
      <c r="J1939" s="559"/>
      <c r="K1939" s="559"/>
      <c r="L1939" s="560"/>
    </row>
    <row r="1940" spans="1:12">
      <c r="A1940" s="101"/>
      <c r="B1940" s="591" t="s">
        <v>136</v>
      </c>
      <c r="C1940" s="561" t="s">
        <v>137</v>
      </c>
      <c r="D1940" s="561"/>
      <c r="E1940" s="561"/>
      <c r="F1940" s="562" t="str">
        <f ca="1">OFFSET('Bateria indicadores proceso'!$B$3,(RIGHT(A1918,3)),1)</f>
        <v>GESTIÓN PARA LA PROTECCIÓN DE LOS DERECHOS</v>
      </c>
      <c r="G1940" s="562"/>
      <c r="H1940" s="562"/>
      <c r="I1940" s="562"/>
      <c r="J1940" s="562"/>
      <c r="K1940" s="562"/>
      <c r="L1940" s="563"/>
    </row>
    <row r="1941" spans="1:12">
      <c r="A1941" s="101"/>
      <c r="B1941" s="592"/>
      <c r="C1941" s="561" t="s">
        <v>138</v>
      </c>
      <c r="D1941" s="561"/>
      <c r="E1941" s="561"/>
      <c r="F1941" s="564">
        <f ca="1">OFFSET('Bateria indicadores proceso'!$C$3,(RIGHT(A1918,3)),1)</f>
        <v>0.11</v>
      </c>
      <c r="G1941" s="564"/>
      <c r="H1941" s="564"/>
      <c r="I1941" s="564"/>
      <c r="J1941" s="564"/>
      <c r="K1941" s="564"/>
      <c r="L1941" s="565"/>
    </row>
    <row r="1942" spans="1:12" ht="15.75" thickBot="1">
      <c r="A1942" s="101"/>
      <c r="B1942" s="592"/>
      <c r="C1942" s="561" t="s">
        <v>139</v>
      </c>
      <c r="D1942" s="561"/>
      <c r="E1942" s="561"/>
      <c r="F1942" s="564">
        <f ca="1">OFFSET('Bateria indicadores proceso'!$E$3,(RIGHT(A1918,3)),1)</f>
        <v>0.04</v>
      </c>
      <c r="G1942" s="564"/>
      <c r="H1942" s="564"/>
      <c r="I1942" s="564"/>
      <c r="J1942" s="564"/>
      <c r="K1942" s="564"/>
      <c r="L1942" s="565"/>
    </row>
    <row r="1943" spans="1:12" ht="16.5" thickBot="1">
      <c r="A1943" s="101"/>
      <c r="B1943" s="572" t="s">
        <v>140</v>
      </c>
      <c r="C1943" s="573"/>
      <c r="D1943" s="573"/>
      <c r="E1943" s="573"/>
      <c r="F1943" s="573"/>
      <c r="G1943" s="573"/>
      <c r="H1943" s="573"/>
      <c r="I1943" s="573"/>
      <c r="J1943" s="573"/>
      <c r="K1943" s="573"/>
      <c r="L1943" s="574"/>
    </row>
    <row r="1944" spans="1:12">
      <c r="A1944" s="101"/>
      <c r="B1944" s="72" t="s">
        <v>142</v>
      </c>
      <c r="C1944" s="561" t="str">
        <f ca="1">OFFSET('Bateria indicadores proceso'!$G$3,(RIGHT(A1918,3)),1)</f>
        <v>Director</v>
      </c>
      <c r="D1944" s="561"/>
      <c r="E1944" s="561"/>
      <c r="F1944" s="561"/>
      <c r="G1944" s="561"/>
      <c r="H1944" s="561"/>
      <c r="I1944" s="561"/>
      <c r="J1944" s="561"/>
      <c r="K1944" s="561"/>
      <c r="L1944" s="566"/>
    </row>
    <row r="1945" spans="1:12">
      <c r="A1945" s="101"/>
      <c r="B1945" s="72" t="s">
        <v>143</v>
      </c>
      <c r="C1945" s="561" t="str">
        <f ca="1">OFFSET('Bateria indicadores proceso'!$F$3,(RIGHT(A1918,3)),1)</f>
        <v>Dirección de Asuntos Religiosos</v>
      </c>
      <c r="D1945" s="561"/>
      <c r="E1945" s="561"/>
      <c r="F1945" s="561"/>
      <c r="G1945" s="561"/>
      <c r="H1945" s="561"/>
      <c r="I1945" s="561"/>
      <c r="J1945" s="561"/>
      <c r="K1945" s="561"/>
      <c r="L1945" s="566"/>
    </row>
    <row r="1946" spans="1:12">
      <c r="A1946" s="101"/>
      <c r="B1946" s="72" t="s">
        <v>144</v>
      </c>
      <c r="C1946" s="598" t="str">
        <f ca="1">OFFSET('Bateria indicadores proceso'!$H$3,(RIGHT(A1882,3)),1)</f>
        <v>richard.gamboa@mininterior.gov.co</v>
      </c>
      <c r="D1946" s="598"/>
      <c r="E1946" s="598"/>
      <c r="F1946" s="598"/>
      <c r="G1946" s="598"/>
      <c r="H1946" s="598"/>
      <c r="I1946" s="598"/>
      <c r="J1946" s="598"/>
      <c r="K1946" s="598"/>
      <c r="L1946" s="599"/>
    </row>
    <row r="1947" spans="1:12" ht="15.75" thickBot="1">
      <c r="A1947" s="104"/>
      <c r="B1947" s="74" t="s">
        <v>145</v>
      </c>
      <c r="C1947" s="596" t="s">
        <v>146</v>
      </c>
      <c r="D1947" s="596"/>
      <c r="E1947" s="596"/>
      <c r="F1947" s="596"/>
      <c r="G1947" s="596"/>
      <c r="H1947" s="596"/>
      <c r="I1947" s="596"/>
      <c r="J1947" s="596"/>
      <c r="K1947" s="596"/>
      <c r="L1947" s="597"/>
    </row>
    <row r="1948" spans="1:12" ht="15.75" thickBot="1"/>
    <row r="1949" spans="1:12" ht="21.75" thickBot="1">
      <c r="A1949" s="586" t="s">
        <v>89</v>
      </c>
      <c r="B1949" s="587"/>
      <c r="C1949" s="587"/>
      <c r="D1949" s="587"/>
      <c r="E1949" s="587"/>
      <c r="F1949" s="587"/>
      <c r="G1949" s="587"/>
      <c r="H1949" s="587"/>
      <c r="I1949" s="587"/>
      <c r="J1949" s="587"/>
      <c r="K1949" s="587"/>
      <c r="L1949" s="588"/>
    </row>
    <row r="1950" spans="1:12" ht="32.25" thickBot="1">
      <c r="A1950" s="69" t="s">
        <v>90</v>
      </c>
      <c r="B1950" s="589" t="s">
        <v>91</v>
      </c>
      <c r="C1950" s="589"/>
      <c r="D1950" s="589"/>
      <c r="E1950" s="589"/>
      <c r="F1950" s="589"/>
      <c r="G1950" s="589"/>
      <c r="H1950" s="589"/>
      <c r="I1950" s="589"/>
      <c r="J1950" s="589"/>
      <c r="K1950" s="589"/>
      <c r="L1950" s="589"/>
    </row>
    <row r="1951" spans="1:12" ht="16.5" thickBot="1">
      <c r="A1951" s="100"/>
      <c r="B1951" s="71" t="s">
        <v>92</v>
      </c>
      <c r="C1951" s="575" t="s">
        <v>93</v>
      </c>
      <c r="D1951" s="575"/>
      <c r="E1951" s="575"/>
      <c r="F1951" s="575"/>
      <c r="G1951" s="575"/>
      <c r="H1951" s="575"/>
      <c r="I1951" s="575"/>
      <c r="J1951" s="575"/>
      <c r="K1951" s="575"/>
      <c r="L1951" s="576"/>
    </row>
    <row r="1952" spans="1:12" ht="16.5" thickBot="1">
      <c r="A1952" s="101"/>
      <c r="B1952" s="589" t="s">
        <v>94</v>
      </c>
      <c r="C1952" s="590"/>
      <c r="D1952" s="590"/>
      <c r="E1952" s="590"/>
      <c r="F1952" s="590"/>
      <c r="G1952" s="590"/>
      <c r="H1952" s="590"/>
      <c r="I1952" s="590"/>
      <c r="J1952" s="590"/>
      <c r="K1952" s="590"/>
      <c r="L1952" s="590"/>
    </row>
    <row r="1953" spans="1:12">
      <c r="A1953" s="101"/>
      <c r="B1953" s="71" t="s">
        <v>95</v>
      </c>
      <c r="C1953" s="559" t="s">
        <v>96</v>
      </c>
      <c r="D1953" s="559"/>
      <c r="E1953" s="559"/>
      <c r="F1953" s="559"/>
      <c r="G1953" s="559"/>
      <c r="H1953" s="559"/>
      <c r="I1953" s="559"/>
      <c r="J1953" s="559"/>
      <c r="K1953" s="559"/>
      <c r="L1953" s="560"/>
    </row>
    <row r="1954" spans="1:12">
      <c r="A1954" s="102" t="s">
        <v>200</v>
      </c>
      <c r="B1954" s="72" t="s">
        <v>98</v>
      </c>
      <c r="C1954" s="559" t="str">
        <f ca="1">OFFSET('Bateria indicadores proceso'!$F$3,(RIGHT(A1954,3)),1)</f>
        <v>Subdirección de Proyectos para la Seguridad y la Convivencia Ciudadana</v>
      </c>
      <c r="D1954" s="559"/>
      <c r="E1954" s="559"/>
      <c r="F1954" s="559"/>
      <c r="G1954" s="559"/>
      <c r="H1954" s="559"/>
      <c r="I1954" s="559"/>
      <c r="J1954" s="559"/>
      <c r="K1954" s="559"/>
      <c r="L1954" s="560"/>
    </row>
    <row r="1955" spans="1:12">
      <c r="A1955" s="101"/>
      <c r="B1955" s="72" t="s">
        <v>99</v>
      </c>
      <c r="C1955" s="559" t="str">
        <f ca="1">OFFSET('Bateria indicadores proceso'!$K$3,(RIGHT(A1954,3)),1)</f>
        <v xml:space="preserve">Jornadas integrales de fortalecimiento y socialización de la oferta institucional realizadas a entes territoriales y Fuerza Pública																</v>
      </c>
      <c r="D1955" s="559"/>
      <c r="E1955" s="559"/>
      <c r="F1955" s="559"/>
      <c r="G1955" s="559"/>
      <c r="H1955" s="559"/>
      <c r="I1955" s="559"/>
      <c r="J1955" s="559"/>
      <c r="K1955" s="559"/>
      <c r="L1955" s="560"/>
    </row>
    <row r="1956" spans="1:12">
      <c r="A1956" s="101"/>
      <c r="B1956" s="72" t="s">
        <v>100</v>
      </c>
      <c r="C1956" s="559" t="str">
        <f ca="1">OFFSET('Bateria indicadores proceso'!$I$3,(RIGHT(A1954,3)),1)</f>
        <v>Eficacia</v>
      </c>
      <c r="D1956" s="559"/>
      <c r="E1956" s="559"/>
      <c r="F1956" s="559"/>
      <c r="G1956" s="559"/>
      <c r="H1956" s="559"/>
      <c r="I1956" s="559"/>
      <c r="J1956" s="559"/>
      <c r="K1956" s="559"/>
      <c r="L1956" s="560"/>
    </row>
    <row r="1957" spans="1:12" ht="15.75" thickBot="1">
      <c r="A1957" s="103"/>
      <c r="B1957" s="73" t="s">
        <v>101</v>
      </c>
      <c r="C1957" s="559" t="str">
        <f ca="1">OFFSET('Bateria indicadores proceso'!$J$3,(RIGHT(A1954,3)),1)</f>
        <v xml:space="preserve">Mide el número de jornadas integrales realizadas por la Subdirección de Proyectos para la Seguridad y Convivencia Coudadana a entes territoriales y Fuerza Pública, orientadas a socializar la oferta institucional y fortalecer capacidades en formulación, gestión y radicación de proyectos a través del Sistema de Información de Proyectos Institucionales (SIPI). Estas jornadas buscan facilitar la adecuada estructuración de las iniciativas y su tránsito por el proceso de viabilización técnica, financiera y jurídica. El objetivo del indicador es mantener el número de jornadas ejecutadas conforme a la programación establecida para la vigencia 2026.									</v>
      </c>
      <c r="D1957" s="559"/>
      <c r="E1957" s="559"/>
      <c r="F1957" s="559"/>
      <c r="G1957" s="559"/>
      <c r="H1957" s="559"/>
      <c r="I1957" s="559"/>
      <c r="J1957" s="559"/>
      <c r="K1957" s="559"/>
      <c r="L1957" s="560"/>
    </row>
    <row r="1958" spans="1:12" ht="16.5" thickBot="1">
      <c r="A1958" s="103"/>
      <c r="B1958" s="572" t="s">
        <v>102</v>
      </c>
      <c r="C1958" s="573"/>
      <c r="D1958" s="573"/>
      <c r="E1958" s="573"/>
      <c r="F1958" s="573"/>
      <c r="G1958" s="573"/>
      <c r="H1958" s="573"/>
      <c r="I1958" s="573"/>
      <c r="J1958" s="573"/>
      <c r="K1958" s="573"/>
      <c r="L1958" s="574"/>
    </row>
    <row r="1959" spans="1:12">
      <c r="A1959" s="101"/>
      <c r="B1959" s="71" t="s">
        <v>103</v>
      </c>
      <c r="C1959" s="559" t="str">
        <f ca="1">OFFSET('Bateria indicadores proceso'!$O$3,(RIGHT(A1954,3)),1)</f>
        <v>Número</v>
      </c>
      <c r="D1959" s="559"/>
      <c r="E1959" s="559"/>
      <c r="F1959" s="559"/>
      <c r="G1959" s="559"/>
      <c r="H1959" s="559"/>
      <c r="I1959" s="559"/>
      <c r="J1959" s="559"/>
      <c r="K1959" s="559"/>
      <c r="L1959" s="560"/>
    </row>
    <row r="1960" spans="1:12" ht="24">
      <c r="A1960" s="101"/>
      <c r="B1960" s="72" t="s">
        <v>104</v>
      </c>
      <c r="C1960" s="559"/>
      <c r="D1960" s="559"/>
      <c r="E1960" s="559"/>
      <c r="F1960" s="559"/>
      <c r="G1960" s="559"/>
      <c r="H1960" s="559"/>
      <c r="I1960" s="559"/>
      <c r="J1960" s="559"/>
      <c r="K1960" s="559"/>
      <c r="L1960" s="560"/>
    </row>
    <row r="1961" spans="1:12">
      <c r="A1961" s="101"/>
      <c r="B1961" s="72" t="s">
        <v>105</v>
      </c>
      <c r="C1961" s="559" t="str">
        <f ca="1">OFFSET('Bateria indicadores proceso'!$L$3,(RIGHT(A1954,3)),1)</f>
        <v xml:space="preserve">Número de jornadas integrales de fortalecimiento y socialización de la oferta institucional realizadas en el periodo.									</v>
      </c>
      <c r="D1961" s="559"/>
      <c r="E1961" s="559"/>
      <c r="F1961" s="559"/>
      <c r="G1961" s="559"/>
      <c r="H1961" s="559"/>
      <c r="I1961" s="559"/>
      <c r="J1961" s="559"/>
      <c r="K1961" s="559"/>
      <c r="L1961" s="560"/>
    </row>
    <row r="1962" spans="1:12">
      <c r="A1962" s="101"/>
      <c r="B1962" s="72" t="s">
        <v>106</v>
      </c>
      <c r="C1962" s="559" t="str">
        <f ca="1">OFFSET('Bateria indicadores proceso'!$Z$3,(RIGHT(A1954,3)),1)</f>
        <v>Semestral</v>
      </c>
      <c r="D1962" s="559"/>
      <c r="E1962" s="559"/>
      <c r="F1962" s="559"/>
      <c r="G1962" s="559"/>
      <c r="H1962" s="559"/>
      <c r="I1962" s="559"/>
      <c r="J1962" s="559"/>
      <c r="K1962" s="559"/>
      <c r="L1962" s="560"/>
    </row>
    <row r="1963" spans="1:12">
      <c r="A1963" s="101"/>
      <c r="B1963" s="72" t="s">
        <v>107</v>
      </c>
      <c r="C1963" s="559" t="str">
        <f ca="1">OFFSET('Bateria indicadores proceso'!$X$3,(RIGHT(A1954,3)),1)</f>
        <v>Registro consolidado de jornadas de fortalecimiento y socialización administrado por la Subdirección; reportes del Sistema de Información de Proyectos Institucionales (SIPI), cuando aplique.</v>
      </c>
      <c r="D1963" s="559"/>
      <c r="E1963" s="559"/>
      <c r="F1963" s="559"/>
      <c r="G1963" s="559"/>
      <c r="H1963" s="559"/>
      <c r="I1963" s="559"/>
      <c r="J1963" s="559"/>
      <c r="K1963" s="559"/>
      <c r="L1963" s="560"/>
    </row>
    <row r="1964" spans="1:12">
      <c r="A1964" s="101"/>
      <c r="B1964" s="72" t="s">
        <v>108</v>
      </c>
      <c r="C1964" s="561" t="str">
        <f ca="1">OFFSET('Bateria indicadores proceso'!$P$3,(RIGHT(A1954,3)),1)</f>
        <v>No aplica</v>
      </c>
      <c r="D1964" s="561"/>
      <c r="E1964" s="561"/>
      <c r="F1964" s="561"/>
      <c r="G1964" s="561"/>
      <c r="H1964" s="561"/>
      <c r="I1964" s="561"/>
      <c r="J1964" s="561"/>
      <c r="K1964" s="561"/>
      <c r="L1964" s="566"/>
    </row>
    <row r="1965" spans="1:12">
      <c r="A1965" s="101"/>
      <c r="B1965" s="72" t="s">
        <v>109</v>
      </c>
      <c r="C1965" s="561" t="str">
        <f ca="1">IF(C1959="Número",TEXT(OFFSET('Bateria indicadores proceso'!$Q$3,(RIGHT(A1954,3)),1),"######"),TEXT(OFFSET('Bateria indicadores proceso'!$Q$3,(RIGHT(A1954,3)),1),"0.0%"))</f>
        <v>No aplica</v>
      </c>
      <c r="D1965" s="561"/>
      <c r="E1965" s="561"/>
      <c r="F1965" s="561"/>
      <c r="G1965" s="561"/>
      <c r="H1965" s="561"/>
      <c r="I1965" s="561"/>
      <c r="J1965" s="561"/>
      <c r="K1965" s="561"/>
      <c r="L1965" s="566"/>
    </row>
    <row r="1966" spans="1:12">
      <c r="A1966" s="101"/>
      <c r="B1966" s="72" t="s">
        <v>110</v>
      </c>
      <c r="C1966" s="593" t="str">
        <f ca="1">+OFFSET('Bateria indicadores proceso'!$R$3,(RIGHT(A1954,3)),1)</f>
        <v>No aplica</v>
      </c>
      <c r="D1966" s="593"/>
      <c r="E1966" s="593"/>
      <c r="F1966" s="593"/>
      <c r="G1966" s="593"/>
      <c r="H1966" s="593"/>
      <c r="I1966" s="593"/>
      <c r="J1966" s="593"/>
      <c r="K1966" s="593"/>
      <c r="L1966" s="594"/>
    </row>
    <row r="1967" spans="1:12">
      <c r="A1967" s="101"/>
      <c r="B1967" s="72" t="s">
        <v>111</v>
      </c>
      <c r="C1967" s="561" t="str">
        <f ca="1">OFFSET('Bateria indicadores proceso'!$M$3,(RIGHT(A1954,3)),1)</f>
        <v>Incrementar</v>
      </c>
      <c r="D1967" s="561"/>
      <c r="E1967" s="561"/>
      <c r="F1967" s="561"/>
      <c r="G1967" s="561"/>
      <c r="H1967" s="561"/>
      <c r="I1967" s="561"/>
      <c r="J1967" s="561"/>
      <c r="K1967" s="561"/>
      <c r="L1967" s="566"/>
    </row>
    <row r="1968" spans="1:12">
      <c r="A1968" s="101"/>
      <c r="B1968" s="72" t="s">
        <v>112</v>
      </c>
      <c r="C1968" s="561" t="str">
        <f ca="1">OFFSET('Bateria indicadores proceso'!$N$3,(RIGHT(A1954,3)),1)</f>
        <v>Acumulado</v>
      </c>
      <c r="D1968" s="561"/>
      <c r="E1968" s="561"/>
      <c r="F1968" s="561"/>
      <c r="G1968" s="561"/>
      <c r="H1968" s="561"/>
      <c r="I1968" s="561"/>
      <c r="J1968" s="561"/>
      <c r="K1968" s="561"/>
      <c r="L1968" s="566"/>
    </row>
    <row r="1969" spans="1:12">
      <c r="A1969" s="101"/>
      <c r="B1969" s="72" t="s">
        <v>113</v>
      </c>
      <c r="C1969" s="561" t="str">
        <f ca="1">IF(C1959="Número",TEXT(OFFSET('Bateria indicadores proceso'!$W$3,(RIGHT(A1954,3)),1),"######"),TEXT(OFFSET('Bateria indicadores proceso'!$W$3,(RIGHT(A1954,3)),1),"0.0%"))</f>
        <v>12</v>
      </c>
      <c r="D1969" s="561"/>
      <c r="E1969" s="561"/>
      <c r="F1969" s="561"/>
      <c r="G1969" s="561"/>
      <c r="H1969" s="561"/>
      <c r="I1969" s="561"/>
      <c r="J1969" s="561"/>
      <c r="K1969" s="561"/>
      <c r="L1969" s="566"/>
    </row>
    <row r="1970" spans="1:12">
      <c r="A1970" s="101"/>
      <c r="B1970" s="595" t="s">
        <v>114</v>
      </c>
      <c r="C1970" s="70" t="s">
        <v>115</v>
      </c>
      <c r="D1970" s="70" t="s">
        <v>116</v>
      </c>
      <c r="E1970" s="70" t="s">
        <v>117</v>
      </c>
      <c r="F1970" s="70" t="s">
        <v>118</v>
      </c>
      <c r="J1970" s="75"/>
      <c r="K1970" s="75"/>
      <c r="L1970" s="76"/>
    </row>
    <row r="1971" spans="1:12">
      <c r="A1971" s="101"/>
      <c r="B1971" s="595"/>
      <c r="C1971" s="70" t="str">
        <f ca="1">IF(C1959="Número",TEXT(OFFSET('Bateria indicadores proceso'!$S$3,(RIGHT(A1954,3)),1),"######"),TEXT(OFFSET('Bateria indicadores proceso'!$S$3,(RIGHT(A1954,3)),1),"0.0%"))</f>
        <v/>
      </c>
      <c r="D1971" s="70" t="str">
        <f ca="1">IF(C1959="Número",TEXT(OFFSET('Bateria indicadores proceso'!$T$3,(RIGHT(A1954,3)),1),"######"),TEXT(OFFSET('Bateria indicadores proceso'!$T$3,(RIGHT(A1954,3)),1),"0.0%"))</f>
        <v>6</v>
      </c>
      <c r="E1971" s="70" t="str">
        <f ca="1">IF(C1959="Número",TEXT(OFFSET('Bateria indicadores proceso'!$U$3,(RIGHT(A1954,3)),1),"######"),TEXT(OFFSET('Bateria indicadores proceso'!$U$3,(RIGHT(A1954,3)),1),"0.0%"))</f>
        <v/>
      </c>
      <c r="F1971" s="70" t="str">
        <f ca="1">IF(C1959="Número",TEXT(OFFSET('Bateria indicadores proceso'!$V$3,(RIGHT(A1954,3)),1),"######"),TEXT(OFFSET('Bateria indicadores proceso'!$V$3,(RIGHT(A1954,3)),1),"0.0%"))</f>
        <v>6</v>
      </c>
      <c r="J1971" s="77"/>
      <c r="K1971" s="77"/>
      <c r="L1971" s="78"/>
    </row>
    <row r="1972" spans="1:12">
      <c r="A1972" s="101"/>
      <c r="B1972" s="600" t="s">
        <v>119</v>
      </c>
      <c r="C1972" s="567" t="s">
        <v>120</v>
      </c>
      <c r="D1972" s="568"/>
      <c r="E1972" s="567" t="s">
        <v>121</v>
      </c>
      <c r="F1972" s="568"/>
      <c r="G1972" s="567" t="s">
        <v>122</v>
      </c>
      <c r="H1972" s="568"/>
      <c r="I1972" s="567" t="s">
        <v>123</v>
      </c>
      <c r="J1972" s="568"/>
      <c r="K1972" s="567" t="s">
        <v>124</v>
      </c>
      <c r="L1972" s="569"/>
    </row>
    <row r="1973" spans="1:12">
      <c r="A1973" s="101"/>
      <c r="B1973" s="601"/>
      <c r="C1973" s="570" t="s">
        <v>125</v>
      </c>
      <c r="D1973" s="571"/>
      <c r="E1973" s="577" t="s">
        <v>126</v>
      </c>
      <c r="F1973" s="578"/>
      <c r="G1973" s="579" t="s">
        <v>127</v>
      </c>
      <c r="H1973" s="580"/>
      <c r="I1973" s="581" t="s">
        <v>128</v>
      </c>
      <c r="J1973" s="582"/>
      <c r="K1973" s="583" t="s">
        <v>129</v>
      </c>
      <c r="L1973" s="584"/>
    </row>
    <row r="1974" spans="1:12">
      <c r="A1974" s="101"/>
      <c r="B1974" s="602"/>
      <c r="C1974" s="567" t="s">
        <v>130</v>
      </c>
      <c r="D1974" s="568"/>
      <c r="E1974" s="567" t="s">
        <v>131</v>
      </c>
      <c r="F1974" s="568"/>
      <c r="G1974" s="585" t="s">
        <v>132</v>
      </c>
      <c r="H1974" s="568"/>
      <c r="I1974" s="567" t="s">
        <v>133</v>
      </c>
      <c r="J1974" s="568"/>
      <c r="K1974" s="567" t="s">
        <v>134</v>
      </c>
      <c r="L1974" s="569"/>
    </row>
    <row r="1975" spans="1:12">
      <c r="A1975" s="101"/>
      <c r="B1975" s="72" t="s">
        <v>135</v>
      </c>
      <c r="C1975" s="559" t="str">
        <f ca="1">OFFSET('Bateria indicadores proceso'!$Y$3,(RIGHT(A1954,3)),1)</f>
        <v>Listados de asistencia firmados; informes de ejecución de jornadas; reportes del registro de jornadas en el SIPI (cuando aplique); material de soporte (actas, memorandos de convocatoria y evidencias fotográficas).</v>
      </c>
      <c r="D1975" s="559"/>
      <c r="E1975" s="559"/>
      <c r="F1975" s="559"/>
      <c r="G1975" s="559"/>
      <c r="H1975" s="559"/>
      <c r="I1975" s="559"/>
      <c r="J1975" s="559"/>
      <c r="K1975" s="559"/>
      <c r="L1975" s="560"/>
    </row>
    <row r="1976" spans="1:12">
      <c r="A1976" s="101"/>
      <c r="B1976" s="591" t="s">
        <v>136</v>
      </c>
      <c r="C1976" s="561" t="s">
        <v>137</v>
      </c>
      <c r="D1976" s="561"/>
      <c r="E1976" s="561"/>
      <c r="F1976" s="562" t="str">
        <f ca="1">OFFSET('Bateria indicadores proceso'!$B$3,(RIGHT(A1954,3)),1)</f>
        <v>GESTIÓN PARA LA PROTECCIÓN DE LOS DERECHOS</v>
      </c>
      <c r="G1976" s="562"/>
      <c r="H1976" s="562"/>
      <c r="I1976" s="562"/>
      <c r="J1976" s="562"/>
      <c r="K1976" s="562"/>
      <c r="L1976" s="563"/>
    </row>
    <row r="1977" spans="1:12">
      <c r="A1977" s="101"/>
      <c r="B1977" s="592"/>
      <c r="C1977" s="561" t="s">
        <v>138</v>
      </c>
      <c r="D1977" s="561"/>
      <c r="E1977" s="561"/>
      <c r="F1977" s="564">
        <f ca="1">OFFSET('Bateria indicadores proceso'!$C$3,(RIGHT(A1954,3)),1)</f>
        <v>0.11</v>
      </c>
      <c r="G1977" s="564"/>
      <c r="H1977" s="564"/>
      <c r="I1977" s="564"/>
      <c r="J1977" s="564"/>
      <c r="K1977" s="564"/>
      <c r="L1977" s="565"/>
    </row>
    <row r="1978" spans="1:12" ht="15.75" thickBot="1">
      <c r="A1978" s="101"/>
      <c r="B1978" s="592"/>
      <c r="C1978" s="561" t="s">
        <v>139</v>
      </c>
      <c r="D1978" s="561"/>
      <c r="E1978" s="561"/>
      <c r="F1978" s="564">
        <f ca="1">OFFSET('Bateria indicadores proceso'!$E$3,(RIGHT(A1954,3)),1)</f>
        <v>0.05</v>
      </c>
      <c r="G1978" s="564"/>
      <c r="H1978" s="564"/>
      <c r="I1978" s="564"/>
      <c r="J1978" s="564"/>
      <c r="K1978" s="564"/>
      <c r="L1978" s="565"/>
    </row>
    <row r="1979" spans="1:12" ht="16.5" thickBot="1">
      <c r="A1979" s="101"/>
      <c r="B1979" s="572" t="s">
        <v>140</v>
      </c>
      <c r="C1979" s="573"/>
      <c r="D1979" s="573"/>
      <c r="E1979" s="573"/>
      <c r="F1979" s="573"/>
      <c r="G1979" s="573"/>
      <c r="H1979" s="573"/>
      <c r="I1979" s="573"/>
      <c r="J1979" s="573"/>
      <c r="K1979" s="573"/>
      <c r="L1979" s="574"/>
    </row>
    <row r="1980" spans="1:12">
      <c r="A1980" s="101"/>
      <c r="B1980" s="72" t="s">
        <v>142</v>
      </c>
      <c r="C1980" s="561" t="str">
        <f ca="1">OFFSET('Bateria indicadores proceso'!$G$3,(RIGHT(A1954,3)),1)</f>
        <v xml:space="preserve">Subdirector </v>
      </c>
      <c r="D1980" s="561"/>
      <c r="E1980" s="561"/>
      <c r="F1980" s="561"/>
      <c r="G1980" s="561"/>
      <c r="H1980" s="561"/>
      <c r="I1980" s="561"/>
      <c r="J1980" s="561"/>
      <c r="K1980" s="561"/>
      <c r="L1980" s="566"/>
    </row>
    <row r="1981" spans="1:12">
      <c r="A1981" s="101"/>
      <c r="B1981" s="72" t="s">
        <v>143</v>
      </c>
      <c r="C1981" s="561" t="str">
        <f ca="1">OFFSET('Bateria indicadores proceso'!$F$3,(RIGHT(A1954,3)),1)</f>
        <v>Subdirección de Proyectos para la Seguridad y la Convivencia Ciudadana</v>
      </c>
      <c r="D1981" s="561"/>
      <c r="E1981" s="561"/>
      <c r="F1981" s="561"/>
      <c r="G1981" s="561"/>
      <c r="H1981" s="561"/>
      <c r="I1981" s="561"/>
      <c r="J1981" s="561"/>
      <c r="K1981" s="561"/>
      <c r="L1981" s="566"/>
    </row>
    <row r="1982" spans="1:12">
      <c r="A1982" s="101"/>
      <c r="B1982" s="72" t="s">
        <v>144</v>
      </c>
      <c r="C1982" s="598" t="str">
        <f ca="1">OFFSET('Bateria indicadores proceso'!$H$3,(RIGHT(A1954,3)),1)</f>
        <v>tito.lovo@mininterior.gov.co</v>
      </c>
      <c r="D1982" s="598"/>
      <c r="E1982" s="598"/>
      <c r="F1982" s="598"/>
      <c r="G1982" s="598"/>
      <c r="H1982" s="598"/>
      <c r="I1982" s="598"/>
      <c r="J1982" s="598"/>
      <c r="K1982" s="598"/>
      <c r="L1982" s="599"/>
    </row>
    <row r="1983" spans="1:12" ht="15.75" thickBot="1">
      <c r="A1983" s="104"/>
      <c r="B1983" s="74" t="s">
        <v>145</v>
      </c>
      <c r="C1983" s="596" t="s">
        <v>146</v>
      </c>
      <c r="D1983" s="596"/>
      <c r="E1983" s="596"/>
      <c r="F1983" s="596"/>
      <c r="G1983" s="596"/>
      <c r="H1983" s="596"/>
      <c r="I1983" s="596"/>
      <c r="J1983" s="596"/>
      <c r="K1983" s="596"/>
      <c r="L1983" s="597"/>
    </row>
    <row r="1984" spans="1:12" ht="15.75" thickBot="1"/>
    <row r="1985" spans="1:12" ht="21.75" thickBot="1">
      <c r="A1985" s="586" t="s">
        <v>89</v>
      </c>
      <c r="B1985" s="587"/>
      <c r="C1985" s="587"/>
      <c r="D1985" s="587"/>
      <c r="E1985" s="587"/>
      <c r="F1985" s="587"/>
      <c r="G1985" s="587"/>
      <c r="H1985" s="587"/>
      <c r="I1985" s="587"/>
      <c r="J1985" s="587"/>
      <c r="K1985" s="587"/>
      <c r="L1985" s="588"/>
    </row>
    <row r="1986" spans="1:12" ht="32.25" thickBot="1">
      <c r="A1986" s="69" t="s">
        <v>90</v>
      </c>
      <c r="B1986" s="589" t="s">
        <v>91</v>
      </c>
      <c r="C1986" s="589"/>
      <c r="D1986" s="589"/>
      <c r="E1986" s="589"/>
      <c r="F1986" s="589"/>
      <c r="G1986" s="589"/>
      <c r="H1986" s="589"/>
      <c r="I1986" s="589"/>
      <c r="J1986" s="589"/>
      <c r="K1986" s="589"/>
      <c r="L1986" s="589"/>
    </row>
    <row r="1987" spans="1:12" ht="16.5" thickBot="1">
      <c r="A1987" s="100"/>
      <c r="B1987" s="71" t="s">
        <v>92</v>
      </c>
      <c r="C1987" s="575" t="s">
        <v>93</v>
      </c>
      <c r="D1987" s="575"/>
      <c r="E1987" s="575"/>
      <c r="F1987" s="575"/>
      <c r="G1987" s="575"/>
      <c r="H1987" s="575"/>
      <c r="I1987" s="575"/>
      <c r="J1987" s="575"/>
      <c r="K1987" s="575"/>
      <c r="L1987" s="576"/>
    </row>
    <row r="1988" spans="1:12" ht="16.5" thickBot="1">
      <c r="A1988" s="101"/>
      <c r="B1988" s="589" t="s">
        <v>94</v>
      </c>
      <c r="C1988" s="590"/>
      <c r="D1988" s="590"/>
      <c r="E1988" s="590"/>
      <c r="F1988" s="590"/>
      <c r="G1988" s="590"/>
      <c r="H1988" s="590"/>
      <c r="I1988" s="590"/>
      <c r="J1988" s="590"/>
      <c r="K1988" s="590"/>
      <c r="L1988" s="590"/>
    </row>
    <row r="1989" spans="1:12">
      <c r="A1989" s="101"/>
      <c r="B1989" s="71" t="s">
        <v>95</v>
      </c>
      <c r="C1989" s="559" t="s">
        <v>96</v>
      </c>
      <c r="D1989" s="559"/>
      <c r="E1989" s="559"/>
      <c r="F1989" s="559"/>
      <c r="G1989" s="559"/>
      <c r="H1989" s="559"/>
      <c r="I1989" s="559"/>
      <c r="J1989" s="559"/>
      <c r="K1989" s="559"/>
      <c r="L1989" s="560"/>
    </row>
    <row r="1990" spans="1:12">
      <c r="A1990" s="102" t="s">
        <v>201</v>
      </c>
      <c r="B1990" s="72" t="s">
        <v>98</v>
      </c>
      <c r="C1990" s="559" t="str">
        <f ca="1">OFFSET('Bateria indicadores proceso'!$F$3,(RIGHT(A1990,3)),1)</f>
        <v>Subdirección de Proyectos para la Seguridad y la Convivencia Ciudadana</v>
      </c>
      <c r="D1990" s="559"/>
      <c r="E1990" s="559"/>
      <c r="F1990" s="559"/>
      <c r="G1990" s="559"/>
      <c r="H1990" s="559"/>
      <c r="I1990" s="559"/>
      <c r="J1990" s="559"/>
      <c r="K1990" s="559"/>
      <c r="L1990" s="560"/>
    </row>
    <row r="1991" spans="1:12">
      <c r="A1991" s="101"/>
      <c r="B1991" s="72" t="s">
        <v>99</v>
      </c>
      <c r="C1991" s="559" t="str">
        <f ca="1">OFFSET('Bateria indicadores proceso'!$K$3,(RIGHT(A1990,3)),1)</f>
        <v>Proyectos evaluados frente a proyectos radicados en la Subdirección de Proyectos para la Seguridad y la Convivencia Ciudadana.</v>
      </c>
      <c r="D1991" s="559"/>
      <c r="E1991" s="559"/>
      <c r="F1991" s="559"/>
      <c r="G1991" s="559"/>
      <c r="H1991" s="559"/>
      <c r="I1991" s="559"/>
      <c r="J1991" s="559"/>
      <c r="K1991" s="559"/>
      <c r="L1991" s="560"/>
    </row>
    <row r="1992" spans="1:12">
      <c r="A1992" s="101"/>
      <c r="B1992" s="72" t="s">
        <v>100</v>
      </c>
      <c r="C1992" s="559" t="str">
        <f ca="1">OFFSET('Bateria indicadores proceso'!$I$3,(RIGHT(A1990,3)),1)</f>
        <v>Eficiencia</v>
      </c>
      <c r="D1992" s="559"/>
      <c r="E1992" s="559"/>
      <c r="F1992" s="559"/>
      <c r="G1992" s="559"/>
      <c r="H1992" s="559"/>
      <c r="I1992" s="559"/>
      <c r="J1992" s="559"/>
      <c r="K1992" s="559"/>
      <c r="L1992" s="560"/>
    </row>
    <row r="1993" spans="1:12" ht="15.75" thickBot="1">
      <c r="A1993" s="103"/>
      <c r="B1993" s="73" t="s">
        <v>101</v>
      </c>
      <c r="C1993" s="559" t="str">
        <f ca="1">OFFSET('Bateria indicadores proceso'!$J$3,(RIGHT(A1990,3)),1)</f>
        <v>Mide el porcentaje de proyectos evaluados frente al total de proyectos radicados en la Subdirección durante el periodo de referencia, con el fin de determinar el nivel de cumplimiento en la gestión de evaluación técnica. El objetivo del indicador es mantener el resultado dentro del rango meta definido (≥ 90%).</v>
      </c>
      <c r="D1993" s="559"/>
      <c r="E1993" s="559"/>
      <c r="F1993" s="559"/>
      <c r="G1993" s="559"/>
      <c r="H1993" s="559"/>
      <c r="I1993" s="559"/>
      <c r="J1993" s="559"/>
      <c r="K1993" s="559"/>
      <c r="L1993" s="560"/>
    </row>
    <row r="1994" spans="1:12" ht="16.5" thickBot="1">
      <c r="A1994" s="103"/>
      <c r="B1994" s="572" t="s">
        <v>102</v>
      </c>
      <c r="C1994" s="573"/>
      <c r="D1994" s="573"/>
      <c r="E1994" s="573"/>
      <c r="F1994" s="573"/>
      <c r="G1994" s="573"/>
      <c r="H1994" s="573"/>
      <c r="I1994" s="573"/>
      <c r="J1994" s="573"/>
      <c r="K1994" s="573"/>
      <c r="L1994" s="574"/>
    </row>
    <row r="1995" spans="1:12">
      <c r="A1995" s="101"/>
      <c r="B1995" s="71" t="s">
        <v>103</v>
      </c>
      <c r="C1995" s="559" t="str">
        <f ca="1">OFFSET('Bateria indicadores proceso'!$O$3,(RIGHT(A1990,3)),1)</f>
        <v>Porcentaje</v>
      </c>
      <c r="D1995" s="559"/>
      <c r="E1995" s="559"/>
      <c r="F1995" s="559"/>
      <c r="G1995" s="559"/>
      <c r="H1995" s="559"/>
      <c r="I1995" s="559"/>
      <c r="J1995" s="559"/>
      <c r="K1995" s="559"/>
      <c r="L1995" s="560"/>
    </row>
    <row r="1996" spans="1:12" ht="24">
      <c r="A1996" s="101"/>
      <c r="B1996" s="72" t="s">
        <v>104</v>
      </c>
      <c r="C1996" s="559"/>
      <c r="D1996" s="559"/>
      <c r="E1996" s="559"/>
      <c r="F1996" s="559"/>
      <c r="G1996" s="559"/>
      <c r="H1996" s="559"/>
      <c r="I1996" s="559"/>
      <c r="J1996" s="559"/>
      <c r="K1996" s="559"/>
      <c r="L1996" s="560"/>
    </row>
    <row r="1997" spans="1:12">
      <c r="A1997" s="101"/>
      <c r="B1997" s="72" t="s">
        <v>105</v>
      </c>
      <c r="C1997" s="559" t="str">
        <f ca="1">OFFSET('Bateria indicadores proceso'!$L$3,(RIGHT(A1990,3)),1)</f>
        <v xml:space="preserve">Número de proyectos evaluados / Número de proyectos radicados en la plataforma  * 100									</v>
      </c>
      <c r="D1997" s="559"/>
      <c r="E1997" s="559"/>
      <c r="F1997" s="559"/>
      <c r="G1997" s="559"/>
      <c r="H1997" s="559"/>
      <c r="I1997" s="559"/>
      <c r="J1997" s="559"/>
      <c r="K1997" s="559"/>
      <c r="L1997" s="560"/>
    </row>
    <row r="1998" spans="1:12">
      <c r="A1998" s="101"/>
      <c r="B1998" s="72" t="s">
        <v>106</v>
      </c>
      <c r="C1998" s="559" t="str">
        <f ca="1">OFFSET('Bateria indicadores proceso'!$Z$3,(RIGHT(A1990,3)),1)</f>
        <v>Semestral</v>
      </c>
      <c r="D1998" s="559"/>
      <c r="E1998" s="559"/>
      <c r="F1998" s="559"/>
      <c r="G1998" s="559"/>
      <c r="H1998" s="559"/>
      <c r="I1998" s="559"/>
      <c r="J1998" s="559"/>
      <c r="K1998" s="559"/>
      <c r="L1998" s="560"/>
    </row>
    <row r="1999" spans="1:12">
      <c r="A1999" s="101"/>
      <c r="B1999" s="72" t="s">
        <v>107</v>
      </c>
      <c r="C1999" s="559" t="str">
        <f ca="1">OFFSET('Bateria indicadores proceso'!$X$3,(RIGHT(A1990,3)),1)</f>
        <v>Reporte consolidado del Sistema de Información de Proyectos Institucionales (SIPI) sobre proyectos radicados y evaluados en el periodo.</v>
      </c>
      <c r="D1999" s="559"/>
      <c r="E1999" s="559"/>
      <c r="F1999" s="559"/>
      <c r="G1999" s="559"/>
      <c r="H1999" s="559"/>
      <c r="I1999" s="559"/>
      <c r="J1999" s="559"/>
      <c r="K1999" s="559"/>
      <c r="L1999" s="560"/>
    </row>
    <row r="2000" spans="1:12">
      <c r="A2000" s="101"/>
      <c r="B2000" s="72" t="s">
        <v>108</v>
      </c>
      <c r="C2000" s="561" t="str">
        <f ca="1">OFFSET('Bateria indicadores proceso'!$P$3,(RIGHT(A1990,3)),1)</f>
        <v>no aplica</v>
      </c>
      <c r="D2000" s="561"/>
      <c r="E2000" s="561"/>
      <c r="F2000" s="561"/>
      <c r="G2000" s="561"/>
      <c r="H2000" s="561"/>
      <c r="I2000" s="561"/>
      <c r="J2000" s="561"/>
      <c r="K2000" s="561"/>
      <c r="L2000" s="566"/>
    </row>
    <row r="2001" spans="1:12">
      <c r="A2001" s="101"/>
      <c r="B2001" s="72" t="s">
        <v>109</v>
      </c>
      <c r="C2001" s="561" t="str">
        <f ca="1">IF(C1995="Número",TEXT(OFFSET('Bateria indicadores proceso'!$Q$3,(RIGHT(A1990,3)),1),"######"),TEXT(OFFSET('Bateria indicadores proceso'!$Q$3,(RIGHT(A1990,3)),1),"0.0%"))</f>
        <v>No aplica</v>
      </c>
      <c r="D2001" s="561"/>
      <c r="E2001" s="561"/>
      <c r="F2001" s="561"/>
      <c r="G2001" s="561"/>
      <c r="H2001" s="561"/>
      <c r="I2001" s="561"/>
      <c r="J2001" s="561"/>
      <c r="K2001" s="561"/>
      <c r="L2001" s="566"/>
    </row>
    <row r="2002" spans="1:12">
      <c r="A2002" s="101"/>
      <c r="B2002" s="72" t="s">
        <v>110</v>
      </c>
      <c r="C2002" s="593" t="str">
        <f ca="1">+OFFSET('Bateria indicadores proceso'!$R$3,(RIGHT(A1990,3)),1)</f>
        <v>No aplica</v>
      </c>
      <c r="D2002" s="593"/>
      <c r="E2002" s="593"/>
      <c r="F2002" s="593"/>
      <c r="G2002" s="593"/>
      <c r="H2002" s="593"/>
      <c r="I2002" s="593"/>
      <c r="J2002" s="593"/>
      <c r="K2002" s="593"/>
      <c r="L2002" s="594"/>
    </row>
    <row r="2003" spans="1:12">
      <c r="A2003" s="101"/>
      <c r="B2003" s="72" t="s">
        <v>111</v>
      </c>
      <c r="C2003" s="561" t="str">
        <f ca="1">OFFSET('Bateria indicadores proceso'!$M$3,(RIGHT(A1990,3)),1)</f>
        <v>Mantener</v>
      </c>
      <c r="D2003" s="561"/>
      <c r="E2003" s="561"/>
      <c r="F2003" s="561"/>
      <c r="G2003" s="561"/>
      <c r="H2003" s="561"/>
      <c r="I2003" s="561"/>
      <c r="J2003" s="561"/>
      <c r="K2003" s="561"/>
      <c r="L2003" s="566"/>
    </row>
    <row r="2004" spans="1:12">
      <c r="A2004" s="101"/>
      <c r="B2004" s="72" t="s">
        <v>112</v>
      </c>
      <c r="C2004" s="561" t="str">
        <f ca="1">OFFSET('Bateria indicadores proceso'!$N$3,(RIGHT(A1990,3)),1)</f>
        <v>Stock</v>
      </c>
      <c r="D2004" s="561"/>
      <c r="E2004" s="561"/>
      <c r="F2004" s="561"/>
      <c r="G2004" s="561"/>
      <c r="H2004" s="561"/>
      <c r="I2004" s="561"/>
      <c r="J2004" s="561"/>
      <c r="K2004" s="561"/>
      <c r="L2004" s="566"/>
    </row>
    <row r="2005" spans="1:12">
      <c r="A2005" s="101"/>
      <c r="B2005" s="72" t="s">
        <v>113</v>
      </c>
      <c r="C2005" s="561" t="str">
        <f ca="1">IF(C1995="Número",TEXT(OFFSET('Bateria indicadores proceso'!$W$3,(RIGHT(A1990,3)),1),"######"),TEXT(OFFSET('Bateria indicadores proceso'!$W$3,(RIGHT(A1990,3)),1),"0.0%"))</f>
        <v>90%</v>
      </c>
      <c r="D2005" s="561"/>
      <c r="E2005" s="561"/>
      <c r="F2005" s="561"/>
      <c r="G2005" s="561"/>
      <c r="H2005" s="561"/>
      <c r="I2005" s="561"/>
      <c r="J2005" s="561"/>
      <c r="K2005" s="561"/>
      <c r="L2005" s="566"/>
    </row>
    <row r="2006" spans="1:12">
      <c r="A2006" s="101"/>
      <c r="B2006" s="595" t="s">
        <v>114</v>
      </c>
      <c r="C2006" s="70" t="s">
        <v>115</v>
      </c>
      <c r="D2006" s="70" t="s">
        <v>116</v>
      </c>
      <c r="E2006" s="70" t="s">
        <v>117</v>
      </c>
      <c r="F2006" s="70" t="s">
        <v>118</v>
      </c>
      <c r="J2006" s="75"/>
      <c r="K2006" s="75"/>
      <c r="L2006" s="76"/>
    </row>
    <row r="2007" spans="1:12">
      <c r="A2007" s="101"/>
      <c r="B2007" s="595"/>
      <c r="C2007" s="70" t="str">
        <f ca="1">IF(C1995="Número",TEXT(OFFSET('Bateria indicadores proceso'!$S$3,(RIGHT(A1990,3)),1),"######"),TEXT(OFFSET('Bateria indicadores proceso'!$S$3,(RIGHT(A1990,3)),1),"0.0%"))</f>
        <v>00%</v>
      </c>
      <c r="D2007" s="70" t="str">
        <f ca="1">IF(C1995="Número",TEXT(OFFSET('Bateria indicadores proceso'!$T$3,(RIGHT(A1990,3)),1),"######"),TEXT(OFFSET('Bateria indicadores proceso'!$T$3,(RIGHT(A1990,3)),1),"0.0%"))</f>
        <v>90%</v>
      </c>
      <c r="E2007" s="70" t="str">
        <f ca="1">IF(C1995="Número",TEXT(OFFSET('Bateria indicadores proceso'!$U$3,(RIGHT(A1990,3)),1),"######"),TEXT(OFFSET('Bateria indicadores proceso'!$U$3,(RIGHT(A1990,3)),1),"0.0%"))</f>
        <v>00%</v>
      </c>
      <c r="F2007" s="70" t="str">
        <f ca="1">IF(C1995="Número",TEXT(OFFSET('Bateria indicadores proceso'!$V$3,(RIGHT(A1990,3)),1),"######"),TEXT(OFFSET('Bateria indicadores proceso'!$V$3,(RIGHT(A1990,3)),1),"0.0%"))</f>
        <v>90%</v>
      </c>
      <c r="J2007" s="77"/>
      <c r="K2007" s="77"/>
      <c r="L2007" s="78"/>
    </row>
    <row r="2008" spans="1:12">
      <c r="A2008" s="101"/>
      <c r="B2008" s="600" t="s">
        <v>119</v>
      </c>
      <c r="C2008" s="567" t="s">
        <v>120</v>
      </c>
      <c r="D2008" s="568"/>
      <c r="E2008" s="567" t="s">
        <v>121</v>
      </c>
      <c r="F2008" s="568"/>
      <c r="G2008" s="567" t="s">
        <v>122</v>
      </c>
      <c r="H2008" s="568"/>
      <c r="I2008" s="567" t="s">
        <v>123</v>
      </c>
      <c r="J2008" s="568"/>
      <c r="K2008" s="567" t="s">
        <v>124</v>
      </c>
      <c r="L2008" s="569"/>
    </row>
    <row r="2009" spans="1:12">
      <c r="A2009" s="101"/>
      <c r="B2009" s="601"/>
      <c r="C2009" s="570" t="s">
        <v>125</v>
      </c>
      <c r="D2009" s="571"/>
      <c r="E2009" s="577" t="s">
        <v>126</v>
      </c>
      <c r="F2009" s="578"/>
      <c r="G2009" s="579" t="s">
        <v>127</v>
      </c>
      <c r="H2009" s="580"/>
      <c r="I2009" s="581" t="s">
        <v>128</v>
      </c>
      <c r="J2009" s="582"/>
      <c r="K2009" s="583" t="s">
        <v>129</v>
      </c>
      <c r="L2009" s="584"/>
    </row>
    <row r="2010" spans="1:12">
      <c r="A2010" s="101"/>
      <c r="B2010" s="602"/>
      <c r="C2010" s="567" t="s">
        <v>130</v>
      </c>
      <c r="D2010" s="568"/>
      <c r="E2010" s="567" t="s">
        <v>131</v>
      </c>
      <c r="F2010" s="568"/>
      <c r="G2010" s="585" t="s">
        <v>132</v>
      </c>
      <c r="H2010" s="568"/>
      <c r="I2010" s="567" t="s">
        <v>133</v>
      </c>
      <c r="J2010" s="568"/>
      <c r="K2010" s="567" t="s">
        <v>134</v>
      </c>
      <c r="L2010" s="569"/>
    </row>
    <row r="2011" spans="1:12">
      <c r="A2011" s="101"/>
      <c r="B2011" s="72" t="s">
        <v>135</v>
      </c>
      <c r="C2011" s="559" t="str">
        <f ca="1">OFFSET('Bateria indicadores proceso'!$Y$3,(RIGHT(A1990,3)),1)</f>
        <v xml:space="preserve">Registros del SIPI sobre proyectos radicados y proyectos que se le hallan realizado evaluación.									</v>
      </c>
      <c r="D2011" s="559"/>
      <c r="E2011" s="559"/>
      <c r="F2011" s="559"/>
      <c r="G2011" s="559"/>
      <c r="H2011" s="559"/>
      <c r="I2011" s="559"/>
      <c r="J2011" s="559"/>
      <c r="K2011" s="559"/>
      <c r="L2011" s="560"/>
    </row>
    <row r="2012" spans="1:12">
      <c r="A2012" s="101"/>
      <c r="B2012" s="591" t="s">
        <v>136</v>
      </c>
      <c r="C2012" s="561" t="s">
        <v>137</v>
      </c>
      <c r="D2012" s="561"/>
      <c r="E2012" s="561"/>
      <c r="F2012" s="562" t="str">
        <f ca="1">OFFSET('Bateria indicadores proceso'!$B$3,(RIGHT(A1990,3)),1)</f>
        <v>GESTIÓN PARA LA PROTECCIÓN DE LOS DERECHOS</v>
      </c>
      <c r="G2012" s="562"/>
      <c r="H2012" s="562"/>
      <c r="I2012" s="562"/>
      <c r="J2012" s="562"/>
      <c r="K2012" s="562"/>
      <c r="L2012" s="563"/>
    </row>
    <row r="2013" spans="1:12">
      <c r="A2013" s="101"/>
      <c r="B2013" s="592"/>
      <c r="C2013" s="561" t="s">
        <v>138</v>
      </c>
      <c r="D2013" s="561"/>
      <c r="E2013" s="561"/>
      <c r="F2013" s="564">
        <f ca="1">OFFSET('Bateria indicadores proceso'!$C$3,(RIGHT(A1990,3)),1)</f>
        <v>0.11</v>
      </c>
      <c r="G2013" s="564"/>
      <c r="H2013" s="564"/>
      <c r="I2013" s="564"/>
      <c r="J2013" s="564"/>
      <c r="K2013" s="564"/>
      <c r="L2013" s="565"/>
    </row>
    <row r="2014" spans="1:12" ht="15.75" thickBot="1">
      <c r="A2014" s="101"/>
      <c r="B2014" s="592"/>
      <c r="C2014" s="561" t="s">
        <v>139</v>
      </c>
      <c r="D2014" s="561"/>
      <c r="E2014" s="561"/>
      <c r="F2014" s="564">
        <f ca="1">OFFSET('Bateria indicadores proceso'!$E$3,(RIGHT(A1990,3)),1)</f>
        <v>0.06</v>
      </c>
      <c r="G2014" s="564"/>
      <c r="H2014" s="564"/>
      <c r="I2014" s="564"/>
      <c r="J2014" s="564"/>
      <c r="K2014" s="564"/>
      <c r="L2014" s="565"/>
    </row>
    <row r="2015" spans="1:12" ht="16.5" thickBot="1">
      <c r="A2015" s="101"/>
      <c r="B2015" s="572" t="s">
        <v>140</v>
      </c>
      <c r="C2015" s="573"/>
      <c r="D2015" s="573"/>
      <c r="E2015" s="573"/>
      <c r="F2015" s="573"/>
      <c r="G2015" s="573"/>
      <c r="H2015" s="573"/>
      <c r="I2015" s="573"/>
      <c r="J2015" s="573"/>
      <c r="K2015" s="573"/>
      <c r="L2015" s="574"/>
    </row>
    <row r="2016" spans="1:12">
      <c r="A2016" s="101"/>
      <c r="B2016" s="72" t="s">
        <v>142</v>
      </c>
      <c r="C2016" s="561" t="str">
        <f ca="1">OFFSET('Bateria indicadores proceso'!$G$3,(RIGHT(A1990,3)),1)</f>
        <v xml:space="preserve">Subdirector </v>
      </c>
      <c r="D2016" s="561"/>
      <c r="E2016" s="561"/>
      <c r="F2016" s="561"/>
      <c r="G2016" s="561"/>
      <c r="H2016" s="561"/>
      <c r="I2016" s="561"/>
      <c r="J2016" s="561"/>
      <c r="K2016" s="561"/>
      <c r="L2016" s="566"/>
    </row>
    <row r="2017" spans="1:12">
      <c r="A2017" s="101"/>
      <c r="B2017" s="72" t="s">
        <v>143</v>
      </c>
      <c r="C2017" s="561" t="str">
        <f ca="1">OFFSET('Bateria indicadores proceso'!$F$3,(RIGHT(A1990,3)),1)</f>
        <v>Subdirección de Proyectos para la Seguridad y la Convivencia Ciudadana</v>
      </c>
      <c r="D2017" s="561"/>
      <c r="E2017" s="561"/>
      <c r="F2017" s="561"/>
      <c r="G2017" s="561"/>
      <c r="H2017" s="561"/>
      <c r="I2017" s="561"/>
      <c r="J2017" s="561"/>
      <c r="K2017" s="561"/>
      <c r="L2017" s="566"/>
    </row>
    <row r="2018" spans="1:12">
      <c r="A2018" s="101"/>
      <c r="B2018" s="72" t="s">
        <v>144</v>
      </c>
      <c r="C2018" s="598" t="str">
        <f ca="1">OFFSET('Bateria indicadores proceso'!$H$3,(RIGHT(A1954,3)),1)</f>
        <v>tito.lovo@mininterior.gov.co</v>
      </c>
      <c r="D2018" s="598"/>
      <c r="E2018" s="598"/>
      <c r="F2018" s="598"/>
      <c r="G2018" s="598"/>
      <c r="H2018" s="598"/>
      <c r="I2018" s="598"/>
      <c r="J2018" s="598"/>
      <c r="K2018" s="598"/>
      <c r="L2018" s="599"/>
    </row>
    <row r="2019" spans="1:12" ht="15.75" thickBot="1">
      <c r="A2019" s="104"/>
      <c r="B2019" s="74" t="s">
        <v>145</v>
      </c>
      <c r="C2019" s="596" t="s">
        <v>146</v>
      </c>
      <c r="D2019" s="596"/>
      <c r="E2019" s="596"/>
      <c r="F2019" s="596"/>
      <c r="G2019" s="596"/>
      <c r="H2019" s="596"/>
      <c r="I2019" s="596"/>
      <c r="J2019" s="596"/>
      <c r="K2019" s="596"/>
      <c r="L2019" s="597"/>
    </row>
    <row r="2020" spans="1:12" ht="15.75" thickBot="1"/>
    <row r="2021" spans="1:12" ht="21.75" thickBot="1">
      <c r="A2021" s="586" t="s">
        <v>89</v>
      </c>
      <c r="B2021" s="587"/>
      <c r="C2021" s="587"/>
      <c r="D2021" s="587"/>
      <c r="E2021" s="587"/>
      <c r="F2021" s="587"/>
      <c r="G2021" s="587"/>
      <c r="H2021" s="587"/>
      <c r="I2021" s="587"/>
      <c r="J2021" s="587"/>
      <c r="K2021" s="587"/>
      <c r="L2021" s="588"/>
    </row>
    <row r="2022" spans="1:12" ht="32.25" thickBot="1">
      <c r="A2022" s="69" t="s">
        <v>90</v>
      </c>
      <c r="B2022" s="589" t="s">
        <v>91</v>
      </c>
      <c r="C2022" s="589"/>
      <c r="D2022" s="589"/>
      <c r="E2022" s="589"/>
      <c r="F2022" s="589"/>
      <c r="G2022" s="589"/>
      <c r="H2022" s="589"/>
      <c r="I2022" s="589"/>
      <c r="J2022" s="589"/>
      <c r="K2022" s="589"/>
      <c r="L2022" s="589"/>
    </row>
    <row r="2023" spans="1:12" ht="16.5" thickBot="1">
      <c r="A2023" s="100"/>
      <c r="B2023" s="71" t="s">
        <v>92</v>
      </c>
      <c r="C2023" s="575" t="s">
        <v>93</v>
      </c>
      <c r="D2023" s="575"/>
      <c r="E2023" s="575"/>
      <c r="F2023" s="575"/>
      <c r="G2023" s="575"/>
      <c r="H2023" s="575"/>
      <c r="I2023" s="575"/>
      <c r="J2023" s="575"/>
      <c r="K2023" s="575"/>
      <c r="L2023" s="576"/>
    </row>
    <row r="2024" spans="1:12" ht="16.5" thickBot="1">
      <c r="A2024" s="101"/>
      <c r="B2024" s="589" t="s">
        <v>94</v>
      </c>
      <c r="C2024" s="590"/>
      <c r="D2024" s="590"/>
      <c r="E2024" s="590"/>
      <c r="F2024" s="590"/>
      <c r="G2024" s="590"/>
      <c r="H2024" s="590"/>
      <c r="I2024" s="590"/>
      <c r="J2024" s="590"/>
      <c r="K2024" s="590"/>
      <c r="L2024" s="590"/>
    </row>
    <row r="2025" spans="1:12">
      <c r="A2025" s="101"/>
      <c r="B2025" s="71" t="s">
        <v>95</v>
      </c>
      <c r="C2025" s="559" t="s">
        <v>96</v>
      </c>
      <c r="D2025" s="559"/>
      <c r="E2025" s="559"/>
      <c r="F2025" s="559"/>
      <c r="G2025" s="559"/>
      <c r="H2025" s="559"/>
      <c r="I2025" s="559"/>
      <c r="J2025" s="559"/>
      <c r="K2025" s="559"/>
      <c r="L2025" s="560"/>
    </row>
    <row r="2026" spans="1:12">
      <c r="A2026" s="102" t="s">
        <v>202</v>
      </c>
      <c r="B2026" s="72" t="s">
        <v>98</v>
      </c>
      <c r="C2026" s="559" t="str">
        <f ca="1">OFFSET('Bateria indicadores proceso'!$F$3,(RIGHT(A2026,3)),1)</f>
        <v>Subdirección Administrativa y Financiera</v>
      </c>
      <c r="D2026" s="559"/>
      <c r="E2026" s="559"/>
      <c r="F2026" s="559"/>
      <c r="G2026" s="559"/>
      <c r="H2026" s="559"/>
      <c r="I2026" s="559"/>
      <c r="J2026" s="559"/>
      <c r="K2026" s="559"/>
      <c r="L2026" s="560"/>
    </row>
    <row r="2027" spans="1:12">
      <c r="A2027" s="101"/>
      <c r="B2027" s="72" t="s">
        <v>99</v>
      </c>
      <c r="C2027" s="559" t="str">
        <f ca="1">OFFSET('Bateria indicadores proceso'!$K$3,(RIGHT(A2026,3)),1)</f>
        <v xml:space="preserve">Ejecución presupuestal apropiada para el funcionamiento </v>
      </c>
      <c r="D2027" s="559"/>
      <c r="E2027" s="559"/>
      <c r="F2027" s="559"/>
      <c r="G2027" s="559"/>
      <c r="H2027" s="559"/>
      <c r="I2027" s="559"/>
      <c r="J2027" s="559"/>
      <c r="K2027" s="559"/>
      <c r="L2027" s="560"/>
    </row>
    <row r="2028" spans="1:12">
      <c r="A2028" s="101"/>
      <c r="B2028" s="72" t="s">
        <v>100</v>
      </c>
      <c r="C2028" s="559" t="str">
        <f ca="1">OFFSET('Bateria indicadores proceso'!$I$3,(RIGHT(A2026,3)),1)</f>
        <v>Eficiencia</v>
      </c>
      <c r="D2028" s="559"/>
      <c r="E2028" s="559"/>
      <c r="F2028" s="559"/>
      <c r="G2028" s="559"/>
      <c r="H2028" s="559"/>
      <c r="I2028" s="559"/>
      <c r="J2028" s="559"/>
      <c r="K2028" s="559"/>
      <c r="L2028" s="560"/>
    </row>
    <row r="2029" spans="1:12" ht="15.75" thickBot="1">
      <c r="A2029" s="103"/>
      <c r="B2029" s="73" t="s">
        <v>101</v>
      </c>
      <c r="C2029" s="559" t="str">
        <f ca="1">OFFSET('Bateria indicadores proceso'!$J$3,(RIGHT(A2026,3)),1)</f>
        <v>Hacer seguimiento a la ejecución del presupuesto asignado para atender las necesidades de funcionamiento del Ministerio del Interior, dicha ejecución debe ir en aumento durante la vigencia.</v>
      </c>
      <c r="D2029" s="559"/>
      <c r="E2029" s="559"/>
      <c r="F2029" s="559"/>
      <c r="G2029" s="559"/>
      <c r="H2029" s="559"/>
      <c r="I2029" s="559"/>
      <c r="J2029" s="559"/>
      <c r="K2029" s="559"/>
      <c r="L2029" s="560"/>
    </row>
    <row r="2030" spans="1:12" ht="16.5" thickBot="1">
      <c r="A2030" s="103"/>
      <c r="B2030" s="572" t="s">
        <v>102</v>
      </c>
      <c r="C2030" s="573"/>
      <c r="D2030" s="573"/>
      <c r="E2030" s="573"/>
      <c r="F2030" s="573"/>
      <c r="G2030" s="573"/>
      <c r="H2030" s="573"/>
      <c r="I2030" s="573"/>
      <c r="J2030" s="573"/>
      <c r="K2030" s="573"/>
      <c r="L2030" s="574"/>
    </row>
    <row r="2031" spans="1:12">
      <c r="A2031" s="101"/>
      <c r="B2031" s="71" t="s">
        <v>103</v>
      </c>
      <c r="C2031" s="559" t="str">
        <f ca="1">OFFSET('Bateria indicadores proceso'!$O$3,(RIGHT(A2026,3)),1)</f>
        <v>Porcentaje</v>
      </c>
      <c r="D2031" s="559"/>
      <c r="E2031" s="559"/>
      <c r="F2031" s="559"/>
      <c r="G2031" s="559"/>
      <c r="H2031" s="559"/>
      <c r="I2031" s="559"/>
      <c r="J2031" s="559"/>
      <c r="K2031" s="559"/>
      <c r="L2031" s="560"/>
    </row>
    <row r="2032" spans="1:12" ht="24">
      <c r="A2032" s="101"/>
      <c r="B2032" s="72" t="s">
        <v>104</v>
      </c>
      <c r="C2032" s="559"/>
      <c r="D2032" s="559"/>
      <c r="E2032" s="559"/>
      <c r="F2032" s="559"/>
      <c r="G2032" s="559"/>
      <c r="H2032" s="559"/>
      <c r="I2032" s="559"/>
      <c r="J2032" s="559"/>
      <c r="K2032" s="559"/>
      <c r="L2032" s="560"/>
    </row>
    <row r="2033" spans="1:12">
      <c r="A2033" s="101"/>
      <c r="B2033" s="72" t="s">
        <v>105</v>
      </c>
      <c r="C2033" s="559" t="str">
        <f ca="1">OFFSET('Bateria indicadores proceso'!$L$3,(RIGHT(A2026,3)),1)</f>
        <v>(Total presupuesto ejecutado en el periodo (Comprometido)/Total de presupuesto asignado) * 100</v>
      </c>
      <c r="D2033" s="559"/>
      <c r="E2033" s="559"/>
      <c r="F2033" s="559"/>
      <c r="G2033" s="559"/>
      <c r="H2033" s="559"/>
      <c r="I2033" s="559"/>
      <c r="J2033" s="559"/>
      <c r="K2033" s="559"/>
      <c r="L2033" s="560"/>
    </row>
    <row r="2034" spans="1:12">
      <c r="A2034" s="101"/>
      <c r="B2034" s="72" t="s">
        <v>106</v>
      </c>
      <c r="C2034" s="559" t="str">
        <f ca="1">OFFSET('Bateria indicadores proceso'!$Z$3,(RIGHT(A2026,3)),1)</f>
        <v>Trimestral</v>
      </c>
      <c r="D2034" s="559"/>
      <c r="E2034" s="559"/>
      <c r="F2034" s="559"/>
      <c r="G2034" s="559"/>
      <c r="H2034" s="559"/>
      <c r="I2034" s="559"/>
      <c r="J2034" s="559"/>
      <c r="K2034" s="559"/>
      <c r="L2034" s="560"/>
    </row>
    <row r="2035" spans="1:12">
      <c r="A2035" s="101"/>
      <c r="B2035" s="72" t="s">
        <v>107</v>
      </c>
      <c r="C2035" s="559" t="str">
        <f ca="1">OFFSET('Bateria indicadores proceso'!$X$3,(RIGHT(A2026,3)),1)</f>
        <v>Sistema Integrado de Información Financiera SIIF</v>
      </c>
      <c r="D2035" s="559"/>
      <c r="E2035" s="559"/>
      <c r="F2035" s="559"/>
      <c r="G2035" s="559"/>
      <c r="H2035" s="559"/>
      <c r="I2035" s="559"/>
      <c r="J2035" s="559"/>
      <c r="K2035" s="559"/>
      <c r="L2035" s="560"/>
    </row>
    <row r="2036" spans="1:12">
      <c r="A2036" s="101"/>
      <c r="B2036" s="72" t="s">
        <v>108</v>
      </c>
      <c r="C2036" s="561">
        <f ca="1">OFFSET('Bateria indicadores proceso'!$P$3,(RIGHT(A2026,3)),1)</f>
        <v>2024</v>
      </c>
      <c r="D2036" s="561"/>
      <c r="E2036" s="561"/>
      <c r="F2036" s="561"/>
      <c r="G2036" s="561"/>
      <c r="H2036" s="561"/>
      <c r="I2036" s="561"/>
      <c r="J2036" s="561"/>
      <c r="K2036" s="561"/>
      <c r="L2036" s="566"/>
    </row>
    <row r="2037" spans="1:12">
      <c r="A2037" s="101"/>
      <c r="B2037" s="72" t="s">
        <v>109</v>
      </c>
      <c r="C2037" s="561" t="str">
        <f ca="1">IF(C2031="Número",TEXT(OFFSET('Bateria indicadores proceso'!$Q$3,(RIGHT(A2026,3)),1),"######"),TEXT(OFFSET('Bateria indicadores proceso'!$Q$3,(RIGHT(A2026,3)),1),"0.0%"))</f>
        <v>8.500%</v>
      </c>
      <c r="D2037" s="561"/>
      <c r="E2037" s="561"/>
      <c r="F2037" s="561"/>
      <c r="G2037" s="561"/>
      <c r="H2037" s="561"/>
      <c r="I2037" s="561"/>
      <c r="J2037" s="561"/>
      <c r="K2037" s="561"/>
      <c r="L2037" s="566"/>
    </row>
    <row r="2038" spans="1:12">
      <c r="A2038" s="101"/>
      <c r="B2038" s="72" t="s">
        <v>110</v>
      </c>
      <c r="C2038" s="593">
        <f ca="1">+OFFSET('Bateria indicadores proceso'!$R$3,(RIGHT(A2026,3)),1)</f>
        <v>46022</v>
      </c>
      <c r="D2038" s="593"/>
      <c r="E2038" s="593"/>
      <c r="F2038" s="593"/>
      <c r="G2038" s="593"/>
      <c r="H2038" s="593"/>
      <c r="I2038" s="593"/>
      <c r="J2038" s="593"/>
      <c r="K2038" s="593"/>
      <c r="L2038" s="594"/>
    </row>
    <row r="2039" spans="1:12">
      <c r="A2039" s="101"/>
      <c r="B2039" s="72" t="s">
        <v>111</v>
      </c>
      <c r="C2039" s="561" t="str">
        <f ca="1">OFFSET('Bateria indicadores proceso'!$M$3,(RIGHT(A2026,3)),1)</f>
        <v>Incrementar</v>
      </c>
      <c r="D2039" s="561"/>
      <c r="E2039" s="561"/>
      <c r="F2039" s="561"/>
      <c r="G2039" s="561"/>
      <c r="H2039" s="561"/>
      <c r="I2039" s="561"/>
      <c r="J2039" s="561"/>
      <c r="K2039" s="561"/>
      <c r="L2039" s="566"/>
    </row>
    <row r="2040" spans="1:12">
      <c r="A2040" s="101"/>
      <c r="B2040" s="72" t="s">
        <v>112</v>
      </c>
      <c r="C2040" s="561" t="str">
        <f ca="1">OFFSET('Bateria indicadores proceso'!$N$3,(RIGHT(A2026,3)),1)</f>
        <v>Flujo</v>
      </c>
      <c r="D2040" s="561"/>
      <c r="E2040" s="561"/>
      <c r="F2040" s="561"/>
      <c r="G2040" s="561"/>
      <c r="H2040" s="561"/>
      <c r="I2040" s="561"/>
      <c r="J2040" s="561"/>
      <c r="K2040" s="561"/>
      <c r="L2040" s="566"/>
    </row>
    <row r="2041" spans="1:12">
      <c r="A2041" s="101"/>
      <c r="B2041" s="72" t="s">
        <v>113</v>
      </c>
      <c r="C2041" s="561" t="str">
        <f ca="1">IF(C2031="Número",TEXT(OFFSET('Bateria indicadores proceso'!$W$3,(RIGHT(A2026,3)),1),"######"),TEXT(OFFSET('Bateria indicadores proceso'!$W$3,(RIGHT(A2026,3)),1),"0.0%"))</f>
        <v>85%</v>
      </c>
      <c r="D2041" s="561"/>
      <c r="E2041" s="561"/>
      <c r="F2041" s="561"/>
      <c r="G2041" s="561"/>
      <c r="H2041" s="561"/>
      <c r="I2041" s="561"/>
      <c r="J2041" s="561"/>
      <c r="K2041" s="561"/>
      <c r="L2041" s="566"/>
    </row>
    <row r="2042" spans="1:12">
      <c r="A2042" s="101"/>
      <c r="B2042" s="595" t="s">
        <v>114</v>
      </c>
      <c r="C2042" s="70" t="s">
        <v>115</v>
      </c>
      <c r="D2042" s="70" t="s">
        <v>116</v>
      </c>
      <c r="E2042" s="70" t="s">
        <v>117</v>
      </c>
      <c r="F2042" s="70" t="s">
        <v>118</v>
      </c>
      <c r="J2042" s="75"/>
      <c r="K2042" s="75"/>
      <c r="L2042" s="76"/>
    </row>
    <row r="2043" spans="1:12">
      <c r="A2043" s="101"/>
      <c r="B2043" s="595"/>
      <c r="C2043" s="70" t="str">
        <f ca="1">IF(C2031="Número",TEXT(OFFSET('Bateria indicadores proceso'!$S$3,(RIGHT(A2026,3)),1),"######"),TEXT(OFFSET('Bateria indicadores proceso'!$S$3,(RIGHT(A2026,3)),1),"0.0%"))</f>
        <v>15%</v>
      </c>
      <c r="D2043" s="70" t="str">
        <f ca="1">IF(C2031="Número",TEXT(OFFSET('Bateria indicadores proceso'!$T$3,(RIGHT(A2026,3)),1),"######"),TEXT(OFFSET('Bateria indicadores proceso'!$T$3,(RIGHT(A2026,3)),1),"0.0%"))</f>
        <v>35%</v>
      </c>
      <c r="E2043" s="70" t="str">
        <f ca="1">IF(C2031="Número",TEXT(OFFSET('Bateria indicadores proceso'!$U$3,(RIGHT(A2026,3)),1),"######"),TEXT(OFFSET('Bateria indicadores proceso'!$U$3,(RIGHT(A2026,3)),1),"0.0%"))</f>
        <v>70%</v>
      </c>
      <c r="F2043" s="70" t="str">
        <f ca="1">IF(C2031="Número",TEXT(OFFSET('Bateria indicadores proceso'!$V$3,(RIGHT(A2026,3)),1),"######"),TEXT(OFFSET('Bateria indicadores proceso'!$V$3,(RIGHT(A2026,3)),1),"0.0%"))</f>
        <v>85%</v>
      </c>
      <c r="J2043" s="77"/>
      <c r="K2043" s="77"/>
      <c r="L2043" s="78"/>
    </row>
    <row r="2044" spans="1:12">
      <c r="A2044" s="101"/>
      <c r="B2044" s="600" t="s">
        <v>119</v>
      </c>
      <c r="C2044" s="567" t="s">
        <v>120</v>
      </c>
      <c r="D2044" s="568"/>
      <c r="E2044" s="567" t="s">
        <v>121</v>
      </c>
      <c r="F2044" s="568"/>
      <c r="G2044" s="567" t="s">
        <v>122</v>
      </c>
      <c r="H2044" s="568"/>
      <c r="I2044" s="567" t="s">
        <v>123</v>
      </c>
      <c r="J2044" s="568"/>
      <c r="K2044" s="567" t="s">
        <v>124</v>
      </c>
      <c r="L2044" s="569"/>
    </row>
    <row r="2045" spans="1:12">
      <c r="A2045" s="101"/>
      <c r="B2045" s="601"/>
      <c r="C2045" s="570" t="s">
        <v>125</v>
      </c>
      <c r="D2045" s="571"/>
      <c r="E2045" s="577" t="s">
        <v>126</v>
      </c>
      <c r="F2045" s="578"/>
      <c r="G2045" s="579" t="s">
        <v>127</v>
      </c>
      <c r="H2045" s="580"/>
      <c r="I2045" s="581" t="s">
        <v>128</v>
      </c>
      <c r="J2045" s="582"/>
      <c r="K2045" s="583" t="s">
        <v>129</v>
      </c>
      <c r="L2045" s="584"/>
    </row>
    <row r="2046" spans="1:12">
      <c r="A2046" s="101"/>
      <c r="B2046" s="602"/>
      <c r="C2046" s="567" t="s">
        <v>130</v>
      </c>
      <c r="D2046" s="568"/>
      <c r="E2046" s="567" t="s">
        <v>131</v>
      </c>
      <c r="F2046" s="568"/>
      <c r="G2046" s="585" t="s">
        <v>132</v>
      </c>
      <c r="H2046" s="568"/>
      <c r="I2046" s="567" t="s">
        <v>133</v>
      </c>
      <c r="J2046" s="568"/>
      <c r="K2046" s="567" t="s">
        <v>134</v>
      </c>
      <c r="L2046" s="569"/>
    </row>
    <row r="2047" spans="1:12">
      <c r="A2047" s="101"/>
      <c r="B2047" s="72" t="s">
        <v>135</v>
      </c>
      <c r="C2047" s="559" t="str">
        <f ca="1">OFFSET('Bateria indicadores proceso'!$Y$3,(RIGHT(A2026,3)),1)</f>
        <v>Reporte de ejecución SIIF</v>
      </c>
      <c r="D2047" s="559"/>
      <c r="E2047" s="559"/>
      <c r="F2047" s="559"/>
      <c r="G2047" s="559"/>
      <c r="H2047" s="559"/>
      <c r="I2047" s="559"/>
      <c r="J2047" s="559"/>
      <c r="K2047" s="559"/>
      <c r="L2047" s="560"/>
    </row>
    <row r="2048" spans="1:12">
      <c r="A2048" s="101"/>
      <c r="B2048" s="591" t="s">
        <v>136</v>
      </c>
      <c r="C2048" s="561" t="s">
        <v>137</v>
      </c>
      <c r="D2048" s="561"/>
      <c r="E2048" s="561"/>
      <c r="F2048" s="562" t="str">
        <f ca="1">OFFSET('Bateria indicadores proceso'!$B$3,(RIGHT(A2026,3)),1)</f>
        <v>GESTIÓN ADMINISTRATIVA</v>
      </c>
      <c r="G2048" s="562"/>
      <c r="H2048" s="562"/>
      <c r="I2048" s="562"/>
      <c r="J2048" s="562"/>
      <c r="K2048" s="562"/>
      <c r="L2048" s="563"/>
    </row>
    <row r="2049" spans="1:12">
      <c r="A2049" s="101"/>
      <c r="B2049" s="592"/>
      <c r="C2049" s="561" t="s">
        <v>138</v>
      </c>
      <c r="D2049" s="561"/>
      <c r="E2049" s="561"/>
      <c r="F2049" s="564">
        <f ca="1">OFFSET('Bateria indicadores proceso'!$C$3,(RIGHT(A2026,3)),1)</f>
        <v>1</v>
      </c>
      <c r="G2049" s="564"/>
      <c r="H2049" s="564"/>
      <c r="I2049" s="564"/>
      <c r="J2049" s="564"/>
      <c r="K2049" s="564"/>
      <c r="L2049" s="565"/>
    </row>
    <row r="2050" spans="1:12" ht="15.75" thickBot="1">
      <c r="A2050" s="101"/>
      <c r="B2050" s="592"/>
      <c r="C2050" s="561" t="s">
        <v>139</v>
      </c>
      <c r="D2050" s="561"/>
      <c r="E2050" s="561"/>
      <c r="F2050" s="564">
        <f ca="1">OFFSET('Bateria indicadores proceso'!$E$3,(RIGHT(A2026,3)),1)</f>
        <v>0.5</v>
      </c>
      <c r="G2050" s="564"/>
      <c r="H2050" s="564"/>
      <c r="I2050" s="564"/>
      <c r="J2050" s="564"/>
      <c r="K2050" s="564"/>
      <c r="L2050" s="565"/>
    </row>
    <row r="2051" spans="1:12" ht="16.5" thickBot="1">
      <c r="A2051" s="101"/>
      <c r="B2051" s="572" t="s">
        <v>140</v>
      </c>
      <c r="C2051" s="573"/>
      <c r="D2051" s="573"/>
      <c r="E2051" s="573"/>
      <c r="F2051" s="573"/>
      <c r="G2051" s="573"/>
      <c r="H2051" s="573"/>
      <c r="I2051" s="573"/>
      <c r="J2051" s="573"/>
      <c r="K2051" s="573"/>
      <c r="L2051" s="574"/>
    </row>
    <row r="2052" spans="1:12">
      <c r="A2052" s="101"/>
      <c r="B2052" s="72" t="s">
        <v>142</v>
      </c>
      <c r="C2052" s="561" t="str">
        <f ca="1">OFFSET('Bateria indicadores proceso'!$G$3,(RIGHT(A2026,3)),1)</f>
        <v xml:space="preserve">Subdirector </v>
      </c>
      <c r="D2052" s="561"/>
      <c r="E2052" s="561"/>
      <c r="F2052" s="561"/>
      <c r="G2052" s="561"/>
      <c r="H2052" s="561"/>
      <c r="I2052" s="561"/>
      <c r="J2052" s="561"/>
      <c r="K2052" s="561"/>
      <c r="L2052" s="566"/>
    </row>
    <row r="2053" spans="1:12">
      <c r="A2053" s="101"/>
      <c r="B2053" s="72" t="s">
        <v>143</v>
      </c>
      <c r="C2053" s="561" t="str">
        <f ca="1">OFFSET('Bateria indicadores proceso'!$F$3,(RIGHT(A2026,3)),1)</f>
        <v>Subdirección Administrativa y Financiera</v>
      </c>
      <c r="D2053" s="561"/>
      <c r="E2053" s="561"/>
      <c r="F2053" s="561"/>
      <c r="G2053" s="561"/>
      <c r="H2053" s="561"/>
      <c r="I2053" s="561"/>
      <c r="J2053" s="561"/>
      <c r="K2053" s="561"/>
      <c r="L2053" s="566"/>
    </row>
    <row r="2054" spans="1:12">
      <c r="A2054" s="101"/>
      <c r="B2054" s="72" t="s">
        <v>144</v>
      </c>
      <c r="C2054" s="598" t="str">
        <f ca="1">OFFSET('Bateria indicadores proceso'!$H$3,(RIGHT(A2026,3)),1)</f>
        <v>diana.olmos@mininterior.gov.co</v>
      </c>
      <c r="D2054" s="598"/>
      <c r="E2054" s="598"/>
      <c r="F2054" s="598"/>
      <c r="G2054" s="598"/>
      <c r="H2054" s="598"/>
      <c r="I2054" s="598"/>
      <c r="J2054" s="598"/>
      <c r="K2054" s="598"/>
      <c r="L2054" s="599"/>
    </row>
    <row r="2055" spans="1:12" ht="15.75" thickBot="1">
      <c r="A2055" s="104"/>
      <c r="B2055" s="74" t="s">
        <v>145</v>
      </c>
      <c r="C2055" s="596" t="s">
        <v>146</v>
      </c>
      <c r="D2055" s="596"/>
      <c r="E2055" s="596"/>
      <c r="F2055" s="596"/>
      <c r="G2055" s="596"/>
      <c r="H2055" s="596"/>
      <c r="I2055" s="596"/>
      <c r="J2055" s="596"/>
      <c r="K2055" s="596"/>
      <c r="L2055" s="597"/>
    </row>
    <row r="2056" spans="1:12" ht="15.75" thickBot="1"/>
    <row r="2057" spans="1:12" ht="21.75" thickBot="1">
      <c r="A2057" s="586" t="s">
        <v>89</v>
      </c>
      <c r="B2057" s="587"/>
      <c r="C2057" s="587"/>
      <c r="D2057" s="587"/>
      <c r="E2057" s="587"/>
      <c r="F2057" s="587"/>
      <c r="G2057" s="587"/>
      <c r="H2057" s="587"/>
      <c r="I2057" s="587"/>
      <c r="J2057" s="587"/>
      <c r="K2057" s="587"/>
      <c r="L2057" s="588"/>
    </row>
    <row r="2058" spans="1:12" ht="32.25" thickBot="1">
      <c r="A2058" s="69" t="s">
        <v>90</v>
      </c>
      <c r="B2058" s="589" t="s">
        <v>91</v>
      </c>
      <c r="C2058" s="589"/>
      <c r="D2058" s="589"/>
      <c r="E2058" s="589"/>
      <c r="F2058" s="589"/>
      <c r="G2058" s="589"/>
      <c r="H2058" s="589"/>
      <c r="I2058" s="589"/>
      <c r="J2058" s="589"/>
      <c r="K2058" s="589"/>
      <c r="L2058" s="589"/>
    </row>
    <row r="2059" spans="1:12" ht="16.5" thickBot="1">
      <c r="A2059" s="100"/>
      <c r="B2059" s="71" t="s">
        <v>92</v>
      </c>
      <c r="C2059" s="575" t="s">
        <v>93</v>
      </c>
      <c r="D2059" s="575"/>
      <c r="E2059" s="575"/>
      <c r="F2059" s="575"/>
      <c r="G2059" s="575"/>
      <c r="H2059" s="575"/>
      <c r="I2059" s="575"/>
      <c r="J2059" s="575"/>
      <c r="K2059" s="575"/>
      <c r="L2059" s="576"/>
    </row>
    <row r="2060" spans="1:12" ht="16.5" thickBot="1">
      <c r="A2060" s="101"/>
      <c r="B2060" s="589" t="s">
        <v>94</v>
      </c>
      <c r="C2060" s="590"/>
      <c r="D2060" s="590"/>
      <c r="E2060" s="590"/>
      <c r="F2060" s="590"/>
      <c r="G2060" s="590"/>
      <c r="H2060" s="590"/>
      <c r="I2060" s="590"/>
      <c r="J2060" s="590"/>
      <c r="K2060" s="590"/>
      <c r="L2060" s="590"/>
    </row>
    <row r="2061" spans="1:12">
      <c r="A2061" s="101"/>
      <c r="B2061" s="71" t="s">
        <v>95</v>
      </c>
      <c r="C2061" s="559" t="s">
        <v>96</v>
      </c>
      <c r="D2061" s="559"/>
      <c r="E2061" s="559"/>
      <c r="F2061" s="559"/>
      <c r="G2061" s="559"/>
      <c r="H2061" s="559"/>
      <c r="I2061" s="559"/>
      <c r="J2061" s="559"/>
      <c r="K2061" s="559"/>
      <c r="L2061" s="560"/>
    </row>
    <row r="2062" spans="1:12">
      <c r="A2062" s="102" t="s">
        <v>203</v>
      </c>
      <c r="B2062" s="72" t="s">
        <v>98</v>
      </c>
      <c r="C2062" s="559" t="str">
        <f ca="1">OFFSET('Bateria indicadores proceso'!$F$3,(RIGHT(A2062,3)),1)</f>
        <v>Subdirección Administrativa y Financiera</v>
      </c>
      <c r="D2062" s="559"/>
      <c r="E2062" s="559"/>
      <c r="F2062" s="559"/>
      <c r="G2062" s="559"/>
      <c r="H2062" s="559"/>
      <c r="I2062" s="559"/>
      <c r="J2062" s="559"/>
      <c r="K2062" s="559"/>
      <c r="L2062" s="560"/>
    </row>
    <row r="2063" spans="1:12">
      <c r="A2063" s="101"/>
      <c r="B2063" s="72" t="s">
        <v>99</v>
      </c>
      <c r="C2063" s="559" t="str">
        <f ca="1">OFFSET('Bateria indicadores proceso'!$K$3,(RIGHT(A2062,3)),1)</f>
        <v xml:space="preserve">Tomas físicas realizadas anualmente a las dependencias del Ministerio del Interior </v>
      </c>
      <c r="D2063" s="559"/>
      <c r="E2063" s="559"/>
      <c r="F2063" s="559"/>
      <c r="G2063" s="559"/>
      <c r="H2063" s="559"/>
      <c r="I2063" s="559"/>
      <c r="J2063" s="559"/>
      <c r="K2063" s="559"/>
      <c r="L2063" s="560"/>
    </row>
    <row r="2064" spans="1:12">
      <c r="A2064" s="101"/>
      <c r="B2064" s="72" t="s">
        <v>100</v>
      </c>
      <c r="C2064" s="559" t="str">
        <f ca="1">OFFSET('Bateria indicadores proceso'!$I$3,(RIGHT(A2062,3)),1)</f>
        <v>Eficiencia</v>
      </c>
      <c r="D2064" s="559"/>
      <c r="E2064" s="559"/>
      <c r="F2064" s="559"/>
      <c r="G2064" s="559"/>
      <c r="H2064" s="559"/>
      <c r="I2064" s="559"/>
      <c r="J2064" s="559"/>
      <c r="K2064" s="559"/>
      <c r="L2064" s="560"/>
    </row>
    <row r="2065" spans="1:12" ht="15.75" thickBot="1">
      <c r="A2065" s="103"/>
      <c r="B2065" s="73" t="s">
        <v>101</v>
      </c>
      <c r="C2065" s="559" t="str">
        <f ca="1">OFFSET('Bateria indicadores proceso'!$J$3,(RIGHT(A2062,3)),1)</f>
        <v xml:space="preserve">Hacer seguimiento a las tomas física realizadas anualmente a los bienes de las 27 dependencias del Ministerio del Interior, con el objeto de conservar el inventario de la entidad, el numero de tomas físicas debe aumentar en durante la vigencia.  </v>
      </c>
      <c r="D2065" s="559"/>
      <c r="E2065" s="559"/>
      <c r="F2065" s="559"/>
      <c r="G2065" s="559"/>
      <c r="H2065" s="559"/>
      <c r="I2065" s="559"/>
      <c r="J2065" s="559"/>
      <c r="K2065" s="559"/>
      <c r="L2065" s="560"/>
    </row>
    <row r="2066" spans="1:12" ht="16.5" thickBot="1">
      <c r="A2066" s="103"/>
      <c r="B2066" s="572" t="s">
        <v>102</v>
      </c>
      <c r="C2066" s="573"/>
      <c r="D2066" s="573"/>
      <c r="E2066" s="573"/>
      <c r="F2066" s="573"/>
      <c r="G2066" s="573"/>
      <c r="H2066" s="573"/>
      <c r="I2066" s="573"/>
      <c r="J2066" s="573"/>
      <c r="K2066" s="573"/>
      <c r="L2066" s="574"/>
    </row>
    <row r="2067" spans="1:12">
      <c r="A2067" s="101"/>
      <c r="B2067" s="71" t="s">
        <v>103</v>
      </c>
      <c r="C2067" s="559" t="str">
        <f ca="1">OFFSET('Bateria indicadores proceso'!$O$3,(RIGHT(A2062,3)),1)</f>
        <v>Número</v>
      </c>
      <c r="D2067" s="559"/>
      <c r="E2067" s="559"/>
      <c r="F2067" s="559"/>
      <c r="G2067" s="559"/>
      <c r="H2067" s="559"/>
      <c r="I2067" s="559"/>
      <c r="J2067" s="559"/>
      <c r="K2067" s="559"/>
      <c r="L2067" s="560"/>
    </row>
    <row r="2068" spans="1:12" ht="24">
      <c r="A2068" s="101"/>
      <c r="B2068" s="72" t="s">
        <v>104</v>
      </c>
      <c r="C2068" s="559"/>
      <c r="D2068" s="559"/>
      <c r="E2068" s="559"/>
      <c r="F2068" s="559"/>
      <c r="G2068" s="559"/>
      <c r="H2068" s="559"/>
      <c r="I2068" s="559"/>
      <c r="J2068" s="559"/>
      <c r="K2068" s="559"/>
      <c r="L2068" s="560"/>
    </row>
    <row r="2069" spans="1:12">
      <c r="A2069" s="101"/>
      <c r="B2069" s="72" t="s">
        <v>105</v>
      </c>
      <c r="C2069" s="559" t="str">
        <f ca="1">OFFSET('Bateria indicadores proceso'!$L$3,(RIGHT(A2062,3)),1)</f>
        <v>Sumatoria de tomas físicas realizadas por dependencia</v>
      </c>
      <c r="D2069" s="559"/>
      <c r="E2069" s="559"/>
      <c r="F2069" s="559"/>
      <c r="G2069" s="559"/>
      <c r="H2069" s="559"/>
      <c r="I2069" s="559"/>
      <c r="J2069" s="559"/>
      <c r="K2069" s="559"/>
      <c r="L2069" s="560"/>
    </row>
    <row r="2070" spans="1:12">
      <c r="A2070" s="101"/>
      <c r="B2070" s="72" t="s">
        <v>106</v>
      </c>
      <c r="C2070" s="559" t="str">
        <f ca="1">OFFSET('Bateria indicadores proceso'!$Z$3,(RIGHT(A2062,3)),1)</f>
        <v>Trimestral</v>
      </c>
      <c r="D2070" s="559"/>
      <c r="E2070" s="559"/>
      <c r="F2070" s="559"/>
      <c r="G2070" s="559"/>
      <c r="H2070" s="559"/>
      <c r="I2070" s="559"/>
      <c r="J2070" s="559"/>
      <c r="K2070" s="559"/>
      <c r="L2070" s="560"/>
    </row>
    <row r="2071" spans="1:12">
      <c r="A2071" s="101"/>
      <c r="B2071" s="72" t="s">
        <v>107</v>
      </c>
      <c r="C2071" s="559" t="str">
        <f ca="1">OFFSET('Bateria indicadores proceso'!$X$3,(RIGHT(A2062,3)),1)</f>
        <v>Sumatoria de tomas físicas realizadas por dependencia</v>
      </c>
      <c r="D2071" s="559"/>
      <c r="E2071" s="559"/>
      <c r="F2071" s="559"/>
      <c r="G2071" s="559"/>
      <c r="H2071" s="559"/>
      <c r="I2071" s="559"/>
      <c r="J2071" s="559"/>
      <c r="K2071" s="559"/>
      <c r="L2071" s="560"/>
    </row>
    <row r="2072" spans="1:12">
      <c r="A2072" s="101"/>
      <c r="B2072" s="72" t="s">
        <v>108</v>
      </c>
      <c r="C2072" s="561">
        <f ca="1">OFFSET('Bateria indicadores proceso'!$P$3,(RIGHT(A2062,3)),1)</f>
        <v>2024</v>
      </c>
      <c r="D2072" s="561"/>
      <c r="E2072" s="561"/>
      <c r="F2072" s="561"/>
      <c r="G2072" s="561"/>
      <c r="H2072" s="561"/>
      <c r="I2072" s="561"/>
      <c r="J2072" s="561"/>
      <c r="K2072" s="561"/>
      <c r="L2072" s="566"/>
    </row>
    <row r="2073" spans="1:12">
      <c r="A2073" s="101"/>
      <c r="B2073" s="72" t="s">
        <v>109</v>
      </c>
      <c r="C2073" s="561" t="str">
        <f ca="1">IF(C2067="Número",TEXT(OFFSET('Bateria indicadores proceso'!$Q$3,(RIGHT(A2062,3)),1),"######"),TEXT(OFFSET('Bateria indicadores proceso'!$Q$3,(RIGHT(A2062,3)),1),"0.0%"))</f>
        <v>25</v>
      </c>
      <c r="D2073" s="561"/>
      <c r="E2073" s="561"/>
      <c r="F2073" s="561"/>
      <c r="G2073" s="561"/>
      <c r="H2073" s="561"/>
      <c r="I2073" s="561"/>
      <c r="J2073" s="561"/>
      <c r="K2073" s="561"/>
      <c r="L2073" s="566"/>
    </row>
    <row r="2074" spans="1:12">
      <c r="A2074" s="101"/>
      <c r="B2074" s="72" t="s">
        <v>110</v>
      </c>
      <c r="C2074" s="593">
        <f ca="1">+OFFSET('Bateria indicadores proceso'!$R$3,(RIGHT(A2062,3)),1)</f>
        <v>46022</v>
      </c>
      <c r="D2074" s="593"/>
      <c r="E2074" s="593"/>
      <c r="F2074" s="593"/>
      <c r="G2074" s="593"/>
      <c r="H2074" s="593"/>
      <c r="I2074" s="593"/>
      <c r="J2074" s="593"/>
      <c r="K2074" s="593"/>
      <c r="L2074" s="594"/>
    </row>
    <row r="2075" spans="1:12">
      <c r="A2075" s="101"/>
      <c r="B2075" s="72" t="s">
        <v>111</v>
      </c>
      <c r="C2075" s="561" t="str">
        <f ca="1">OFFSET('Bateria indicadores proceso'!$M$3,(RIGHT(A2062,3)),1)</f>
        <v>Incrementar</v>
      </c>
      <c r="D2075" s="561"/>
      <c r="E2075" s="561"/>
      <c r="F2075" s="561"/>
      <c r="G2075" s="561"/>
      <c r="H2075" s="561"/>
      <c r="I2075" s="561"/>
      <c r="J2075" s="561"/>
      <c r="K2075" s="561"/>
      <c r="L2075" s="566"/>
    </row>
    <row r="2076" spans="1:12">
      <c r="A2076" s="101"/>
      <c r="B2076" s="72" t="s">
        <v>112</v>
      </c>
      <c r="C2076" s="561" t="str">
        <f ca="1">OFFSET('Bateria indicadores proceso'!$N$3,(RIGHT(A2062,3)),1)</f>
        <v>Acumulado</v>
      </c>
      <c r="D2076" s="561"/>
      <c r="E2076" s="561"/>
      <c r="F2076" s="561"/>
      <c r="G2076" s="561"/>
      <c r="H2076" s="561"/>
      <c r="I2076" s="561"/>
      <c r="J2076" s="561"/>
      <c r="K2076" s="561"/>
      <c r="L2076" s="566"/>
    </row>
    <row r="2077" spans="1:12">
      <c r="A2077" s="101"/>
      <c r="B2077" s="72" t="s">
        <v>113</v>
      </c>
      <c r="C2077" s="561" t="str">
        <f ca="1">IF(C2067="Número",TEXT(OFFSET('Bateria indicadores proceso'!$W$3,(RIGHT(A2062,3)),1),"######"),TEXT(OFFSET('Bateria indicadores proceso'!$W$3,(RIGHT(A2062,3)),1),"0.0%"))</f>
        <v>27</v>
      </c>
      <c r="D2077" s="561"/>
      <c r="E2077" s="561"/>
      <c r="F2077" s="561"/>
      <c r="G2077" s="561"/>
      <c r="H2077" s="561"/>
      <c r="I2077" s="561"/>
      <c r="J2077" s="561"/>
      <c r="K2077" s="561"/>
      <c r="L2077" s="566"/>
    </row>
    <row r="2078" spans="1:12">
      <c r="A2078" s="101"/>
      <c r="B2078" s="595" t="s">
        <v>114</v>
      </c>
      <c r="C2078" s="70" t="s">
        <v>115</v>
      </c>
      <c r="D2078" s="70" t="s">
        <v>116</v>
      </c>
      <c r="E2078" s="70" t="s">
        <v>117</v>
      </c>
      <c r="F2078" s="70" t="s">
        <v>118</v>
      </c>
      <c r="J2078" s="75"/>
      <c r="K2078" s="75"/>
      <c r="L2078" s="76"/>
    </row>
    <row r="2079" spans="1:12">
      <c r="A2079" s="101"/>
      <c r="B2079" s="595"/>
      <c r="C2079" s="70" t="str">
        <f ca="1">IF(C2067="Número",TEXT(OFFSET('Bateria indicadores proceso'!$S$3,(RIGHT(A2062,3)),1),"######"),TEXT(OFFSET('Bateria indicadores proceso'!$S$3,(RIGHT(A2062,3)),1),"0.0%"))</f>
        <v/>
      </c>
      <c r="D2079" s="70" t="str">
        <f ca="1">IF(C2067="Número",TEXT(OFFSET('Bateria indicadores proceso'!$T$3,(RIGHT(A2062,3)),1),"######"),TEXT(OFFSET('Bateria indicadores proceso'!$T$3,(RIGHT(A2062,3)),1),"0.0%"))</f>
        <v>10</v>
      </c>
      <c r="E2079" s="70" t="str">
        <f ca="1">IF(C2067="Número",TEXT(OFFSET('Bateria indicadores proceso'!$U$3,(RIGHT(A2062,3)),1),"######"),TEXT(OFFSET('Bateria indicadores proceso'!$U$3,(RIGHT(A2062,3)),1),"0.0%"))</f>
        <v>9</v>
      </c>
      <c r="F2079" s="70" t="str">
        <f ca="1">IF(C2067="Número",TEXT(OFFSET('Bateria indicadores proceso'!$V$3,(RIGHT(A2062,3)),1),"######"),TEXT(OFFSET('Bateria indicadores proceso'!$V$3,(RIGHT(A2062,3)),1),"0.0%"))</f>
        <v>8</v>
      </c>
      <c r="J2079" s="77"/>
      <c r="K2079" s="77"/>
      <c r="L2079" s="78"/>
    </row>
    <row r="2080" spans="1:12">
      <c r="A2080" s="101"/>
      <c r="B2080" s="600" t="s">
        <v>119</v>
      </c>
      <c r="C2080" s="567" t="s">
        <v>120</v>
      </c>
      <c r="D2080" s="568"/>
      <c r="E2080" s="567" t="s">
        <v>121</v>
      </c>
      <c r="F2080" s="568"/>
      <c r="G2080" s="567" t="s">
        <v>122</v>
      </c>
      <c r="H2080" s="568"/>
      <c r="I2080" s="567" t="s">
        <v>123</v>
      </c>
      <c r="J2080" s="568"/>
      <c r="K2080" s="567" t="s">
        <v>124</v>
      </c>
      <c r="L2080" s="569"/>
    </row>
    <row r="2081" spans="1:12">
      <c r="A2081" s="101"/>
      <c r="B2081" s="601"/>
      <c r="C2081" s="570" t="s">
        <v>125</v>
      </c>
      <c r="D2081" s="571"/>
      <c r="E2081" s="577" t="s">
        <v>126</v>
      </c>
      <c r="F2081" s="578"/>
      <c r="G2081" s="579" t="s">
        <v>127</v>
      </c>
      <c r="H2081" s="580"/>
      <c r="I2081" s="581" t="s">
        <v>128</v>
      </c>
      <c r="J2081" s="582"/>
      <c r="K2081" s="583" t="s">
        <v>129</v>
      </c>
      <c r="L2081" s="584"/>
    </row>
    <row r="2082" spans="1:12">
      <c r="A2082" s="101"/>
      <c r="B2082" s="602"/>
      <c r="C2082" s="567" t="s">
        <v>130</v>
      </c>
      <c r="D2082" s="568"/>
      <c r="E2082" s="567" t="s">
        <v>131</v>
      </c>
      <c r="F2082" s="568"/>
      <c r="G2082" s="585" t="s">
        <v>132</v>
      </c>
      <c r="H2082" s="568"/>
      <c r="I2082" s="567" t="s">
        <v>133</v>
      </c>
      <c r="J2082" s="568"/>
      <c r="K2082" s="567" t="s">
        <v>134</v>
      </c>
      <c r="L2082" s="569"/>
    </row>
    <row r="2083" spans="1:12">
      <c r="A2083" s="101"/>
      <c r="B2083" s="72" t="s">
        <v>135</v>
      </c>
      <c r="C2083" s="559" t="str">
        <f ca="1">OFFSET('Bateria indicadores proceso'!$Y$3,(RIGHT(A2062,3)),1)</f>
        <v xml:space="preserve">Formato Informe Toma Física </v>
      </c>
      <c r="D2083" s="559"/>
      <c r="E2083" s="559"/>
      <c r="F2083" s="559"/>
      <c r="G2083" s="559"/>
      <c r="H2083" s="559"/>
      <c r="I2083" s="559"/>
      <c r="J2083" s="559"/>
      <c r="K2083" s="559"/>
      <c r="L2083" s="560"/>
    </row>
    <row r="2084" spans="1:12">
      <c r="A2084" s="101"/>
      <c r="B2084" s="591" t="s">
        <v>136</v>
      </c>
      <c r="C2084" s="561" t="s">
        <v>137</v>
      </c>
      <c r="D2084" s="561"/>
      <c r="E2084" s="561"/>
      <c r="F2084" s="562" t="str">
        <f ca="1">OFFSET('Bateria indicadores proceso'!$B$3,(RIGHT(A2062,3)),1)</f>
        <v>GESTIÓN ADMINISTRATIVA</v>
      </c>
      <c r="G2084" s="562"/>
      <c r="H2084" s="562"/>
      <c r="I2084" s="562"/>
      <c r="J2084" s="562"/>
      <c r="K2084" s="562"/>
      <c r="L2084" s="563"/>
    </row>
    <row r="2085" spans="1:12">
      <c r="A2085" s="101"/>
      <c r="B2085" s="592"/>
      <c r="C2085" s="561" t="s">
        <v>138</v>
      </c>
      <c r="D2085" s="561"/>
      <c r="E2085" s="561"/>
      <c r="F2085" s="564">
        <f ca="1">OFFSET('Bateria indicadores proceso'!$C$3,(RIGHT(A2062,3)),1)</f>
        <v>1</v>
      </c>
      <c r="G2085" s="564"/>
      <c r="H2085" s="564"/>
      <c r="I2085" s="564"/>
      <c r="J2085" s="564"/>
      <c r="K2085" s="564"/>
      <c r="L2085" s="565"/>
    </row>
    <row r="2086" spans="1:12" ht="15.75" thickBot="1">
      <c r="A2086" s="101"/>
      <c r="B2086" s="592"/>
      <c r="C2086" s="561" t="s">
        <v>139</v>
      </c>
      <c r="D2086" s="561"/>
      <c r="E2086" s="561"/>
      <c r="F2086" s="564">
        <f ca="1">OFFSET('Bateria indicadores proceso'!$E$3,(RIGHT(A2062,3)),1)</f>
        <v>0.5</v>
      </c>
      <c r="G2086" s="564"/>
      <c r="H2086" s="564"/>
      <c r="I2086" s="564"/>
      <c r="J2086" s="564"/>
      <c r="K2086" s="564"/>
      <c r="L2086" s="565"/>
    </row>
    <row r="2087" spans="1:12" ht="16.5" thickBot="1">
      <c r="A2087" s="101"/>
      <c r="B2087" s="572" t="s">
        <v>140</v>
      </c>
      <c r="C2087" s="573"/>
      <c r="D2087" s="573"/>
      <c r="E2087" s="573"/>
      <c r="F2087" s="573"/>
      <c r="G2087" s="573"/>
      <c r="H2087" s="573"/>
      <c r="I2087" s="573"/>
      <c r="J2087" s="573"/>
      <c r="K2087" s="573"/>
      <c r="L2087" s="574"/>
    </row>
    <row r="2088" spans="1:12">
      <c r="A2088" s="101"/>
      <c r="B2088" s="72" t="s">
        <v>142</v>
      </c>
      <c r="C2088" s="561" t="str">
        <f ca="1">OFFSET('Bateria indicadores proceso'!$G$3,(RIGHT(A2062,3)),1)</f>
        <v xml:space="preserve">Subdirector </v>
      </c>
      <c r="D2088" s="561"/>
      <c r="E2088" s="561"/>
      <c r="F2088" s="561"/>
      <c r="G2088" s="561"/>
      <c r="H2088" s="561"/>
      <c r="I2088" s="561"/>
      <c r="J2088" s="561"/>
      <c r="K2088" s="561"/>
      <c r="L2088" s="566"/>
    </row>
    <row r="2089" spans="1:12">
      <c r="A2089" s="101"/>
      <c r="B2089" s="72" t="s">
        <v>143</v>
      </c>
      <c r="C2089" s="561" t="str">
        <f ca="1">OFFSET('Bateria indicadores proceso'!$F$3,(RIGHT(A2062,3)),1)</f>
        <v>Subdirección Administrativa y Financiera</v>
      </c>
      <c r="D2089" s="561"/>
      <c r="E2089" s="561"/>
      <c r="F2089" s="561"/>
      <c r="G2089" s="561"/>
      <c r="H2089" s="561"/>
      <c r="I2089" s="561"/>
      <c r="J2089" s="561"/>
      <c r="K2089" s="561"/>
      <c r="L2089" s="566"/>
    </row>
    <row r="2090" spans="1:12">
      <c r="A2090" s="101"/>
      <c r="B2090" s="72" t="s">
        <v>144</v>
      </c>
      <c r="C2090" s="598" t="str">
        <f ca="1">OFFSET('Bateria indicadores proceso'!$H$3,(RIGHT(A2026,3)),1)</f>
        <v>diana.olmos@mininterior.gov.co</v>
      </c>
      <c r="D2090" s="598"/>
      <c r="E2090" s="598"/>
      <c r="F2090" s="598"/>
      <c r="G2090" s="598"/>
      <c r="H2090" s="598"/>
      <c r="I2090" s="598"/>
      <c r="J2090" s="598"/>
      <c r="K2090" s="598"/>
      <c r="L2090" s="599"/>
    </row>
    <row r="2091" spans="1:12" ht="15.75" thickBot="1">
      <c r="A2091" s="104"/>
      <c r="B2091" s="74" t="s">
        <v>145</v>
      </c>
      <c r="C2091" s="596" t="s">
        <v>146</v>
      </c>
      <c r="D2091" s="596"/>
      <c r="E2091" s="596"/>
      <c r="F2091" s="596"/>
      <c r="G2091" s="596"/>
      <c r="H2091" s="596"/>
      <c r="I2091" s="596"/>
      <c r="J2091" s="596"/>
      <c r="K2091" s="596"/>
      <c r="L2091" s="597"/>
    </row>
    <row r="2092" spans="1:12" ht="15.75" thickBot="1"/>
    <row r="2093" spans="1:12" ht="21.75" thickBot="1">
      <c r="A2093" s="586" t="s">
        <v>89</v>
      </c>
      <c r="B2093" s="587"/>
      <c r="C2093" s="587"/>
      <c r="D2093" s="587"/>
      <c r="E2093" s="587"/>
      <c r="F2093" s="587"/>
      <c r="G2093" s="587"/>
      <c r="H2093" s="587"/>
      <c r="I2093" s="587"/>
      <c r="J2093" s="587"/>
      <c r="K2093" s="587"/>
      <c r="L2093" s="588"/>
    </row>
    <row r="2094" spans="1:12" ht="32.25" thickBot="1">
      <c r="A2094" s="69" t="s">
        <v>90</v>
      </c>
      <c r="B2094" s="589" t="s">
        <v>91</v>
      </c>
      <c r="C2094" s="589"/>
      <c r="D2094" s="589"/>
      <c r="E2094" s="589"/>
      <c r="F2094" s="589"/>
      <c r="G2094" s="589"/>
      <c r="H2094" s="589"/>
      <c r="I2094" s="589"/>
      <c r="J2094" s="589"/>
      <c r="K2094" s="589"/>
      <c r="L2094" s="589"/>
    </row>
    <row r="2095" spans="1:12" ht="16.5" thickBot="1">
      <c r="A2095" s="100"/>
      <c r="B2095" s="71" t="s">
        <v>92</v>
      </c>
      <c r="C2095" s="575" t="s">
        <v>93</v>
      </c>
      <c r="D2095" s="575"/>
      <c r="E2095" s="575"/>
      <c r="F2095" s="575"/>
      <c r="G2095" s="575"/>
      <c r="H2095" s="575"/>
      <c r="I2095" s="575"/>
      <c r="J2095" s="575"/>
      <c r="K2095" s="575"/>
      <c r="L2095" s="576"/>
    </row>
    <row r="2096" spans="1:12" ht="16.5" thickBot="1">
      <c r="A2096" s="101"/>
      <c r="B2096" s="589" t="s">
        <v>94</v>
      </c>
      <c r="C2096" s="590"/>
      <c r="D2096" s="590"/>
      <c r="E2096" s="590"/>
      <c r="F2096" s="590"/>
      <c r="G2096" s="590"/>
      <c r="H2096" s="590"/>
      <c r="I2096" s="590"/>
      <c r="J2096" s="590"/>
      <c r="K2096" s="590"/>
      <c r="L2096" s="590"/>
    </row>
    <row r="2097" spans="1:12">
      <c r="A2097" s="101"/>
      <c r="B2097" s="71" t="s">
        <v>95</v>
      </c>
      <c r="C2097" s="559" t="s">
        <v>96</v>
      </c>
      <c r="D2097" s="559"/>
      <c r="E2097" s="559"/>
      <c r="F2097" s="559"/>
      <c r="G2097" s="559"/>
      <c r="H2097" s="559"/>
      <c r="I2097" s="559"/>
      <c r="J2097" s="559"/>
      <c r="K2097" s="559"/>
      <c r="L2097" s="560"/>
    </row>
    <row r="2098" spans="1:12">
      <c r="A2098" s="102" t="s">
        <v>204</v>
      </c>
      <c r="B2098" s="72" t="s">
        <v>98</v>
      </c>
      <c r="C2098" s="559" t="str">
        <f ca="1">OFFSET('Bateria indicadores proceso'!$F$3,(RIGHT(A2098,3)),1)</f>
        <v>Subdirección Administrativa y Financiera</v>
      </c>
      <c r="D2098" s="559"/>
      <c r="E2098" s="559"/>
      <c r="F2098" s="559"/>
      <c r="G2098" s="559"/>
      <c r="H2098" s="559"/>
      <c r="I2098" s="559"/>
      <c r="J2098" s="559"/>
      <c r="K2098" s="559"/>
      <c r="L2098" s="560"/>
    </row>
    <row r="2099" spans="1:12">
      <c r="A2099" s="101"/>
      <c r="B2099" s="72" t="s">
        <v>99</v>
      </c>
      <c r="C2099" s="559" t="str">
        <f ca="1">OFFSET('Bateria indicadores proceso'!$K$3,(RIGHT(A2098,3)),1)</f>
        <v>Pagos realizados de las obligaciones de ministerio del interior</v>
      </c>
      <c r="D2099" s="559"/>
      <c r="E2099" s="559"/>
      <c r="F2099" s="559"/>
      <c r="G2099" s="559"/>
      <c r="H2099" s="559"/>
      <c r="I2099" s="559"/>
      <c r="J2099" s="559"/>
      <c r="K2099" s="559"/>
      <c r="L2099" s="560"/>
    </row>
    <row r="2100" spans="1:12">
      <c r="A2100" s="101"/>
      <c r="B2100" s="72" t="s">
        <v>100</v>
      </c>
      <c r="C2100" s="559" t="str">
        <f ca="1">OFFSET('Bateria indicadores proceso'!$I$3,(RIGHT(A2098,3)),1)</f>
        <v>Eficacia</v>
      </c>
      <c r="D2100" s="559"/>
      <c r="E2100" s="559"/>
      <c r="F2100" s="559"/>
      <c r="G2100" s="559"/>
      <c r="H2100" s="559"/>
      <c r="I2100" s="559"/>
      <c r="J2100" s="559"/>
      <c r="K2100" s="559"/>
      <c r="L2100" s="560"/>
    </row>
    <row r="2101" spans="1:12" ht="15.75" thickBot="1">
      <c r="A2101" s="103"/>
      <c r="B2101" s="73" t="s">
        <v>101</v>
      </c>
      <c r="C2101" s="559" t="str">
        <f ca="1">OFFSET('Bateria indicadores proceso'!$J$3,(RIGHT(A2098,3)),1)</f>
        <v xml:space="preserve">Hacer segmento a los pagos realizados con base en las solicitudes y el cumplimiento de requisitos por parte de las dependencias del Ministerio; el porcentaje de pagos debe aumentar durante la vigencia. </v>
      </c>
      <c r="D2101" s="559"/>
      <c r="E2101" s="559"/>
      <c r="F2101" s="559"/>
      <c r="G2101" s="559"/>
      <c r="H2101" s="559"/>
      <c r="I2101" s="559"/>
      <c r="J2101" s="559"/>
      <c r="K2101" s="559"/>
      <c r="L2101" s="560"/>
    </row>
    <row r="2102" spans="1:12" ht="16.5" thickBot="1">
      <c r="A2102" s="103"/>
      <c r="B2102" s="572" t="s">
        <v>102</v>
      </c>
      <c r="C2102" s="573"/>
      <c r="D2102" s="573"/>
      <c r="E2102" s="573"/>
      <c r="F2102" s="573"/>
      <c r="G2102" s="573"/>
      <c r="H2102" s="573"/>
      <c r="I2102" s="573"/>
      <c r="J2102" s="573"/>
      <c r="K2102" s="573"/>
      <c r="L2102" s="574"/>
    </row>
    <row r="2103" spans="1:12">
      <c r="A2103" s="101"/>
      <c r="B2103" s="71" t="s">
        <v>103</v>
      </c>
      <c r="C2103" s="559" t="str">
        <f ca="1">OFFSET('Bateria indicadores proceso'!$O$3,(RIGHT(A2098,3)),1)</f>
        <v>Porcentaje</v>
      </c>
      <c r="D2103" s="559"/>
      <c r="E2103" s="559"/>
      <c r="F2103" s="559"/>
      <c r="G2103" s="559"/>
      <c r="H2103" s="559"/>
      <c r="I2103" s="559"/>
      <c r="J2103" s="559"/>
      <c r="K2103" s="559"/>
      <c r="L2103" s="560"/>
    </row>
    <row r="2104" spans="1:12" ht="24">
      <c r="A2104" s="101"/>
      <c r="B2104" s="72" t="s">
        <v>104</v>
      </c>
      <c r="C2104" s="559"/>
      <c r="D2104" s="559"/>
      <c r="E2104" s="559"/>
      <c r="F2104" s="559"/>
      <c r="G2104" s="559"/>
      <c r="H2104" s="559"/>
      <c r="I2104" s="559"/>
      <c r="J2104" s="559"/>
      <c r="K2104" s="559"/>
      <c r="L2104" s="560"/>
    </row>
    <row r="2105" spans="1:12">
      <c r="A2105" s="101"/>
      <c r="B2105" s="72" t="s">
        <v>105</v>
      </c>
      <c r="C2105" s="559" t="str">
        <f ca="1">OFFSET('Bateria indicadores proceso'!$L$3,(RIGHT(A2098,3)),1)</f>
        <v>(Número de pagos oportunos realizados/Número Total de solicitudes de pagos radicados)*100</v>
      </c>
      <c r="D2105" s="559"/>
      <c r="E2105" s="559"/>
      <c r="F2105" s="559"/>
      <c r="G2105" s="559"/>
      <c r="H2105" s="559"/>
      <c r="I2105" s="559"/>
      <c r="J2105" s="559"/>
      <c r="K2105" s="559"/>
      <c r="L2105" s="560"/>
    </row>
    <row r="2106" spans="1:12">
      <c r="A2106" s="101"/>
      <c r="B2106" s="72" t="s">
        <v>106</v>
      </c>
      <c r="C2106" s="559" t="str">
        <f ca="1">OFFSET('Bateria indicadores proceso'!$Z$3,(RIGHT(A2098,3)),1)</f>
        <v>Trimestral</v>
      </c>
      <c r="D2106" s="559"/>
      <c r="E2106" s="559"/>
      <c r="F2106" s="559"/>
      <c r="G2106" s="559"/>
      <c r="H2106" s="559"/>
      <c r="I2106" s="559"/>
      <c r="J2106" s="559"/>
      <c r="K2106" s="559"/>
      <c r="L2106" s="560"/>
    </row>
    <row r="2107" spans="1:12">
      <c r="A2107" s="101"/>
      <c r="B2107" s="72" t="s">
        <v>107</v>
      </c>
      <c r="C2107" s="559" t="str">
        <f ca="1">OFFSET('Bateria indicadores proceso'!$X$3,(RIGHT(A2098,3)),1)</f>
        <v>Sistema Integrado de Información Financiera SIIF</v>
      </c>
      <c r="D2107" s="559"/>
      <c r="E2107" s="559"/>
      <c r="F2107" s="559"/>
      <c r="G2107" s="559"/>
      <c r="H2107" s="559"/>
      <c r="I2107" s="559"/>
      <c r="J2107" s="559"/>
      <c r="K2107" s="559"/>
      <c r="L2107" s="560"/>
    </row>
    <row r="2108" spans="1:12">
      <c r="A2108" s="101"/>
      <c r="B2108" s="72" t="s">
        <v>108</v>
      </c>
      <c r="C2108" s="561">
        <f ca="1">OFFSET('Bateria indicadores proceso'!$P$3,(RIGHT(A2098,3)),1)</f>
        <v>2024</v>
      </c>
      <c r="D2108" s="561"/>
      <c r="E2108" s="561"/>
      <c r="F2108" s="561"/>
      <c r="G2108" s="561"/>
      <c r="H2108" s="561"/>
      <c r="I2108" s="561"/>
      <c r="J2108" s="561"/>
      <c r="K2108" s="561"/>
      <c r="L2108" s="566"/>
    </row>
    <row r="2109" spans="1:12">
      <c r="A2109" s="101"/>
      <c r="B2109" s="72" t="s">
        <v>109</v>
      </c>
      <c r="C2109" s="561" t="str">
        <f ca="1">IF(C2103="Número",TEXT(OFFSET('Bateria indicadores proceso'!$Q$3,(RIGHT(A2098,3)),1),"######"),TEXT(OFFSET('Bateria indicadores proceso'!$Q$3,(RIGHT(A2098,3)),1),"0.0%"))</f>
        <v>80%</v>
      </c>
      <c r="D2109" s="561"/>
      <c r="E2109" s="561"/>
      <c r="F2109" s="561"/>
      <c r="G2109" s="561"/>
      <c r="H2109" s="561"/>
      <c r="I2109" s="561"/>
      <c r="J2109" s="561"/>
      <c r="K2109" s="561"/>
      <c r="L2109" s="566"/>
    </row>
    <row r="2110" spans="1:12">
      <c r="A2110" s="101"/>
      <c r="B2110" s="72" t="s">
        <v>110</v>
      </c>
      <c r="C2110" s="593">
        <f ca="1">+OFFSET('Bateria indicadores proceso'!$R$3,(RIGHT(A2098,3)),1)</f>
        <v>46022</v>
      </c>
      <c r="D2110" s="593"/>
      <c r="E2110" s="593"/>
      <c r="F2110" s="593"/>
      <c r="G2110" s="593"/>
      <c r="H2110" s="593"/>
      <c r="I2110" s="593"/>
      <c r="J2110" s="593"/>
      <c r="K2110" s="593"/>
      <c r="L2110" s="594"/>
    </row>
    <row r="2111" spans="1:12">
      <c r="A2111" s="101"/>
      <c r="B2111" s="72" t="s">
        <v>111</v>
      </c>
      <c r="C2111" s="561" t="str">
        <f ca="1">OFFSET('Bateria indicadores proceso'!$M$3,(RIGHT(A2098,3)),1)</f>
        <v>Incrementar</v>
      </c>
      <c r="D2111" s="561"/>
      <c r="E2111" s="561"/>
      <c r="F2111" s="561"/>
      <c r="G2111" s="561"/>
      <c r="H2111" s="561"/>
      <c r="I2111" s="561"/>
      <c r="J2111" s="561"/>
      <c r="K2111" s="561"/>
      <c r="L2111" s="566"/>
    </row>
    <row r="2112" spans="1:12">
      <c r="A2112" s="101"/>
      <c r="B2112" s="72" t="s">
        <v>112</v>
      </c>
      <c r="C2112" s="561" t="str">
        <f ca="1">OFFSET('Bateria indicadores proceso'!$N$3,(RIGHT(A2098,3)),1)</f>
        <v>Flujo</v>
      </c>
      <c r="D2112" s="561"/>
      <c r="E2112" s="561"/>
      <c r="F2112" s="561"/>
      <c r="G2112" s="561"/>
      <c r="H2112" s="561"/>
      <c r="I2112" s="561"/>
      <c r="J2112" s="561"/>
      <c r="K2112" s="561"/>
      <c r="L2112" s="566"/>
    </row>
    <row r="2113" spans="1:12">
      <c r="A2113" s="101"/>
      <c r="B2113" s="72" t="s">
        <v>113</v>
      </c>
      <c r="C2113" s="561" t="str">
        <f ca="1">IF(C2103="Número",TEXT(OFFSET('Bateria indicadores proceso'!$W$3,(RIGHT(A2098,3)),1),"######"),TEXT(OFFSET('Bateria indicadores proceso'!$W$3,(RIGHT(A2098,3)),1),"0.0%"))</f>
        <v>100%</v>
      </c>
      <c r="D2113" s="561"/>
      <c r="E2113" s="561"/>
      <c r="F2113" s="561"/>
      <c r="G2113" s="561"/>
      <c r="H2113" s="561"/>
      <c r="I2113" s="561"/>
      <c r="J2113" s="561"/>
      <c r="K2113" s="561"/>
      <c r="L2113" s="566"/>
    </row>
    <row r="2114" spans="1:12">
      <c r="A2114" s="101"/>
      <c r="B2114" s="595" t="s">
        <v>114</v>
      </c>
      <c r="C2114" s="70" t="s">
        <v>115</v>
      </c>
      <c r="D2114" s="70" t="s">
        <v>116</v>
      </c>
      <c r="E2114" s="70" t="s">
        <v>117</v>
      </c>
      <c r="F2114" s="70" t="s">
        <v>118</v>
      </c>
      <c r="J2114" s="75"/>
      <c r="K2114" s="75"/>
      <c r="L2114" s="76"/>
    </row>
    <row r="2115" spans="1:12">
      <c r="A2115" s="101"/>
      <c r="B2115" s="595"/>
      <c r="C2115" s="70" t="str">
        <f ca="1">IF(C2103="Número",TEXT(OFFSET('Bateria indicadores proceso'!$S$3,(RIGHT(A2098,3)),1),"######"),TEXT(OFFSET('Bateria indicadores proceso'!$S$3,(RIGHT(A2098,3)),1),"0.0%"))</f>
        <v>100%</v>
      </c>
      <c r="D2115" s="70" t="str">
        <f ca="1">IF(C2103="Número",TEXT(OFFSET('Bateria indicadores proceso'!$T$3,(RIGHT(A2098,3)),1),"######"),TEXT(OFFSET('Bateria indicadores proceso'!$T$3,(RIGHT(A2098,3)),1),"0.0%"))</f>
        <v>100%</v>
      </c>
      <c r="E2115" s="70" t="str">
        <f ca="1">IF(C2103="Número",TEXT(OFFSET('Bateria indicadores proceso'!$U$3,(RIGHT(A2098,3)),1),"######"),TEXT(OFFSET('Bateria indicadores proceso'!$U$3,(RIGHT(A2098,3)),1),"0.0%"))</f>
        <v>100%</v>
      </c>
      <c r="F2115" s="70" t="str">
        <f ca="1">IF(C2103="Número",TEXT(OFFSET('Bateria indicadores proceso'!$V$3,(RIGHT(A2098,3)),1),"######"),TEXT(OFFSET('Bateria indicadores proceso'!$V$3,(RIGHT(A2098,3)),1),"0.0%"))</f>
        <v>100%</v>
      </c>
      <c r="J2115" s="77"/>
      <c r="K2115" s="77"/>
      <c r="L2115" s="78"/>
    </row>
    <row r="2116" spans="1:12">
      <c r="A2116" s="101"/>
      <c r="B2116" s="600" t="s">
        <v>119</v>
      </c>
      <c r="C2116" s="567" t="s">
        <v>120</v>
      </c>
      <c r="D2116" s="568"/>
      <c r="E2116" s="567" t="s">
        <v>121</v>
      </c>
      <c r="F2116" s="568"/>
      <c r="G2116" s="567" t="s">
        <v>122</v>
      </c>
      <c r="H2116" s="568"/>
      <c r="I2116" s="567" t="s">
        <v>123</v>
      </c>
      <c r="J2116" s="568"/>
      <c r="K2116" s="567" t="s">
        <v>124</v>
      </c>
      <c r="L2116" s="569"/>
    </row>
    <row r="2117" spans="1:12">
      <c r="A2117" s="101"/>
      <c r="B2117" s="601"/>
      <c r="C2117" s="570" t="s">
        <v>125</v>
      </c>
      <c r="D2117" s="571"/>
      <c r="E2117" s="577" t="s">
        <v>126</v>
      </c>
      <c r="F2117" s="578"/>
      <c r="G2117" s="579" t="s">
        <v>127</v>
      </c>
      <c r="H2117" s="580"/>
      <c r="I2117" s="581" t="s">
        <v>128</v>
      </c>
      <c r="J2117" s="582"/>
      <c r="K2117" s="583" t="s">
        <v>129</v>
      </c>
      <c r="L2117" s="584"/>
    </row>
    <row r="2118" spans="1:12">
      <c r="A2118" s="101"/>
      <c r="B2118" s="602"/>
      <c r="C2118" s="567" t="s">
        <v>130</v>
      </c>
      <c r="D2118" s="568"/>
      <c r="E2118" s="567" t="s">
        <v>131</v>
      </c>
      <c r="F2118" s="568"/>
      <c r="G2118" s="585" t="s">
        <v>132</v>
      </c>
      <c r="H2118" s="568"/>
      <c r="I2118" s="567" t="s">
        <v>133</v>
      </c>
      <c r="J2118" s="568"/>
      <c r="K2118" s="567" t="s">
        <v>134</v>
      </c>
      <c r="L2118" s="569"/>
    </row>
    <row r="2119" spans="1:12">
      <c r="A2119" s="101"/>
      <c r="B2119" s="72" t="s">
        <v>135</v>
      </c>
      <c r="C2119" s="559" t="str">
        <f ca="1">OFFSET('Bateria indicadores proceso'!$Y$3,(RIGHT(A2098,3)),1)</f>
        <v>Listado ordenes de pago</v>
      </c>
      <c r="D2119" s="559"/>
      <c r="E2119" s="559"/>
      <c r="F2119" s="559"/>
      <c r="G2119" s="559"/>
      <c r="H2119" s="559"/>
      <c r="I2119" s="559"/>
      <c r="J2119" s="559"/>
      <c r="K2119" s="559"/>
      <c r="L2119" s="560"/>
    </row>
    <row r="2120" spans="1:12">
      <c r="A2120" s="101"/>
      <c r="B2120" s="591" t="s">
        <v>136</v>
      </c>
      <c r="C2120" s="561" t="s">
        <v>137</v>
      </c>
      <c r="D2120" s="561"/>
      <c r="E2120" s="561"/>
      <c r="F2120" s="562" t="str">
        <f ca="1">OFFSET('Bateria indicadores proceso'!$B$3,(RIGHT(A2098,3)),1)</f>
        <v>GESTIÓN FINANCIERA</v>
      </c>
      <c r="G2120" s="562"/>
      <c r="H2120" s="562"/>
      <c r="I2120" s="562"/>
      <c r="J2120" s="562"/>
      <c r="K2120" s="562"/>
      <c r="L2120" s="563"/>
    </row>
    <row r="2121" spans="1:12">
      <c r="A2121" s="101"/>
      <c r="B2121" s="592"/>
      <c r="C2121" s="561" t="s">
        <v>138</v>
      </c>
      <c r="D2121" s="561"/>
      <c r="E2121" s="561"/>
      <c r="F2121" s="564">
        <f ca="1">OFFSET('Bateria indicadores proceso'!$C$3,(RIGHT(A2098,3)),1)</f>
        <v>1</v>
      </c>
      <c r="G2121" s="564"/>
      <c r="H2121" s="564"/>
      <c r="I2121" s="564"/>
      <c r="J2121" s="564"/>
      <c r="K2121" s="564"/>
      <c r="L2121" s="565"/>
    </row>
    <row r="2122" spans="1:12" ht="15.75" thickBot="1">
      <c r="A2122" s="101"/>
      <c r="B2122" s="592"/>
      <c r="C2122" s="561" t="s">
        <v>139</v>
      </c>
      <c r="D2122" s="561"/>
      <c r="E2122" s="561"/>
      <c r="F2122" s="564">
        <f ca="1">OFFSET('Bateria indicadores proceso'!$E$3,(RIGHT(A2098,3)),1)</f>
        <v>0.33</v>
      </c>
      <c r="G2122" s="564"/>
      <c r="H2122" s="564"/>
      <c r="I2122" s="564"/>
      <c r="J2122" s="564"/>
      <c r="K2122" s="564"/>
      <c r="L2122" s="565"/>
    </row>
    <row r="2123" spans="1:12" ht="16.5" thickBot="1">
      <c r="A2123" s="101"/>
      <c r="B2123" s="572" t="s">
        <v>140</v>
      </c>
      <c r="C2123" s="573"/>
      <c r="D2123" s="573"/>
      <c r="E2123" s="573"/>
      <c r="F2123" s="573"/>
      <c r="G2123" s="573"/>
      <c r="H2123" s="573"/>
      <c r="I2123" s="573"/>
      <c r="J2123" s="573"/>
      <c r="K2123" s="573"/>
      <c r="L2123" s="574"/>
    </row>
    <row r="2124" spans="1:12">
      <c r="A2124" s="101"/>
      <c r="B2124" s="72" t="s">
        <v>142</v>
      </c>
      <c r="C2124" s="561" t="str">
        <f ca="1">OFFSET('Bateria indicadores proceso'!$G$3,(RIGHT(A2098,3)),1)</f>
        <v xml:space="preserve">Subdirector </v>
      </c>
      <c r="D2124" s="561"/>
      <c r="E2124" s="561"/>
      <c r="F2124" s="561"/>
      <c r="G2124" s="561"/>
      <c r="H2124" s="561"/>
      <c r="I2124" s="561"/>
      <c r="J2124" s="561"/>
      <c r="K2124" s="561"/>
      <c r="L2124" s="566"/>
    </row>
    <row r="2125" spans="1:12">
      <c r="A2125" s="101"/>
      <c r="B2125" s="72" t="s">
        <v>143</v>
      </c>
      <c r="C2125" s="561" t="str">
        <f ca="1">OFFSET('Bateria indicadores proceso'!$F$3,(RIGHT(A2098,3)),1)</f>
        <v>Subdirección Administrativa y Financiera</v>
      </c>
      <c r="D2125" s="561"/>
      <c r="E2125" s="561"/>
      <c r="F2125" s="561"/>
      <c r="G2125" s="561"/>
      <c r="H2125" s="561"/>
      <c r="I2125" s="561"/>
      <c r="J2125" s="561"/>
      <c r="K2125" s="561"/>
      <c r="L2125" s="566"/>
    </row>
    <row r="2126" spans="1:12">
      <c r="A2126" s="101"/>
      <c r="B2126" s="72" t="s">
        <v>144</v>
      </c>
      <c r="C2126" s="598" t="str">
        <f ca="1">OFFSET('Bateria indicadores proceso'!$H$3,(RIGHT(A2098,3)),1)</f>
        <v>diana.olmos@mininterior.gov.co</v>
      </c>
      <c r="D2126" s="598"/>
      <c r="E2126" s="598"/>
      <c r="F2126" s="598"/>
      <c r="G2126" s="598"/>
      <c r="H2126" s="598"/>
      <c r="I2126" s="598"/>
      <c r="J2126" s="598"/>
      <c r="K2126" s="598"/>
      <c r="L2126" s="599"/>
    </row>
    <row r="2127" spans="1:12" ht="15.75" thickBot="1">
      <c r="A2127" s="104"/>
      <c r="B2127" s="74" t="s">
        <v>145</v>
      </c>
      <c r="C2127" s="596" t="s">
        <v>146</v>
      </c>
      <c r="D2127" s="596"/>
      <c r="E2127" s="596"/>
      <c r="F2127" s="596"/>
      <c r="G2127" s="596"/>
      <c r="H2127" s="596"/>
      <c r="I2127" s="596"/>
      <c r="J2127" s="596"/>
      <c r="K2127" s="596"/>
      <c r="L2127" s="597"/>
    </row>
    <row r="2128" spans="1:12" ht="15.75" thickBot="1"/>
    <row r="2129" spans="1:12" ht="21.75" thickBot="1">
      <c r="A2129" s="586" t="s">
        <v>89</v>
      </c>
      <c r="B2129" s="587"/>
      <c r="C2129" s="587"/>
      <c r="D2129" s="587"/>
      <c r="E2129" s="587"/>
      <c r="F2129" s="587"/>
      <c r="G2129" s="587"/>
      <c r="H2129" s="587"/>
      <c r="I2129" s="587"/>
      <c r="J2129" s="587"/>
      <c r="K2129" s="587"/>
      <c r="L2129" s="588"/>
    </row>
    <row r="2130" spans="1:12" ht="32.25" thickBot="1">
      <c r="A2130" s="69" t="s">
        <v>90</v>
      </c>
      <c r="B2130" s="589" t="s">
        <v>91</v>
      </c>
      <c r="C2130" s="589"/>
      <c r="D2130" s="589"/>
      <c r="E2130" s="589"/>
      <c r="F2130" s="589"/>
      <c r="G2130" s="589"/>
      <c r="H2130" s="589"/>
      <c r="I2130" s="589"/>
      <c r="J2130" s="589"/>
      <c r="K2130" s="589"/>
      <c r="L2130" s="589"/>
    </row>
    <row r="2131" spans="1:12" ht="16.5" thickBot="1">
      <c r="A2131" s="100"/>
      <c r="B2131" s="71" t="s">
        <v>92</v>
      </c>
      <c r="C2131" s="575" t="s">
        <v>93</v>
      </c>
      <c r="D2131" s="575"/>
      <c r="E2131" s="575"/>
      <c r="F2131" s="575"/>
      <c r="G2131" s="575"/>
      <c r="H2131" s="575"/>
      <c r="I2131" s="575"/>
      <c r="J2131" s="575"/>
      <c r="K2131" s="575"/>
      <c r="L2131" s="576"/>
    </row>
    <row r="2132" spans="1:12" ht="16.5" thickBot="1">
      <c r="A2132" s="101"/>
      <c r="B2132" s="589" t="s">
        <v>94</v>
      </c>
      <c r="C2132" s="590"/>
      <c r="D2132" s="590"/>
      <c r="E2132" s="590"/>
      <c r="F2132" s="590"/>
      <c r="G2132" s="590"/>
      <c r="H2132" s="590"/>
      <c r="I2132" s="590"/>
      <c r="J2132" s="590"/>
      <c r="K2132" s="590"/>
      <c r="L2132" s="590"/>
    </row>
    <row r="2133" spans="1:12">
      <c r="A2133" s="101"/>
      <c r="B2133" s="71" t="s">
        <v>95</v>
      </c>
      <c r="C2133" s="559" t="s">
        <v>96</v>
      </c>
      <c r="D2133" s="559"/>
      <c r="E2133" s="559"/>
      <c r="F2133" s="559"/>
      <c r="G2133" s="559"/>
      <c r="H2133" s="559"/>
      <c r="I2133" s="559"/>
      <c r="J2133" s="559"/>
      <c r="K2133" s="559"/>
      <c r="L2133" s="560"/>
    </row>
    <row r="2134" spans="1:12">
      <c r="A2134" s="102" t="s">
        <v>205</v>
      </c>
      <c r="B2134" s="72" t="s">
        <v>98</v>
      </c>
      <c r="C2134" s="559" t="str">
        <f ca="1">OFFSET('Bateria indicadores proceso'!$F$3,(RIGHT(A2134,3)),1)</f>
        <v>Subdirección Administrativa y Financiera</v>
      </c>
      <c r="D2134" s="559"/>
      <c r="E2134" s="559"/>
      <c r="F2134" s="559"/>
      <c r="G2134" s="559"/>
      <c r="H2134" s="559"/>
      <c r="I2134" s="559"/>
      <c r="J2134" s="559"/>
      <c r="K2134" s="559"/>
      <c r="L2134" s="560"/>
    </row>
    <row r="2135" spans="1:12">
      <c r="A2135" s="101"/>
      <c r="B2135" s="72" t="s">
        <v>99</v>
      </c>
      <c r="C2135" s="559" t="str">
        <f ca="1">OFFSET('Bateria indicadores proceso'!$K$3,(RIGHT(A2134,3)),1)</f>
        <v>CDP y RP expedidos por el Grupo de Gestión Financiera y Contable del Ministerio</v>
      </c>
      <c r="D2135" s="559"/>
      <c r="E2135" s="559"/>
      <c r="F2135" s="559"/>
      <c r="G2135" s="559"/>
      <c r="H2135" s="559"/>
      <c r="I2135" s="559"/>
      <c r="J2135" s="559"/>
      <c r="K2135" s="559"/>
      <c r="L2135" s="560"/>
    </row>
    <row r="2136" spans="1:12">
      <c r="A2136" s="101"/>
      <c r="B2136" s="72" t="s">
        <v>100</v>
      </c>
      <c r="C2136" s="559" t="str">
        <f ca="1">OFFSET('Bateria indicadores proceso'!$I$3,(RIGHT(A2134,3)),1)</f>
        <v>Eficiencia</v>
      </c>
      <c r="D2136" s="559"/>
      <c r="E2136" s="559"/>
      <c r="F2136" s="559"/>
      <c r="G2136" s="559"/>
      <c r="H2136" s="559"/>
      <c r="I2136" s="559"/>
      <c r="J2136" s="559"/>
      <c r="K2136" s="559"/>
      <c r="L2136" s="560"/>
    </row>
    <row r="2137" spans="1:12" ht="15.75" thickBot="1">
      <c r="A2137" s="103"/>
      <c r="B2137" s="73" t="s">
        <v>101</v>
      </c>
      <c r="C2137" s="559" t="str">
        <f ca="1">OFFSET('Bateria indicadores proceso'!$J$3,(RIGHT(A2134,3)),1)</f>
        <v xml:space="preserve">Hacer seguimiento a la expedición de CDP y RP solicitados por las dependencias del Ministerio; el porcentaje de CDP y RP expedidas  debe aumentar durante la vigencia. </v>
      </c>
      <c r="D2137" s="559"/>
      <c r="E2137" s="559"/>
      <c r="F2137" s="559"/>
      <c r="G2137" s="559"/>
      <c r="H2137" s="559"/>
      <c r="I2137" s="559"/>
      <c r="J2137" s="559"/>
      <c r="K2137" s="559"/>
      <c r="L2137" s="560"/>
    </row>
    <row r="2138" spans="1:12" ht="16.5" thickBot="1">
      <c r="A2138" s="103"/>
      <c r="B2138" s="572" t="s">
        <v>102</v>
      </c>
      <c r="C2138" s="573"/>
      <c r="D2138" s="573"/>
      <c r="E2138" s="573"/>
      <c r="F2138" s="573"/>
      <c r="G2138" s="573"/>
      <c r="H2138" s="573"/>
      <c r="I2138" s="573"/>
      <c r="J2138" s="573"/>
      <c r="K2138" s="573"/>
      <c r="L2138" s="574"/>
    </row>
    <row r="2139" spans="1:12">
      <c r="A2139" s="101"/>
      <c r="B2139" s="71" t="s">
        <v>103</v>
      </c>
      <c r="C2139" s="559" t="str">
        <f ca="1">OFFSET('Bateria indicadores proceso'!$O$3,(RIGHT(A2134,3)),1)</f>
        <v>Porcentaje</v>
      </c>
      <c r="D2139" s="559"/>
      <c r="E2139" s="559"/>
      <c r="F2139" s="559"/>
      <c r="G2139" s="559"/>
      <c r="H2139" s="559"/>
      <c r="I2139" s="559"/>
      <c r="J2139" s="559"/>
      <c r="K2139" s="559"/>
      <c r="L2139" s="560"/>
    </row>
    <row r="2140" spans="1:12" ht="24">
      <c r="A2140" s="101"/>
      <c r="B2140" s="72" t="s">
        <v>104</v>
      </c>
      <c r="C2140" s="559"/>
      <c r="D2140" s="559"/>
      <c r="E2140" s="559"/>
      <c r="F2140" s="559"/>
      <c r="G2140" s="559"/>
      <c r="H2140" s="559"/>
      <c r="I2140" s="559"/>
      <c r="J2140" s="559"/>
      <c r="K2140" s="559"/>
      <c r="L2140" s="560"/>
    </row>
    <row r="2141" spans="1:12">
      <c r="A2141" s="101"/>
      <c r="B2141" s="72" t="s">
        <v>105</v>
      </c>
      <c r="C2141" s="559" t="str">
        <f ca="1">OFFSET('Bateria indicadores proceso'!$L$3,(RIGHT(A2134,3)),1)</f>
        <v>(Número de CDP y rp expedidos en el periodo/Número total de CDP y RP solicitados en el periodo)*100</v>
      </c>
      <c r="D2141" s="559"/>
      <c r="E2141" s="559"/>
      <c r="F2141" s="559"/>
      <c r="G2141" s="559"/>
      <c r="H2141" s="559"/>
      <c r="I2141" s="559"/>
      <c r="J2141" s="559"/>
      <c r="K2141" s="559"/>
      <c r="L2141" s="560"/>
    </row>
    <row r="2142" spans="1:12">
      <c r="A2142" s="101"/>
      <c r="B2142" s="72" t="s">
        <v>106</v>
      </c>
      <c r="C2142" s="559" t="str">
        <f ca="1">OFFSET('Bateria indicadores proceso'!$Z$3,(RIGHT(A2134,3)),1)</f>
        <v>Trimestral</v>
      </c>
      <c r="D2142" s="559"/>
      <c r="E2142" s="559"/>
      <c r="F2142" s="559"/>
      <c r="G2142" s="559"/>
      <c r="H2142" s="559"/>
      <c r="I2142" s="559"/>
      <c r="J2142" s="559"/>
      <c r="K2142" s="559"/>
      <c r="L2142" s="560"/>
    </row>
    <row r="2143" spans="1:12">
      <c r="A2143" s="101"/>
      <c r="B2143" s="72" t="s">
        <v>107</v>
      </c>
      <c r="C2143" s="559" t="str">
        <f ca="1">OFFSET('Bateria indicadores proceso'!$X$3,(RIGHT(A2134,3)),1)</f>
        <v>Sistema Integrado de Información Financiera SIIF</v>
      </c>
      <c r="D2143" s="559"/>
      <c r="E2143" s="559"/>
      <c r="F2143" s="559"/>
      <c r="G2143" s="559"/>
      <c r="H2143" s="559"/>
      <c r="I2143" s="559"/>
      <c r="J2143" s="559"/>
      <c r="K2143" s="559"/>
      <c r="L2143" s="560"/>
    </row>
    <row r="2144" spans="1:12">
      <c r="A2144" s="101"/>
      <c r="B2144" s="72" t="s">
        <v>108</v>
      </c>
      <c r="C2144" s="561">
        <f ca="1">OFFSET('Bateria indicadores proceso'!$P$3,(RIGHT(A2134,3)),1)</f>
        <v>2024</v>
      </c>
      <c r="D2144" s="561"/>
      <c r="E2144" s="561"/>
      <c r="F2144" s="561"/>
      <c r="G2144" s="561"/>
      <c r="H2144" s="561"/>
      <c r="I2144" s="561"/>
      <c r="J2144" s="561"/>
      <c r="K2144" s="561"/>
      <c r="L2144" s="566"/>
    </row>
    <row r="2145" spans="1:12">
      <c r="A2145" s="101"/>
      <c r="B2145" s="72" t="s">
        <v>109</v>
      </c>
      <c r="C2145" s="561" t="str">
        <f ca="1">IF(C2139="Número",TEXT(OFFSET('Bateria indicadores proceso'!$Q$3,(RIGHT(A2134,3)),1),"######"),TEXT(OFFSET('Bateria indicadores proceso'!$Q$3,(RIGHT(A2134,3)),1),"0.0%"))</f>
        <v>90%</v>
      </c>
      <c r="D2145" s="561"/>
      <c r="E2145" s="561"/>
      <c r="F2145" s="561"/>
      <c r="G2145" s="561"/>
      <c r="H2145" s="561"/>
      <c r="I2145" s="561"/>
      <c r="J2145" s="561"/>
      <c r="K2145" s="561"/>
      <c r="L2145" s="566"/>
    </row>
    <row r="2146" spans="1:12">
      <c r="A2146" s="101"/>
      <c r="B2146" s="72" t="s">
        <v>110</v>
      </c>
      <c r="C2146" s="593">
        <f ca="1">+OFFSET('Bateria indicadores proceso'!$R$3,(RIGHT(A2134,3)),1)</f>
        <v>46022</v>
      </c>
      <c r="D2146" s="593"/>
      <c r="E2146" s="593"/>
      <c r="F2146" s="593"/>
      <c r="G2146" s="593"/>
      <c r="H2146" s="593"/>
      <c r="I2146" s="593"/>
      <c r="J2146" s="593"/>
      <c r="K2146" s="593"/>
      <c r="L2146" s="594"/>
    </row>
    <row r="2147" spans="1:12">
      <c r="A2147" s="101"/>
      <c r="B2147" s="72" t="s">
        <v>111</v>
      </c>
      <c r="C2147" s="561" t="str">
        <f ca="1">OFFSET('Bateria indicadores proceso'!$M$3,(RIGHT(A2134,3)),1)</f>
        <v>Incrementar</v>
      </c>
      <c r="D2147" s="561"/>
      <c r="E2147" s="561"/>
      <c r="F2147" s="561"/>
      <c r="G2147" s="561"/>
      <c r="H2147" s="561"/>
      <c r="I2147" s="561"/>
      <c r="J2147" s="561"/>
      <c r="K2147" s="561"/>
      <c r="L2147" s="566"/>
    </row>
    <row r="2148" spans="1:12">
      <c r="A2148" s="101"/>
      <c r="B2148" s="72" t="s">
        <v>112</v>
      </c>
      <c r="C2148" s="561" t="str">
        <f ca="1">OFFSET('Bateria indicadores proceso'!$N$3,(RIGHT(A2134,3)),1)</f>
        <v>Flujo</v>
      </c>
      <c r="D2148" s="561"/>
      <c r="E2148" s="561"/>
      <c r="F2148" s="561"/>
      <c r="G2148" s="561"/>
      <c r="H2148" s="561"/>
      <c r="I2148" s="561"/>
      <c r="J2148" s="561"/>
      <c r="K2148" s="561"/>
      <c r="L2148" s="566"/>
    </row>
    <row r="2149" spans="1:12">
      <c r="A2149" s="101"/>
      <c r="B2149" s="72" t="s">
        <v>113</v>
      </c>
      <c r="C2149" s="561" t="str">
        <f ca="1">IF(C2139="Número",TEXT(OFFSET('Bateria indicadores proceso'!$W$3,(RIGHT(A2134,3)),1),"######"),TEXT(OFFSET('Bateria indicadores proceso'!$W$3,(RIGHT(A2134,3)),1),"0.0%"))</f>
        <v>100%</v>
      </c>
      <c r="D2149" s="561"/>
      <c r="E2149" s="561"/>
      <c r="F2149" s="561"/>
      <c r="G2149" s="561"/>
      <c r="H2149" s="561"/>
      <c r="I2149" s="561"/>
      <c r="J2149" s="561"/>
      <c r="K2149" s="561"/>
      <c r="L2149" s="566"/>
    </row>
    <row r="2150" spans="1:12">
      <c r="A2150" s="101"/>
      <c r="B2150" s="595" t="s">
        <v>114</v>
      </c>
      <c r="C2150" s="70" t="s">
        <v>115</v>
      </c>
      <c r="D2150" s="70" t="s">
        <v>116</v>
      </c>
      <c r="E2150" s="70" t="s">
        <v>117</v>
      </c>
      <c r="F2150" s="70" t="s">
        <v>118</v>
      </c>
      <c r="J2150" s="75"/>
      <c r="K2150" s="75"/>
      <c r="L2150" s="76"/>
    </row>
    <row r="2151" spans="1:12">
      <c r="A2151" s="101"/>
      <c r="B2151" s="595"/>
      <c r="C2151" s="70" t="str">
        <f ca="1">IF(C2139="Número",TEXT(OFFSET('Bateria indicadores proceso'!$S$3,(RIGHT(A2134,3)),1),"######"),TEXT(OFFSET('Bateria indicadores proceso'!$S$3,(RIGHT(A2134,3)),1),"0.0%"))</f>
        <v>100%</v>
      </c>
      <c r="D2151" s="70" t="str">
        <f ca="1">IF(C2139="Número",TEXT(OFFSET('Bateria indicadores proceso'!$T$3,(RIGHT(A2134,3)),1),"######"),TEXT(OFFSET('Bateria indicadores proceso'!$T$3,(RIGHT(A2134,3)),1),"0.0%"))</f>
        <v>100%</v>
      </c>
      <c r="E2151" s="70" t="str">
        <f ca="1">IF(C2139="Número",TEXT(OFFSET('Bateria indicadores proceso'!$U$3,(RIGHT(A2134,3)),1),"######"),TEXT(OFFSET('Bateria indicadores proceso'!$U$3,(RIGHT(A2134,3)),1),"0.0%"))</f>
        <v>100%</v>
      </c>
      <c r="F2151" s="70" t="str">
        <f ca="1">IF(C2139="Número",TEXT(OFFSET('Bateria indicadores proceso'!$V$3,(RIGHT(A2134,3)),1),"######"),TEXT(OFFSET('Bateria indicadores proceso'!$V$3,(RIGHT(A2134,3)),1),"0.0%"))</f>
        <v>100%</v>
      </c>
      <c r="J2151" s="77"/>
      <c r="K2151" s="77"/>
      <c r="L2151" s="78"/>
    </row>
    <row r="2152" spans="1:12">
      <c r="A2152" s="101"/>
      <c r="B2152" s="600" t="s">
        <v>119</v>
      </c>
      <c r="C2152" s="567" t="s">
        <v>120</v>
      </c>
      <c r="D2152" s="568"/>
      <c r="E2152" s="567" t="s">
        <v>121</v>
      </c>
      <c r="F2152" s="568"/>
      <c r="G2152" s="567" t="s">
        <v>122</v>
      </c>
      <c r="H2152" s="568"/>
      <c r="I2152" s="567" t="s">
        <v>123</v>
      </c>
      <c r="J2152" s="568"/>
      <c r="K2152" s="567" t="s">
        <v>124</v>
      </c>
      <c r="L2152" s="569"/>
    </row>
    <row r="2153" spans="1:12">
      <c r="A2153" s="101"/>
      <c r="B2153" s="601"/>
      <c r="C2153" s="570" t="s">
        <v>125</v>
      </c>
      <c r="D2153" s="571"/>
      <c r="E2153" s="577" t="s">
        <v>126</v>
      </c>
      <c r="F2153" s="578"/>
      <c r="G2153" s="579" t="s">
        <v>127</v>
      </c>
      <c r="H2153" s="580"/>
      <c r="I2153" s="581" t="s">
        <v>128</v>
      </c>
      <c r="J2153" s="582"/>
      <c r="K2153" s="583" t="s">
        <v>129</v>
      </c>
      <c r="L2153" s="584"/>
    </row>
    <row r="2154" spans="1:12">
      <c r="A2154" s="101"/>
      <c r="B2154" s="602"/>
      <c r="C2154" s="567" t="s">
        <v>130</v>
      </c>
      <c r="D2154" s="568"/>
      <c r="E2154" s="567" t="s">
        <v>131</v>
      </c>
      <c r="F2154" s="568"/>
      <c r="G2154" s="585" t="s">
        <v>132</v>
      </c>
      <c r="H2154" s="568"/>
      <c r="I2154" s="567" t="s">
        <v>133</v>
      </c>
      <c r="J2154" s="568"/>
      <c r="K2154" s="567" t="s">
        <v>134</v>
      </c>
      <c r="L2154" s="569"/>
    </row>
    <row r="2155" spans="1:12">
      <c r="A2155" s="101"/>
      <c r="B2155" s="72" t="s">
        <v>135</v>
      </c>
      <c r="C2155" s="559" t="str">
        <f ca="1">OFFSET('Bateria indicadores proceso'!$Y$3,(RIGHT(A2134,3)),1)</f>
        <v>Consolidado cuentas radicadas y aprobadas</v>
      </c>
      <c r="D2155" s="559"/>
      <c r="E2155" s="559"/>
      <c r="F2155" s="559"/>
      <c r="G2155" s="559"/>
      <c r="H2155" s="559"/>
      <c r="I2155" s="559"/>
      <c r="J2155" s="559"/>
      <c r="K2155" s="559"/>
      <c r="L2155" s="560"/>
    </row>
    <row r="2156" spans="1:12">
      <c r="A2156" s="101"/>
      <c r="B2156" s="591" t="s">
        <v>136</v>
      </c>
      <c r="C2156" s="561" t="s">
        <v>137</v>
      </c>
      <c r="D2156" s="561"/>
      <c r="E2156" s="561"/>
      <c r="F2156" s="562" t="str">
        <f ca="1">OFFSET('Bateria indicadores proceso'!$B$3,(RIGHT(A2134,3)),1)</f>
        <v>GESTIÓN FINANCIERA</v>
      </c>
      <c r="G2156" s="562"/>
      <c r="H2156" s="562"/>
      <c r="I2156" s="562"/>
      <c r="J2156" s="562"/>
      <c r="K2156" s="562"/>
      <c r="L2156" s="563"/>
    </row>
    <row r="2157" spans="1:12">
      <c r="A2157" s="101"/>
      <c r="B2157" s="592"/>
      <c r="C2157" s="561" t="s">
        <v>138</v>
      </c>
      <c r="D2157" s="561"/>
      <c r="E2157" s="561"/>
      <c r="F2157" s="564">
        <f ca="1">OFFSET('Bateria indicadores proceso'!$C$3,(RIGHT(A2134,3)),1)</f>
        <v>1</v>
      </c>
      <c r="G2157" s="564"/>
      <c r="H2157" s="564"/>
      <c r="I2157" s="564"/>
      <c r="J2157" s="564"/>
      <c r="K2157" s="564"/>
      <c r="L2157" s="565"/>
    </row>
    <row r="2158" spans="1:12" ht="15.75" thickBot="1">
      <c r="A2158" s="101"/>
      <c r="B2158" s="592"/>
      <c r="C2158" s="561" t="s">
        <v>139</v>
      </c>
      <c r="D2158" s="561"/>
      <c r="E2158" s="561"/>
      <c r="F2158" s="564">
        <f ca="1">OFFSET('Bateria indicadores proceso'!$E$3,(RIGHT(A2134,3)),1)</f>
        <v>0.33</v>
      </c>
      <c r="G2158" s="564"/>
      <c r="H2158" s="564"/>
      <c r="I2158" s="564"/>
      <c r="J2158" s="564"/>
      <c r="K2158" s="564"/>
      <c r="L2158" s="565"/>
    </row>
    <row r="2159" spans="1:12" ht="16.5" thickBot="1">
      <c r="A2159" s="101"/>
      <c r="B2159" s="572" t="s">
        <v>140</v>
      </c>
      <c r="C2159" s="573"/>
      <c r="D2159" s="573"/>
      <c r="E2159" s="573"/>
      <c r="F2159" s="573"/>
      <c r="G2159" s="573"/>
      <c r="H2159" s="573"/>
      <c r="I2159" s="573"/>
      <c r="J2159" s="573"/>
      <c r="K2159" s="573"/>
      <c r="L2159" s="574"/>
    </row>
    <row r="2160" spans="1:12">
      <c r="A2160" s="101"/>
      <c r="B2160" s="72" t="s">
        <v>142</v>
      </c>
      <c r="C2160" s="561" t="str">
        <f ca="1">OFFSET('Bateria indicadores proceso'!$G$3,(RIGHT(A2134,3)),1)</f>
        <v xml:space="preserve">Subdirector </v>
      </c>
      <c r="D2160" s="561"/>
      <c r="E2160" s="561"/>
      <c r="F2160" s="561"/>
      <c r="G2160" s="561"/>
      <c r="H2160" s="561"/>
      <c r="I2160" s="561"/>
      <c r="J2160" s="561"/>
      <c r="K2160" s="561"/>
      <c r="L2160" s="566"/>
    </row>
    <row r="2161" spans="1:12">
      <c r="A2161" s="101"/>
      <c r="B2161" s="72" t="s">
        <v>143</v>
      </c>
      <c r="C2161" s="561" t="str">
        <f ca="1">OFFSET('Bateria indicadores proceso'!$F$3,(RIGHT(A2134,3)),1)</f>
        <v>Subdirección Administrativa y Financiera</v>
      </c>
      <c r="D2161" s="561"/>
      <c r="E2161" s="561"/>
      <c r="F2161" s="561"/>
      <c r="G2161" s="561"/>
      <c r="H2161" s="561"/>
      <c r="I2161" s="561"/>
      <c r="J2161" s="561"/>
      <c r="K2161" s="561"/>
      <c r="L2161" s="566"/>
    </row>
    <row r="2162" spans="1:12">
      <c r="A2162" s="101"/>
      <c r="B2162" s="72" t="s">
        <v>144</v>
      </c>
      <c r="C2162" s="598" t="str">
        <f ca="1">OFFSET('Bateria indicadores proceso'!$H$3,(RIGHT(A2098,3)),1)</f>
        <v>diana.olmos@mininterior.gov.co</v>
      </c>
      <c r="D2162" s="598"/>
      <c r="E2162" s="598"/>
      <c r="F2162" s="598"/>
      <c r="G2162" s="598"/>
      <c r="H2162" s="598"/>
      <c r="I2162" s="598"/>
      <c r="J2162" s="598"/>
      <c r="K2162" s="598"/>
      <c r="L2162" s="599"/>
    </row>
    <row r="2163" spans="1:12" ht="15.75" thickBot="1">
      <c r="A2163" s="104"/>
      <c r="B2163" s="74" t="s">
        <v>145</v>
      </c>
      <c r="C2163" s="596" t="s">
        <v>146</v>
      </c>
      <c r="D2163" s="596"/>
      <c r="E2163" s="596"/>
      <c r="F2163" s="596"/>
      <c r="G2163" s="596"/>
      <c r="H2163" s="596"/>
      <c r="I2163" s="596"/>
      <c r="J2163" s="596"/>
      <c r="K2163" s="596"/>
      <c r="L2163" s="597"/>
    </row>
    <row r="2164" spans="1:12" ht="15.75" thickBot="1"/>
    <row r="2165" spans="1:12" ht="21.75" thickBot="1">
      <c r="A2165" s="586" t="s">
        <v>89</v>
      </c>
      <c r="B2165" s="587"/>
      <c r="C2165" s="587"/>
      <c r="D2165" s="587"/>
      <c r="E2165" s="587"/>
      <c r="F2165" s="587"/>
      <c r="G2165" s="587"/>
      <c r="H2165" s="587"/>
      <c r="I2165" s="587"/>
      <c r="J2165" s="587"/>
      <c r="K2165" s="587"/>
      <c r="L2165" s="588"/>
    </row>
    <row r="2166" spans="1:12" ht="32.25" thickBot="1">
      <c r="A2166" s="69" t="s">
        <v>90</v>
      </c>
      <c r="B2166" s="589" t="s">
        <v>91</v>
      </c>
      <c r="C2166" s="589"/>
      <c r="D2166" s="589"/>
      <c r="E2166" s="589"/>
      <c r="F2166" s="589"/>
      <c r="G2166" s="589"/>
      <c r="H2166" s="589"/>
      <c r="I2166" s="589"/>
      <c r="J2166" s="589"/>
      <c r="K2166" s="589"/>
      <c r="L2166" s="589"/>
    </row>
    <row r="2167" spans="1:12" ht="16.5" thickBot="1">
      <c r="A2167" s="100"/>
      <c r="B2167" s="71" t="s">
        <v>92</v>
      </c>
      <c r="C2167" s="575" t="s">
        <v>93</v>
      </c>
      <c r="D2167" s="575"/>
      <c r="E2167" s="575"/>
      <c r="F2167" s="575"/>
      <c r="G2167" s="575"/>
      <c r="H2167" s="575"/>
      <c r="I2167" s="575"/>
      <c r="J2167" s="575"/>
      <c r="K2167" s="575"/>
      <c r="L2167" s="576"/>
    </row>
    <row r="2168" spans="1:12" ht="16.5" thickBot="1">
      <c r="A2168" s="101"/>
      <c r="B2168" s="589" t="s">
        <v>94</v>
      </c>
      <c r="C2168" s="590"/>
      <c r="D2168" s="590"/>
      <c r="E2168" s="590"/>
      <c r="F2168" s="590"/>
      <c r="G2168" s="590"/>
      <c r="H2168" s="590"/>
      <c r="I2168" s="590"/>
      <c r="J2168" s="590"/>
      <c r="K2168" s="590"/>
      <c r="L2168" s="590"/>
    </row>
    <row r="2169" spans="1:12">
      <c r="A2169" s="101"/>
      <c r="B2169" s="71" t="s">
        <v>95</v>
      </c>
      <c r="C2169" s="559" t="s">
        <v>96</v>
      </c>
      <c r="D2169" s="559"/>
      <c r="E2169" s="559"/>
      <c r="F2169" s="559"/>
      <c r="G2169" s="559"/>
      <c r="H2169" s="559"/>
      <c r="I2169" s="559"/>
      <c r="J2169" s="559"/>
      <c r="K2169" s="559"/>
      <c r="L2169" s="560"/>
    </row>
    <row r="2170" spans="1:12">
      <c r="A2170" s="102" t="s">
        <v>206</v>
      </c>
      <c r="B2170" s="72" t="s">
        <v>98</v>
      </c>
      <c r="C2170" s="559" t="str">
        <f ca="1">OFFSET('Bateria indicadores proceso'!$F$3,(RIGHT(A2170,3)),1)</f>
        <v>Subdirección Administrativa y Financiera</v>
      </c>
      <c r="D2170" s="559"/>
      <c r="E2170" s="559"/>
      <c r="F2170" s="559"/>
      <c r="G2170" s="559"/>
      <c r="H2170" s="559"/>
      <c r="I2170" s="559"/>
      <c r="J2170" s="559"/>
      <c r="K2170" s="559"/>
      <c r="L2170" s="560"/>
    </row>
    <row r="2171" spans="1:12">
      <c r="A2171" s="101"/>
      <c r="B2171" s="72" t="s">
        <v>99</v>
      </c>
      <c r="C2171" s="559" t="str">
        <f ca="1">OFFSET('Bateria indicadores proceso'!$K$3,(RIGHT(A2170,3)),1)</f>
        <v>Cuentas aprobadas por el Grupo de Gestión Financiera y Contable del Ministerio</v>
      </c>
      <c r="D2171" s="559"/>
      <c r="E2171" s="559"/>
      <c r="F2171" s="559"/>
      <c r="G2171" s="559"/>
      <c r="H2171" s="559"/>
      <c r="I2171" s="559"/>
      <c r="J2171" s="559"/>
      <c r="K2171" s="559"/>
      <c r="L2171" s="560"/>
    </row>
    <row r="2172" spans="1:12">
      <c r="A2172" s="101"/>
      <c r="B2172" s="72" t="s">
        <v>100</v>
      </c>
      <c r="C2172" s="559" t="str">
        <f ca="1">OFFSET('Bateria indicadores proceso'!$I$3,(RIGHT(A2170,3)),1)</f>
        <v>Efectividad</v>
      </c>
      <c r="D2172" s="559"/>
      <c r="E2172" s="559"/>
      <c r="F2172" s="559"/>
      <c r="G2172" s="559"/>
      <c r="H2172" s="559"/>
      <c r="I2172" s="559"/>
      <c r="J2172" s="559"/>
      <c r="K2172" s="559"/>
      <c r="L2172" s="560"/>
    </row>
    <row r="2173" spans="1:12" ht="33" customHeight="1" thickBot="1">
      <c r="A2173" s="103"/>
      <c r="B2173" s="73" t="s">
        <v>101</v>
      </c>
      <c r="C2173" s="559" t="str">
        <f ca="1">OFFSET('Bateria indicadores proceso'!$J$3,(RIGHT(A2170,3)),1)</f>
        <v>Hacer seguimiento al porcentaje de cuentas aprobadas en el Ministerio, esto permite evidenciar la gestión de la dependencia; el porcentaje debe aumentar durante la vigencia.</v>
      </c>
      <c r="D2173" s="559"/>
      <c r="E2173" s="559"/>
      <c r="F2173" s="559"/>
      <c r="G2173" s="559"/>
      <c r="H2173" s="559"/>
      <c r="I2173" s="559"/>
      <c r="J2173" s="559"/>
      <c r="K2173" s="559"/>
      <c r="L2173" s="560"/>
    </row>
    <row r="2174" spans="1:12" ht="16.5" thickBot="1">
      <c r="A2174" s="103"/>
      <c r="B2174" s="572" t="s">
        <v>102</v>
      </c>
      <c r="C2174" s="573"/>
      <c r="D2174" s="573"/>
      <c r="E2174" s="573"/>
      <c r="F2174" s="573"/>
      <c r="G2174" s="573"/>
      <c r="H2174" s="573"/>
      <c r="I2174" s="573"/>
      <c r="J2174" s="573"/>
      <c r="K2174" s="573"/>
      <c r="L2174" s="574"/>
    </row>
    <row r="2175" spans="1:12">
      <c r="A2175" s="101"/>
      <c r="B2175" s="71" t="s">
        <v>103</v>
      </c>
      <c r="C2175" s="559" t="str">
        <f ca="1">OFFSET('Bateria indicadores proceso'!$O$3,(RIGHT(A2170,3)),1)</f>
        <v>Porcentaje</v>
      </c>
      <c r="D2175" s="559"/>
      <c r="E2175" s="559"/>
      <c r="F2175" s="559"/>
      <c r="G2175" s="559"/>
      <c r="H2175" s="559"/>
      <c r="I2175" s="559"/>
      <c r="J2175" s="559"/>
      <c r="K2175" s="559"/>
      <c r="L2175" s="560"/>
    </row>
    <row r="2176" spans="1:12" ht="24">
      <c r="A2176" s="101"/>
      <c r="B2176" s="72" t="s">
        <v>104</v>
      </c>
      <c r="C2176" s="559"/>
      <c r="D2176" s="559"/>
      <c r="E2176" s="559"/>
      <c r="F2176" s="559"/>
      <c r="G2176" s="559"/>
      <c r="H2176" s="559"/>
      <c r="I2176" s="559"/>
      <c r="J2176" s="559"/>
      <c r="K2176" s="559"/>
      <c r="L2176" s="560"/>
    </row>
    <row r="2177" spans="1:12">
      <c r="A2177" s="101"/>
      <c r="B2177" s="72" t="s">
        <v>105</v>
      </c>
      <c r="C2177" s="559" t="str">
        <f ca="1">OFFSET('Bateria indicadores proceso'!$L$3,(RIGHT(A2170,3)),1)</f>
        <v>(Número de cuentas aprobadas/ Número total de cuentas radicadas)*100</v>
      </c>
      <c r="D2177" s="559"/>
      <c r="E2177" s="559"/>
      <c r="F2177" s="559"/>
      <c r="G2177" s="559"/>
      <c r="H2177" s="559"/>
      <c r="I2177" s="559"/>
      <c r="J2177" s="559"/>
      <c r="K2177" s="559"/>
      <c r="L2177" s="560"/>
    </row>
    <row r="2178" spans="1:12">
      <c r="A2178" s="101"/>
      <c r="B2178" s="72" t="s">
        <v>106</v>
      </c>
      <c r="C2178" s="559" t="str">
        <f ca="1">OFFSET('Bateria indicadores proceso'!$Z$3,(RIGHT(A2170,3)),1)</f>
        <v>Trimestral</v>
      </c>
      <c r="D2178" s="559"/>
      <c r="E2178" s="559"/>
      <c r="F2178" s="559"/>
      <c r="G2178" s="559"/>
      <c r="H2178" s="559"/>
      <c r="I2178" s="559"/>
      <c r="J2178" s="559"/>
      <c r="K2178" s="559"/>
      <c r="L2178" s="560"/>
    </row>
    <row r="2179" spans="1:12">
      <c r="A2179" s="101"/>
      <c r="B2179" s="72" t="s">
        <v>107</v>
      </c>
      <c r="C2179" s="559" t="str">
        <f ca="1">OFFSET('Bateria indicadores proceso'!$X$3,(RIGHT(A2170,3)),1)</f>
        <v>Información estadística consolidada por el Grupo de Gestión Financiera y Contable de Ministerio</v>
      </c>
      <c r="D2179" s="559"/>
      <c r="E2179" s="559"/>
      <c r="F2179" s="559"/>
      <c r="G2179" s="559"/>
      <c r="H2179" s="559"/>
      <c r="I2179" s="559"/>
      <c r="J2179" s="559"/>
      <c r="K2179" s="559"/>
      <c r="L2179" s="560"/>
    </row>
    <row r="2180" spans="1:12">
      <c r="A2180" s="101"/>
      <c r="B2180" s="72" t="s">
        <v>108</v>
      </c>
      <c r="C2180" s="561">
        <f ca="1">OFFSET('Bateria indicadores proceso'!$P$3,(RIGHT(A2170,3)),1)</f>
        <v>2024</v>
      </c>
      <c r="D2180" s="561"/>
      <c r="E2180" s="561"/>
      <c r="F2180" s="561"/>
      <c r="G2180" s="561"/>
      <c r="H2180" s="561"/>
      <c r="I2180" s="561"/>
      <c r="J2180" s="561"/>
      <c r="K2180" s="561"/>
      <c r="L2180" s="566"/>
    </row>
    <row r="2181" spans="1:12">
      <c r="A2181" s="101"/>
      <c r="B2181" s="72" t="s">
        <v>109</v>
      </c>
      <c r="C2181" s="561" t="str">
        <f ca="1">IF(C2175="Número",TEXT(OFFSET('Bateria indicadores proceso'!$Q$3,(RIGHT(A2170,3)),1),"######"),TEXT(OFFSET('Bateria indicadores proceso'!$Q$3,(RIGHT(A2170,3)),1),"0.0%"))</f>
        <v>100%</v>
      </c>
      <c r="D2181" s="561"/>
      <c r="E2181" s="561"/>
      <c r="F2181" s="561"/>
      <c r="G2181" s="561"/>
      <c r="H2181" s="561"/>
      <c r="I2181" s="561"/>
      <c r="J2181" s="561"/>
      <c r="K2181" s="561"/>
      <c r="L2181" s="566"/>
    </row>
    <row r="2182" spans="1:12">
      <c r="A2182" s="101"/>
      <c r="B2182" s="72" t="s">
        <v>110</v>
      </c>
      <c r="C2182" s="593">
        <f ca="1">+OFFSET('Bateria indicadores proceso'!$R$3,(RIGHT(A2170,3)),1)</f>
        <v>46022</v>
      </c>
      <c r="D2182" s="593"/>
      <c r="E2182" s="593"/>
      <c r="F2182" s="593"/>
      <c r="G2182" s="593"/>
      <c r="H2182" s="593"/>
      <c r="I2182" s="593"/>
      <c r="J2182" s="593"/>
      <c r="K2182" s="593"/>
      <c r="L2182" s="594"/>
    </row>
    <row r="2183" spans="1:12">
      <c r="A2183" s="101"/>
      <c r="B2183" s="72" t="s">
        <v>111</v>
      </c>
      <c r="C2183" s="561" t="str">
        <f ca="1">OFFSET('Bateria indicadores proceso'!$M$3,(RIGHT(A2170,3)),1)</f>
        <v>Incrementar</v>
      </c>
      <c r="D2183" s="561"/>
      <c r="E2183" s="561"/>
      <c r="F2183" s="561"/>
      <c r="G2183" s="561"/>
      <c r="H2183" s="561"/>
      <c r="I2183" s="561"/>
      <c r="J2183" s="561"/>
      <c r="K2183" s="561"/>
      <c r="L2183" s="566"/>
    </row>
    <row r="2184" spans="1:12">
      <c r="A2184" s="101"/>
      <c r="B2184" s="72" t="s">
        <v>112</v>
      </c>
      <c r="C2184" s="561" t="str">
        <f ca="1">OFFSET('Bateria indicadores proceso'!$N$3,(RIGHT(A2170,3)),1)</f>
        <v>Flujo</v>
      </c>
      <c r="D2184" s="561"/>
      <c r="E2184" s="561"/>
      <c r="F2184" s="561"/>
      <c r="G2184" s="561"/>
      <c r="H2184" s="561"/>
      <c r="I2184" s="561"/>
      <c r="J2184" s="561"/>
      <c r="K2184" s="561"/>
      <c r="L2184" s="566"/>
    </row>
    <row r="2185" spans="1:12">
      <c r="A2185" s="101"/>
      <c r="B2185" s="72" t="s">
        <v>113</v>
      </c>
      <c r="C2185" s="561" t="str">
        <f ca="1">IF(C2175="Número",TEXT(OFFSET('Bateria indicadores proceso'!$W$3,(RIGHT(A2170,3)),1),"######"),TEXT(OFFSET('Bateria indicadores proceso'!$W$3,(RIGHT(A2170,3)),1),"0.0%"))</f>
        <v>100%</v>
      </c>
      <c r="D2185" s="561"/>
      <c r="E2185" s="561"/>
      <c r="F2185" s="561"/>
      <c r="G2185" s="561"/>
      <c r="H2185" s="561"/>
      <c r="I2185" s="561"/>
      <c r="J2185" s="561"/>
      <c r="K2185" s="561"/>
      <c r="L2185" s="566"/>
    </row>
    <row r="2186" spans="1:12">
      <c r="A2186" s="101"/>
      <c r="B2186" s="595" t="s">
        <v>114</v>
      </c>
      <c r="C2186" s="70" t="s">
        <v>115</v>
      </c>
      <c r="D2186" s="70" t="s">
        <v>116</v>
      </c>
      <c r="E2186" s="70" t="s">
        <v>117</v>
      </c>
      <c r="F2186" s="70" t="s">
        <v>118</v>
      </c>
      <c r="J2186" s="75"/>
      <c r="K2186" s="75"/>
      <c r="L2186" s="76"/>
    </row>
    <row r="2187" spans="1:12">
      <c r="A2187" s="101"/>
      <c r="B2187" s="595"/>
      <c r="C2187" s="70" t="str">
        <f ca="1">IF(C2175="Número",TEXT(OFFSET('Bateria indicadores proceso'!$S$3,(RIGHT(A2170,3)),1),"######"),TEXT(OFFSET('Bateria indicadores proceso'!$S$3,(RIGHT(A2170,3)),1),"0.0%"))</f>
        <v>100%</v>
      </c>
      <c r="D2187" s="70" t="str">
        <f ca="1">IF(C2175="Número",TEXT(OFFSET('Bateria indicadores proceso'!$T$3,(RIGHT(A2170,3)),1),"######"),TEXT(OFFSET('Bateria indicadores proceso'!$T$3,(RIGHT(A2170,3)),1),"0.0%"))</f>
        <v>100%</v>
      </c>
      <c r="E2187" s="70" t="str">
        <f ca="1">IF(C2175="Número",TEXT(OFFSET('Bateria indicadores proceso'!$U$3,(RIGHT(A2170,3)),1),"######"),TEXT(OFFSET('Bateria indicadores proceso'!$U$3,(RIGHT(A2170,3)),1),"0.0%"))</f>
        <v>100%</v>
      </c>
      <c r="F2187" s="70" t="str">
        <f ca="1">IF(C2175="Número",TEXT(OFFSET('Bateria indicadores proceso'!$V$3,(RIGHT(A2170,3)),1),"######"),TEXT(OFFSET('Bateria indicadores proceso'!$V$3,(RIGHT(A2170,3)),1),"0.0%"))</f>
        <v>100%</v>
      </c>
      <c r="J2187" s="77"/>
      <c r="K2187" s="77"/>
      <c r="L2187" s="78"/>
    </row>
    <row r="2188" spans="1:12">
      <c r="A2188" s="101"/>
      <c r="B2188" s="600" t="s">
        <v>119</v>
      </c>
      <c r="C2188" s="567" t="s">
        <v>120</v>
      </c>
      <c r="D2188" s="568"/>
      <c r="E2188" s="567" t="s">
        <v>121</v>
      </c>
      <c r="F2188" s="568"/>
      <c r="G2188" s="567" t="s">
        <v>122</v>
      </c>
      <c r="H2188" s="568"/>
      <c r="I2188" s="567" t="s">
        <v>123</v>
      </c>
      <c r="J2188" s="568"/>
      <c r="K2188" s="567" t="s">
        <v>124</v>
      </c>
      <c r="L2188" s="569"/>
    </row>
    <row r="2189" spans="1:12">
      <c r="A2189" s="101"/>
      <c r="B2189" s="601"/>
      <c r="C2189" s="570" t="s">
        <v>125</v>
      </c>
      <c r="D2189" s="571"/>
      <c r="E2189" s="577" t="s">
        <v>126</v>
      </c>
      <c r="F2189" s="578"/>
      <c r="G2189" s="579" t="s">
        <v>127</v>
      </c>
      <c r="H2189" s="580"/>
      <c r="I2189" s="581" t="s">
        <v>128</v>
      </c>
      <c r="J2189" s="582"/>
      <c r="K2189" s="583" t="s">
        <v>129</v>
      </c>
      <c r="L2189" s="584"/>
    </row>
    <row r="2190" spans="1:12">
      <c r="A2190" s="101"/>
      <c r="B2190" s="602"/>
      <c r="C2190" s="567" t="s">
        <v>130</v>
      </c>
      <c r="D2190" s="568"/>
      <c r="E2190" s="567" t="s">
        <v>131</v>
      </c>
      <c r="F2190" s="568"/>
      <c r="G2190" s="585" t="s">
        <v>132</v>
      </c>
      <c r="H2190" s="568"/>
      <c r="I2190" s="567" t="s">
        <v>133</v>
      </c>
      <c r="J2190" s="568"/>
      <c r="K2190" s="567" t="s">
        <v>134</v>
      </c>
      <c r="L2190" s="569"/>
    </row>
    <row r="2191" spans="1:12">
      <c r="A2191" s="101"/>
      <c r="B2191" s="72" t="s">
        <v>135</v>
      </c>
      <c r="C2191" s="559" t="str">
        <f ca="1">OFFSET('Bateria indicadores proceso'!$Y$3,(RIGHT(A2170,3)),1)</f>
        <v>Consolidado cuentas radicadas y aprobadas</v>
      </c>
      <c r="D2191" s="559"/>
      <c r="E2191" s="559"/>
      <c r="F2191" s="559"/>
      <c r="G2191" s="559"/>
      <c r="H2191" s="559"/>
      <c r="I2191" s="559"/>
      <c r="J2191" s="559"/>
      <c r="K2191" s="559"/>
      <c r="L2191" s="560"/>
    </row>
    <row r="2192" spans="1:12">
      <c r="A2192" s="101"/>
      <c r="B2192" s="591" t="s">
        <v>136</v>
      </c>
      <c r="C2192" s="561" t="s">
        <v>137</v>
      </c>
      <c r="D2192" s="561"/>
      <c r="E2192" s="561"/>
      <c r="F2192" s="562" t="str">
        <f ca="1">OFFSET('Bateria indicadores proceso'!$B$3,(RIGHT(A2170,3)),1)</f>
        <v>GESTIÓN FINANCIERA</v>
      </c>
      <c r="G2192" s="562"/>
      <c r="H2192" s="562"/>
      <c r="I2192" s="562"/>
      <c r="J2192" s="562"/>
      <c r="K2192" s="562"/>
      <c r="L2192" s="563"/>
    </row>
    <row r="2193" spans="1:12">
      <c r="A2193" s="101"/>
      <c r="B2193" s="592"/>
      <c r="C2193" s="561" t="s">
        <v>138</v>
      </c>
      <c r="D2193" s="561"/>
      <c r="E2193" s="561"/>
      <c r="F2193" s="564">
        <f ca="1">OFFSET('Bateria indicadores proceso'!$C$3,(RIGHT(A2170,3)),1)</f>
        <v>1</v>
      </c>
      <c r="G2193" s="564"/>
      <c r="H2193" s="564"/>
      <c r="I2193" s="564"/>
      <c r="J2193" s="564"/>
      <c r="K2193" s="564"/>
      <c r="L2193" s="565"/>
    </row>
    <row r="2194" spans="1:12" ht="15.75" thickBot="1">
      <c r="A2194" s="101"/>
      <c r="B2194" s="592"/>
      <c r="C2194" s="561" t="s">
        <v>139</v>
      </c>
      <c r="D2194" s="561"/>
      <c r="E2194" s="561"/>
      <c r="F2194" s="564">
        <f ca="1">OFFSET('Bateria indicadores proceso'!$E$3,(RIGHT(A2170,3)),1)</f>
        <v>0.34</v>
      </c>
      <c r="G2194" s="564"/>
      <c r="H2194" s="564"/>
      <c r="I2194" s="564"/>
      <c r="J2194" s="564"/>
      <c r="K2194" s="564"/>
      <c r="L2194" s="565"/>
    </row>
    <row r="2195" spans="1:12" ht="16.5" thickBot="1">
      <c r="A2195" s="101"/>
      <c r="B2195" s="572" t="s">
        <v>140</v>
      </c>
      <c r="C2195" s="573"/>
      <c r="D2195" s="573"/>
      <c r="E2195" s="573"/>
      <c r="F2195" s="573"/>
      <c r="G2195" s="573"/>
      <c r="H2195" s="573"/>
      <c r="I2195" s="573"/>
      <c r="J2195" s="573"/>
      <c r="K2195" s="573"/>
      <c r="L2195" s="574"/>
    </row>
    <row r="2196" spans="1:12">
      <c r="A2196" s="101"/>
      <c r="B2196" s="72" t="s">
        <v>142</v>
      </c>
      <c r="C2196" s="561" t="str">
        <f ca="1">OFFSET('Bateria indicadores proceso'!$G$3,(RIGHT(A2170,3)),1)</f>
        <v xml:space="preserve">Subdirector </v>
      </c>
      <c r="D2196" s="561"/>
      <c r="E2196" s="561"/>
      <c r="F2196" s="561"/>
      <c r="G2196" s="561"/>
      <c r="H2196" s="561"/>
      <c r="I2196" s="561"/>
      <c r="J2196" s="561"/>
      <c r="K2196" s="561"/>
      <c r="L2196" s="566"/>
    </row>
    <row r="2197" spans="1:12">
      <c r="A2197" s="101"/>
      <c r="B2197" s="72" t="s">
        <v>143</v>
      </c>
      <c r="C2197" s="561" t="str">
        <f ca="1">OFFSET('Bateria indicadores proceso'!$F$3,(RIGHT(A2170,3)),1)</f>
        <v>Subdirección Administrativa y Financiera</v>
      </c>
      <c r="D2197" s="561"/>
      <c r="E2197" s="561"/>
      <c r="F2197" s="561"/>
      <c r="G2197" s="561"/>
      <c r="H2197" s="561"/>
      <c r="I2197" s="561"/>
      <c r="J2197" s="561"/>
      <c r="K2197" s="561"/>
      <c r="L2197" s="566"/>
    </row>
    <row r="2198" spans="1:12">
      <c r="A2198" s="101"/>
      <c r="B2198" s="72" t="s">
        <v>144</v>
      </c>
      <c r="C2198" s="598" t="str">
        <f ca="1">OFFSET('Bateria indicadores proceso'!$H$3,(RIGHT(A2170,3)),1)</f>
        <v>diana.olmos@mininterior.gov.co</v>
      </c>
      <c r="D2198" s="598"/>
      <c r="E2198" s="598"/>
      <c r="F2198" s="598"/>
      <c r="G2198" s="598"/>
      <c r="H2198" s="598"/>
      <c r="I2198" s="598"/>
      <c r="J2198" s="598"/>
      <c r="K2198" s="598"/>
      <c r="L2198" s="599"/>
    </row>
    <row r="2199" spans="1:12" ht="15.75" thickBot="1">
      <c r="A2199" s="104"/>
      <c r="B2199" s="74" t="s">
        <v>145</v>
      </c>
      <c r="C2199" s="596" t="s">
        <v>146</v>
      </c>
      <c r="D2199" s="596"/>
      <c r="E2199" s="596"/>
      <c r="F2199" s="596"/>
      <c r="G2199" s="596"/>
      <c r="H2199" s="596"/>
      <c r="I2199" s="596"/>
      <c r="J2199" s="596"/>
      <c r="K2199" s="596"/>
      <c r="L2199" s="597"/>
    </row>
    <row r="2200" spans="1:12" ht="15.75" thickBot="1"/>
    <row r="2201" spans="1:12" ht="21.75" thickBot="1">
      <c r="A2201" s="586" t="s">
        <v>89</v>
      </c>
      <c r="B2201" s="587"/>
      <c r="C2201" s="587"/>
      <c r="D2201" s="587"/>
      <c r="E2201" s="587"/>
      <c r="F2201" s="587"/>
      <c r="G2201" s="587"/>
      <c r="H2201" s="587"/>
      <c r="I2201" s="587"/>
      <c r="J2201" s="587"/>
      <c r="K2201" s="587"/>
      <c r="L2201" s="588"/>
    </row>
    <row r="2202" spans="1:12" ht="32.25" thickBot="1">
      <c r="A2202" s="69" t="s">
        <v>90</v>
      </c>
      <c r="B2202" s="589" t="s">
        <v>91</v>
      </c>
      <c r="C2202" s="589"/>
      <c r="D2202" s="589"/>
      <c r="E2202" s="589"/>
      <c r="F2202" s="589"/>
      <c r="G2202" s="589"/>
      <c r="H2202" s="589"/>
      <c r="I2202" s="589"/>
      <c r="J2202" s="589"/>
      <c r="K2202" s="589"/>
      <c r="L2202" s="589"/>
    </row>
    <row r="2203" spans="1:12" ht="16.5" thickBot="1">
      <c r="A2203" s="100"/>
      <c r="B2203" s="71" t="s">
        <v>92</v>
      </c>
      <c r="C2203" s="575" t="s">
        <v>93</v>
      </c>
      <c r="D2203" s="575"/>
      <c r="E2203" s="575"/>
      <c r="F2203" s="575"/>
      <c r="G2203" s="575"/>
      <c r="H2203" s="575"/>
      <c r="I2203" s="575"/>
      <c r="J2203" s="575"/>
      <c r="K2203" s="575"/>
      <c r="L2203" s="576"/>
    </row>
    <row r="2204" spans="1:12" ht="16.5" thickBot="1">
      <c r="A2204" s="101"/>
      <c r="B2204" s="589" t="s">
        <v>94</v>
      </c>
      <c r="C2204" s="590"/>
      <c r="D2204" s="590"/>
      <c r="E2204" s="590"/>
      <c r="F2204" s="590"/>
      <c r="G2204" s="590"/>
      <c r="H2204" s="590"/>
      <c r="I2204" s="590"/>
      <c r="J2204" s="590"/>
      <c r="K2204" s="590"/>
      <c r="L2204" s="590"/>
    </row>
    <row r="2205" spans="1:12">
      <c r="A2205" s="101"/>
      <c r="B2205" s="71" t="s">
        <v>95</v>
      </c>
      <c r="C2205" s="559" t="s">
        <v>96</v>
      </c>
      <c r="D2205" s="559"/>
      <c r="E2205" s="559"/>
      <c r="F2205" s="559"/>
      <c r="G2205" s="559"/>
      <c r="H2205" s="559"/>
      <c r="I2205" s="559"/>
      <c r="J2205" s="559"/>
      <c r="K2205" s="559"/>
      <c r="L2205" s="560"/>
    </row>
    <row r="2206" spans="1:12">
      <c r="A2206" s="102" t="s">
        <v>207</v>
      </c>
      <c r="B2206" s="72" t="s">
        <v>98</v>
      </c>
      <c r="C2206" s="559" t="str">
        <f ca="1">OFFSET('Bateria indicadores proceso'!$F$3,(RIGHT(A2206,3)),1)</f>
        <v xml:space="preserve">Subdirección de Gestión Contractual </v>
      </c>
      <c r="D2206" s="559"/>
      <c r="E2206" s="559"/>
      <c r="F2206" s="559"/>
      <c r="G2206" s="559"/>
      <c r="H2206" s="559"/>
      <c r="I2206" s="559"/>
      <c r="J2206" s="559"/>
      <c r="K2206" s="559"/>
      <c r="L2206" s="560"/>
    </row>
    <row r="2207" spans="1:12">
      <c r="A2207" s="101"/>
      <c r="B2207" s="72" t="s">
        <v>99</v>
      </c>
      <c r="C2207" s="559" t="str">
        <f ca="1">OFFSET('Bateria indicadores proceso'!$K$3,(RIGHT(A2206,3)),1)</f>
        <v xml:space="preserve">Certificaciones expedidas en el aplicativo Sistema de Rendición Electrónica de la Cuenta e Informes - SIRECI </v>
      </c>
      <c r="D2207" s="559"/>
      <c r="E2207" s="559"/>
      <c r="F2207" s="559"/>
      <c r="G2207" s="559"/>
      <c r="H2207" s="559"/>
      <c r="I2207" s="559"/>
      <c r="J2207" s="559"/>
      <c r="K2207" s="559"/>
      <c r="L2207" s="560"/>
    </row>
    <row r="2208" spans="1:12">
      <c r="A2208" s="101"/>
      <c r="B2208" s="72" t="s">
        <v>100</v>
      </c>
      <c r="C2208" s="559" t="str">
        <f ca="1">OFFSET('Bateria indicadores proceso'!$I$3,(RIGHT(A2206,3)),1)</f>
        <v>Eficacia</v>
      </c>
      <c r="D2208" s="559"/>
      <c r="E2208" s="559"/>
      <c r="F2208" s="559"/>
      <c r="G2208" s="559"/>
      <c r="H2208" s="559"/>
      <c r="I2208" s="559"/>
      <c r="J2208" s="559"/>
      <c r="K2208" s="559"/>
      <c r="L2208" s="560"/>
    </row>
    <row r="2209" spans="1:12" ht="15.75" thickBot="1">
      <c r="A2209" s="103"/>
      <c r="B2209" s="73" t="s">
        <v>101</v>
      </c>
      <c r="C2209" s="559" t="str">
        <f ca="1">OFFSET('Bateria indicadores proceso'!$J$3,(RIGHT(A2206,3)),1)</f>
        <v xml:space="preserve">El presente indicador medirá el cumplimiento de los reportes mensuales que se realiza mensualmente a la Contraloría Genetal de la Republica a través de la plataforma SIRECI, con el fin de verificar que se mantega dentro del rango que indica la Ley; adicionalmente la tendencia de dicho indicador es incremental acumulado. </v>
      </c>
      <c r="D2209" s="559"/>
      <c r="E2209" s="559"/>
      <c r="F2209" s="559"/>
      <c r="G2209" s="559"/>
      <c r="H2209" s="559"/>
      <c r="I2209" s="559"/>
      <c r="J2209" s="559"/>
      <c r="K2209" s="559"/>
      <c r="L2209" s="560"/>
    </row>
    <row r="2210" spans="1:12" ht="16.5" thickBot="1">
      <c r="A2210" s="103"/>
      <c r="B2210" s="572" t="s">
        <v>102</v>
      </c>
      <c r="C2210" s="573"/>
      <c r="D2210" s="573"/>
      <c r="E2210" s="573"/>
      <c r="F2210" s="573"/>
      <c r="G2210" s="573"/>
      <c r="H2210" s="573"/>
      <c r="I2210" s="573"/>
      <c r="J2210" s="573"/>
      <c r="K2210" s="573"/>
      <c r="L2210" s="574"/>
    </row>
    <row r="2211" spans="1:12">
      <c r="A2211" s="101"/>
      <c r="B2211" s="71" t="s">
        <v>103</v>
      </c>
      <c r="C2211" s="559" t="str">
        <f ca="1">OFFSET('Bateria indicadores proceso'!$O$3,(RIGHT(A2206,3)),1)</f>
        <v>Número</v>
      </c>
      <c r="D2211" s="559"/>
      <c r="E2211" s="559"/>
      <c r="F2211" s="559"/>
      <c r="G2211" s="559"/>
      <c r="H2211" s="559"/>
      <c r="I2211" s="559"/>
      <c r="J2211" s="559"/>
      <c r="K2211" s="559"/>
      <c r="L2211" s="560"/>
    </row>
    <row r="2212" spans="1:12" ht="24">
      <c r="A2212" s="101"/>
      <c r="B2212" s="72" t="s">
        <v>104</v>
      </c>
      <c r="C2212" s="559"/>
      <c r="D2212" s="559"/>
      <c r="E2212" s="559"/>
      <c r="F2212" s="559"/>
      <c r="G2212" s="559"/>
      <c r="H2212" s="559"/>
      <c r="I2212" s="559"/>
      <c r="J2212" s="559"/>
      <c r="K2212" s="559"/>
      <c r="L2212" s="560"/>
    </row>
    <row r="2213" spans="1:12">
      <c r="A2213" s="101"/>
      <c r="B2213" s="72" t="s">
        <v>105</v>
      </c>
      <c r="C2213" s="559" t="str">
        <f ca="1">OFFSET('Bateria indicadores proceso'!$L$3,(RIGHT(A2206,3)),1)</f>
        <v>Sumatoria del número de certificaciones de informes reportados en SIRECI</v>
      </c>
      <c r="D2213" s="559"/>
      <c r="E2213" s="559"/>
      <c r="F2213" s="559"/>
      <c r="G2213" s="559"/>
      <c r="H2213" s="559"/>
      <c r="I2213" s="559"/>
      <c r="J2213" s="559"/>
      <c r="K2213" s="559"/>
      <c r="L2213" s="560"/>
    </row>
    <row r="2214" spans="1:12">
      <c r="A2214" s="101"/>
      <c r="B2214" s="72" t="s">
        <v>106</v>
      </c>
      <c r="C2214" s="559" t="str">
        <f ca="1">OFFSET('Bateria indicadores proceso'!$Z$3,(RIGHT(A2206,3)),1)</f>
        <v>Trimestral</v>
      </c>
      <c r="D2214" s="559"/>
      <c r="E2214" s="559"/>
      <c r="F2214" s="559"/>
      <c r="G2214" s="559"/>
      <c r="H2214" s="559"/>
      <c r="I2214" s="559"/>
      <c r="J2214" s="559"/>
      <c r="K2214" s="559"/>
      <c r="L2214" s="560"/>
    </row>
    <row r="2215" spans="1:12">
      <c r="A2215" s="101"/>
      <c r="B2215" s="72" t="s">
        <v>107</v>
      </c>
      <c r="C2215" s="559" t="str">
        <f ca="1">OFFSET('Bateria indicadores proceso'!$X$3,(RIGHT(A2206,3)),1)</f>
        <v>Sistema de Rendición de la Cuenta e Informes - SIRECI</v>
      </c>
      <c r="D2215" s="559"/>
      <c r="E2215" s="559"/>
      <c r="F2215" s="559"/>
      <c r="G2215" s="559"/>
      <c r="H2215" s="559"/>
      <c r="I2215" s="559"/>
      <c r="J2215" s="559"/>
      <c r="K2215" s="559"/>
      <c r="L2215" s="560"/>
    </row>
    <row r="2216" spans="1:12">
      <c r="A2216" s="101"/>
      <c r="B2216" s="72" t="s">
        <v>108</v>
      </c>
      <c r="C2216" s="561">
        <f ca="1">OFFSET('Bateria indicadores proceso'!$P$3,(RIGHT(A2206,3)),1)</f>
        <v>2024</v>
      </c>
      <c r="D2216" s="561"/>
      <c r="E2216" s="561"/>
      <c r="F2216" s="561"/>
      <c r="G2216" s="561"/>
      <c r="H2216" s="561"/>
      <c r="I2216" s="561"/>
      <c r="J2216" s="561"/>
      <c r="K2216" s="561"/>
      <c r="L2216" s="566"/>
    </row>
    <row r="2217" spans="1:12">
      <c r="A2217" s="101"/>
      <c r="B2217" s="72" t="s">
        <v>109</v>
      </c>
      <c r="C2217" s="561" t="str">
        <f ca="1">IF(C2211="Número",TEXT(OFFSET('Bateria indicadores proceso'!$Q$3,(RIGHT(A2206,3)),1),"######"),TEXT(OFFSET('Bateria indicadores proceso'!$Q$3,(RIGHT(A2206,3)),1),"0.0%"))</f>
        <v>12</v>
      </c>
      <c r="D2217" s="561"/>
      <c r="E2217" s="561"/>
      <c r="F2217" s="561"/>
      <c r="G2217" s="561"/>
      <c r="H2217" s="561"/>
      <c r="I2217" s="561"/>
      <c r="J2217" s="561"/>
      <c r="K2217" s="561"/>
      <c r="L2217" s="566"/>
    </row>
    <row r="2218" spans="1:12">
      <c r="A2218" s="101"/>
      <c r="B2218" s="72" t="s">
        <v>110</v>
      </c>
      <c r="C2218" s="593">
        <f ca="1">+OFFSET('Bateria indicadores proceso'!$R$3,(RIGHT(A2206,3)),1)</f>
        <v>46022</v>
      </c>
      <c r="D2218" s="593"/>
      <c r="E2218" s="593"/>
      <c r="F2218" s="593"/>
      <c r="G2218" s="593"/>
      <c r="H2218" s="593"/>
      <c r="I2218" s="593"/>
      <c r="J2218" s="593"/>
      <c r="K2218" s="593"/>
      <c r="L2218" s="594"/>
    </row>
    <row r="2219" spans="1:12">
      <c r="A2219" s="101"/>
      <c r="B2219" s="72" t="s">
        <v>111</v>
      </c>
      <c r="C2219" s="561" t="str">
        <f ca="1">OFFSET('Bateria indicadores proceso'!$M$3,(RIGHT(A2206,3)),1)</f>
        <v>Incrementar</v>
      </c>
      <c r="D2219" s="561"/>
      <c r="E2219" s="561"/>
      <c r="F2219" s="561"/>
      <c r="G2219" s="561"/>
      <c r="H2219" s="561"/>
      <c r="I2219" s="561"/>
      <c r="J2219" s="561"/>
      <c r="K2219" s="561"/>
      <c r="L2219" s="566"/>
    </row>
    <row r="2220" spans="1:12">
      <c r="A2220" s="101"/>
      <c r="B2220" s="72" t="s">
        <v>112</v>
      </c>
      <c r="C2220" s="561" t="str">
        <f ca="1">OFFSET('Bateria indicadores proceso'!$N$3,(RIGHT(A2206,3)),1)</f>
        <v>Acumulado</v>
      </c>
      <c r="D2220" s="561"/>
      <c r="E2220" s="561"/>
      <c r="F2220" s="561"/>
      <c r="G2220" s="561"/>
      <c r="H2220" s="561"/>
      <c r="I2220" s="561"/>
      <c r="J2220" s="561"/>
      <c r="K2220" s="561"/>
      <c r="L2220" s="566"/>
    </row>
    <row r="2221" spans="1:12">
      <c r="A2221" s="101"/>
      <c r="B2221" s="72" t="s">
        <v>113</v>
      </c>
      <c r="C2221" s="561" t="str">
        <f ca="1">IF(C2211="Número",TEXT(OFFSET('Bateria indicadores proceso'!$W$3,(RIGHT(A2206,3)),1),"######"),TEXT(OFFSET('Bateria indicadores proceso'!$W$3,(RIGHT(A2206,3)),1),"0.0%"))</f>
        <v>12</v>
      </c>
      <c r="D2221" s="561"/>
      <c r="E2221" s="561"/>
      <c r="F2221" s="561"/>
      <c r="G2221" s="561"/>
      <c r="H2221" s="561"/>
      <c r="I2221" s="561"/>
      <c r="J2221" s="561"/>
      <c r="K2221" s="561"/>
      <c r="L2221" s="566"/>
    </row>
    <row r="2222" spans="1:12">
      <c r="A2222" s="101"/>
      <c r="B2222" s="595" t="s">
        <v>114</v>
      </c>
      <c r="C2222" s="70" t="s">
        <v>115</v>
      </c>
      <c r="D2222" s="70" t="s">
        <v>116</v>
      </c>
      <c r="E2222" s="70" t="s">
        <v>117</v>
      </c>
      <c r="F2222" s="70" t="s">
        <v>118</v>
      </c>
      <c r="J2222" s="75"/>
      <c r="K2222" s="75"/>
      <c r="L2222" s="76"/>
    </row>
    <row r="2223" spans="1:12">
      <c r="A2223" s="101"/>
      <c r="B2223" s="595"/>
      <c r="C2223" s="70" t="str">
        <f ca="1">IF(C2211="Número",TEXT(OFFSET('Bateria indicadores proceso'!$S$3,(RIGHT(A2206,3)),1),"######"),TEXT(OFFSET('Bateria indicadores proceso'!$S$3,(RIGHT(A2206,3)),1),"0.0%"))</f>
        <v>3</v>
      </c>
      <c r="D2223" s="70" t="str">
        <f ca="1">IF(C2211="Número",TEXT(OFFSET('Bateria indicadores proceso'!$T$3,(RIGHT(A2206,3)),1),"######"),TEXT(OFFSET('Bateria indicadores proceso'!$T$3,(RIGHT(A2206,3)),1),"0.0%"))</f>
        <v>3</v>
      </c>
      <c r="E2223" s="70" t="str">
        <f ca="1">IF(C2211="Número",TEXT(OFFSET('Bateria indicadores proceso'!$U$3,(RIGHT(A2206,3)),1),"######"),TEXT(OFFSET('Bateria indicadores proceso'!$U$3,(RIGHT(A2206,3)),1),"0.0%"))</f>
        <v>3</v>
      </c>
      <c r="F2223" s="70" t="str">
        <f ca="1">IF(C2211="Número",TEXT(OFFSET('Bateria indicadores proceso'!$V$3,(RIGHT(A2206,3)),1),"######"),TEXT(OFFSET('Bateria indicadores proceso'!$V$3,(RIGHT(A2206,3)),1),"0.0%"))</f>
        <v>3</v>
      </c>
      <c r="J2223" s="77"/>
      <c r="K2223" s="77"/>
      <c r="L2223" s="78"/>
    </row>
    <row r="2224" spans="1:12" ht="24" customHeight="1">
      <c r="A2224" s="101"/>
      <c r="B2224" s="600" t="s">
        <v>119</v>
      </c>
      <c r="C2224" s="567" t="s">
        <v>120</v>
      </c>
      <c r="D2224" s="568"/>
      <c r="E2224" s="567" t="s">
        <v>121</v>
      </c>
      <c r="F2224" s="568"/>
      <c r="G2224" s="567" t="s">
        <v>122</v>
      </c>
      <c r="H2224" s="568"/>
      <c r="I2224" s="567" t="s">
        <v>123</v>
      </c>
      <c r="J2224" s="568"/>
      <c r="K2224" s="567" t="s">
        <v>124</v>
      </c>
      <c r="L2224" s="569"/>
    </row>
    <row r="2225" spans="1:12">
      <c r="A2225" s="101"/>
      <c r="B2225" s="601"/>
      <c r="C2225" s="570" t="s">
        <v>125</v>
      </c>
      <c r="D2225" s="571"/>
      <c r="E2225" s="577" t="s">
        <v>126</v>
      </c>
      <c r="F2225" s="578"/>
      <c r="G2225" s="579" t="s">
        <v>127</v>
      </c>
      <c r="H2225" s="580"/>
      <c r="I2225" s="581" t="s">
        <v>128</v>
      </c>
      <c r="J2225" s="582"/>
      <c r="K2225" s="583" t="s">
        <v>129</v>
      </c>
      <c r="L2225" s="584"/>
    </row>
    <row r="2226" spans="1:12">
      <c r="A2226" s="101"/>
      <c r="B2226" s="602"/>
      <c r="C2226" s="567" t="s">
        <v>130</v>
      </c>
      <c r="D2226" s="568"/>
      <c r="E2226" s="567" t="s">
        <v>131</v>
      </c>
      <c r="F2226" s="568"/>
      <c r="G2226" s="585" t="s">
        <v>132</v>
      </c>
      <c r="H2226" s="568"/>
      <c r="I2226" s="567" t="s">
        <v>133</v>
      </c>
      <c r="J2226" s="568"/>
      <c r="K2226" s="567" t="s">
        <v>134</v>
      </c>
      <c r="L2226" s="569"/>
    </row>
    <row r="2227" spans="1:12">
      <c r="A2227" s="101"/>
      <c r="B2227" s="72" t="s">
        <v>135</v>
      </c>
      <c r="C2227" s="559" t="str">
        <f ca="1">OFFSET('Bateria indicadores proceso'!$Y$3,(RIGHT(A2206,3)),1)</f>
        <v>Certificaciones Sistema de Rendición Electrónica de la Cuenta e Informes - SIRECI expedidas</v>
      </c>
      <c r="D2227" s="559"/>
      <c r="E2227" s="559"/>
      <c r="F2227" s="559"/>
      <c r="G2227" s="559"/>
      <c r="H2227" s="559"/>
      <c r="I2227" s="559"/>
      <c r="J2227" s="559"/>
      <c r="K2227" s="559"/>
      <c r="L2227" s="560"/>
    </row>
    <row r="2228" spans="1:12">
      <c r="A2228" s="101"/>
      <c r="B2228" s="591" t="s">
        <v>136</v>
      </c>
      <c r="C2228" s="561" t="s">
        <v>137</v>
      </c>
      <c r="D2228" s="561"/>
      <c r="E2228" s="561"/>
      <c r="F2228" s="562" t="str">
        <f ca="1">OFFSET('Bateria indicadores proceso'!$B$3,(RIGHT(A2206,3)),1)</f>
        <v>GESTIÓN DE BIENES Y SERVICIOS</v>
      </c>
      <c r="G2228" s="562"/>
      <c r="H2228" s="562"/>
      <c r="I2228" s="562"/>
      <c r="J2228" s="562"/>
      <c r="K2228" s="562"/>
      <c r="L2228" s="563"/>
    </row>
    <row r="2229" spans="1:12">
      <c r="A2229" s="101"/>
      <c r="B2229" s="592"/>
      <c r="C2229" s="561" t="s">
        <v>138</v>
      </c>
      <c r="D2229" s="561"/>
      <c r="E2229" s="561"/>
      <c r="F2229" s="564">
        <f ca="1">OFFSET('Bateria indicadores proceso'!$C$3,(RIGHT(A2206,3)),1)</f>
        <v>1</v>
      </c>
      <c r="G2229" s="564"/>
      <c r="H2229" s="564"/>
      <c r="I2229" s="564"/>
      <c r="J2229" s="564"/>
      <c r="K2229" s="564"/>
      <c r="L2229" s="565"/>
    </row>
    <row r="2230" spans="1:12" ht="15.75" thickBot="1">
      <c r="A2230" s="101"/>
      <c r="B2230" s="592"/>
      <c r="C2230" s="561" t="s">
        <v>139</v>
      </c>
      <c r="D2230" s="561"/>
      <c r="E2230" s="561"/>
      <c r="F2230" s="564">
        <f ca="1">OFFSET('Bateria indicadores proceso'!$E$3,(RIGHT(A2206,3)),1)</f>
        <v>0.25</v>
      </c>
      <c r="G2230" s="564"/>
      <c r="H2230" s="564"/>
      <c r="I2230" s="564"/>
      <c r="J2230" s="564"/>
      <c r="K2230" s="564"/>
      <c r="L2230" s="565"/>
    </row>
    <row r="2231" spans="1:12" ht="16.5" thickBot="1">
      <c r="A2231" s="101"/>
      <c r="B2231" s="572" t="s">
        <v>140</v>
      </c>
      <c r="C2231" s="573"/>
      <c r="D2231" s="573"/>
      <c r="E2231" s="573"/>
      <c r="F2231" s="573"/>
      <c r="G2231" s="573"/>
      <c r="H2231" s="573"/>
      <c r="I2231" s="573"/>
      <c r="J2231" s="573"/>
      <c r="K2231" s="573"/>
      <c r="L2231" s="574"/>
    </row>
    <row r="2232" spans="1:12">
      <c r="A2232" s="101"/>
      <c r="B2232" s="72" t="s">
        <v>142</v>
      </c>
      <c r="C2232" s="561" t="str">
        <f ca="1">OFFSET('Bateria indicadores proceso'!$G$3,(RIGHT(A2206,3)),1)</f>
        <v xml:space="preserve">Subdirector </v>
      </c>
      <c r="D2232" s="561"/>
      <c r="E2232" s="561"/>
      <c r="F2232" s="561"/>
      <c r="G2232" s="561"/>
      <c r="H2232" s="561"/>
      <c r="I2232" s="561"/>
      <c r="J2232" s="561"/>
      <c r="K2232" s="561"/>
      <c r="L2232" s="566"/>
    </row>
    <row r="2233" spans="1:12">
      <c r="A2233" s="101"/>
      <c r="B2233" s="72" t="s">
        <v>143</v>
      </c>
      <c r="C2233" s="561" t="str">
        <f ca="1">OFFSET('Bateria indicadores proceso'!$F$3,(RIGHT(A2206,3)),1)</f>
        <v xml:space="preserve">Subdirección de Gestión Contractual </v>
      </c>
      <c r="D2233" s="561"/>
      <c r="E2233" s="561"/>
      <c r="F2233" s="561"/>
      <c r="G2233" s="561"/>
      <c r="H2233" s="561"/>
      <c r="I2233" s="561"/>
      <c r="J2233" s="561"/>
      <c r="K2233" s="561"/>
      <c r="L2233" s="566"/>
    </row>
    <row r="2234" spans="1:12">
      <c r="A2234" s="101"/>
      <c r="B2234" s="72" t="s">
        <v>144</v>
      </c>
      <c r="C2234" s="598" t="str">
        <f ca="1">OFFSET('Bateria indicadores proceso'!$H$3,(RIGHT(A2170,3)),1)</f>
        <v>diana.olmos@mininterior.gov.co</v>
      </c>
      <c r="D2234" s="598"/>
      <c r="E2234" s="598"/>
      <c r="F2234" s="598"/>
      <c r="G2234" s="598"/>
      <c r="H2234" s="598"/>
      <c r="I2234" s="598"/>
      <c r="J2234" s="598"/>
      <c r="K2234" s="598"/>
      <c r="L2234" s="599"/>
    </row>
    <row r="2235" spans="1:12" ht="15.75" thickBot="1">
      <c r="A2235" s="104"/>
      <c r="B2235" s="74" t="s">
        <v>145</v>
      </c>
      <c r="C2235" s="596" t="s">
        <v>146</v>
      </c>
      <c r="D2235" s="596"/>
      <c r="E2235" s="596"/>
      <c r="F2235" s="596"/>
      <c r="G2235" s="596"/>
      <c r="H2235" s="596"/>
      <c r="I2235" s="596"/>
      <c r="J2235" s="596"/>
      <c r="K2235" s="596"/>
      <c r="L2235" s="597"/>
    </row>
    <row r="2236" spans="1:12" ht="15.75" thickBot="1"/>
    <row r="2237" spans="1:12" ht="21.75" thickBot="1">
      <c r="A2237" s="586" t="s">
        <v>89</v>
      </c>
      <c r="B2237" s="587"/>
      <c r="C2237" s="587"/>
      <c r="D2237" s="587"/>
      <c r="E2237" s="587"/>
      <c r="F2237" s="587"/>
      <c r="G2237" s="587"/>
      <c r="H2237" s="587"/>
      <c r="I2237" s="587"/>
      <c r="J2237" s="587"/>
      <c r="K2237" s="587"/>
      <c r="L2237" s="588"/>
    </row>
    <row r="2238" spans="1:12" ht="32.25" thickBot="1">
      <c r="A2238" s="69" t="s">
        <v>90</v>
      </c>
      <c r="B2238" s="589" t="s">
        <v>91</v>
      </c>
      <c r="C2238" s="589"/>
      <c r="D2238" s="589"/>
      <c r="E2238" s="589"/>
      <c r="F2238" s="589"/>
      <c r="G2238" s="589"/>
      <c r="H2238" s="589"/>
      <c r="I2238" s="589"/>
      <c r="J2238" s="589"/>
      <c r="K2238" s="589"/>
      <c r="L2238" s="589"/>
    </row>
    <row r="2239" spans="1:12" ht="16.5" thickBot="1">
      <c r="A2239" s="100"/>
      <c r="B2239" s="71" t="s">
        <v>92</v>
      </c>
      <c r="C2239" s="575" t="s">
        <v>93</v>
      </c>
      <c r="D2239" s="575"/>
      <c r="E2239" s="575"/>
      <c r="F2239" s="575"/>
      <c r="G2239" s="575"/>
      <c r="H2239" s="575"/>
      <c r="I2239" s="575"/>
      <c r="J2239" s="575"/>
      <c r="K2239" s="575"/>
      <c r="L2239" s="576"/>
    </row>
    <row r="2240" spans="1:12" ht="16.5" thickBot="1">
      <c r="A2240" s="101"/>
      <c r="B2240" s="589" t="s">
        <v>94</v>
      </c>
      <c r="C2240" s="590"/>
      <c r="D2240" s="590"/>
      <c r="E2240" s="590"/>
      <c r="F2240" s="590"/>
      <c r="G2240" s="590"/>
      <c r="H2240" s="590"/>
      <c r="I2240" s="590"/>
      <c r="J2240" s="590"/>
      <c r="K2240" s="590"/>
      <c r="L2240" s="590"/>
    </row>
    <row r="2241" spans="1:12">
      <c r="A2241" s="101"/>
      <c r="B2241" s="71" t="s">
        <v>95</v>
      </c>
      <c r="C2241" s="559" t="s">
        <v>96</v>
      </c>
      <c r="D2241" s="559"/>
      <c r="E2241" s="559"/>
      <c r="F2241" s="559"/>
      <c r="G2241" s="559"/>
      <c r="H2241" s="559"/>
      <c r="I2241" s="559"/>
      <c r="J2241" s="559"/>
      <c r="K2241" s="559"/>
      <c r="L2241" s="560"/>
    </row>
    <row r="2242" spans="1:12">
      <c r="A2242" s="102" t="s">
        <v>208</v>
      </c>
      <c r="B2242" s="72" t="s">
        <v>98</v>
      </c>
      <c r="C2242" s="559" t="str">
        <f ca="1">OFFSET('Bateria indicadores proceso'!$F$3,(RIGHT(A2242,3)),1)</f>
        <v xml:space="preserve">Subdirección de Gestión Contractual </v>
      </c>
      <c r="D2242" s="559"/>
      <c r="E2242" s="559"/>
      <c r="F2242" s="559"/>
      <c r="G2242" s="559"/>
      <c r="H2242" s="559"/>
      <c r="I2242" s="559"/>
      <c r="J2242" s="559"/>
      <c r="K2242" s="559"/>
      <c r="L2242" s="560"/>
    </row>
    <row r="2243" spans="1:12">
      <c r="A2243" s="101"/>
      <c r="B2243" s="72" t="s">
        <v>99</v>
      </c>
      <c r="C2243" s="559" t="str">
        <f ca="1">OFFSET('Bateria indicadores proceso'!$K$3,(RIGHT(A2242,3)),1)</f>
        <v xml:space="preserve">Modificaciones al Plan Anual de Adquisiciones revisadas por la Subdirección de Gestión Contractual </v>
      </c>
      <c r="D2243" s="559"/>
      <c r="E2243" s="559"/>
      <c r="F2243" s="559"/>
      <c r="G2243" s="559"/>
      <c r="H2243" s="559"/>
      <c r="I2243" s="559"/>
      <c r="J2243" s="559"/>
      <c r="K2243" s="559"/>
      <c r="L2243" s="560"/>
    </row>
    <row r="2244" spans="1:12">
      <c r="A2244" s="101"/>
      <c r="B2244" s="72" t="s">
        <v>100</v>
      </c>
      <c r="C2244" s="559" t="str">
        <f ca="1">OFFSET('Bateria indicadores proceso'!$I$3,(RIGHT(A2242,3)),1)</f>
        <v>Eficiencia</v>
      </c>
      <c r="D2244" s="559"/>
      <c r="E2244" s="559"/>
      <c r="F2244" s="559"/>
      <c r="G2244" s="559"/>
      <c r="H2244" s="559"/>
      <c r="I2244" s="559"/>
      <c r="J2244" s="559"/>
      <c r="K2244" s="559"/>
      <c r="L2244" s="560"/>
    </row>
    <row r="2245" spans="1:12" ht="15.75" thickBot="1">
      <c r="A2245" s="103"/>
      <c r="B2245" s="73" t="s">
        <v>101</v>
      </c>
      <c r="C2245" s="559" t="str">
        <f ca="1">OFFSET('Bateria indicadores proceso'!$J$3,(RIGHT(A2242,3)),1)</f>
        <v xml:space="preserve">
El presente indicador medirá  las modificaciones del Plan Anual de Adquisiciones que revisa la Subdirección de Gestión Contractual las cuales deben coincidir con la cantidad de modificaciones adelantadas por la Entidad, lo anterior con el fin de garantizar que el Plan Anual de Adquisiciones tenga coherencia con la contratación de la entidad. La tendencia del presente indicador es mantenimiento. 
</v>
      </c>
      <c r="D2245" s="559"/>
      <c r="E2245" s="559"/>
      <c r="F2245" s="559"/>
      <c r="G2245" s="559"/>
      <c r="H2245" s="559"/>
      <c r="I2245" s="559"/>
      <c r="J2245" s="559"/>
      <c r="K2245" s="559"/>
      <c r="L2245" s="560"/>
    </row>
    <row r="2246" spans="1:12" ht="16.5" thickBot="1">
      <c r="A2246" s="103"/>
      <c r="B2246" s="572" t="s">
        <v>102</v>
      </c>
      <c r="C2246" s="573"/>
      <c r="D2246" s="573"/>
      <c r="E2246" s="573"/>
      <c r="F2246" s="573"/>
      <c r="G2246" s="573"/>
      <c r="H2246" s="573"/>
      <c r="I2246" s="573"/>
      <c r="J2246" s="573"/>
      <c r="K2246" s="573"/>
      <c r="L2246" s="574"/>
    </row>
    <row r="2247" spans="1:12">
      <c r="A2247" s="101"/>
      <c r="B2247" s="71" t="s">
        <v>103</v>
      </c>
      <c r="C2247" s="559" t="str">
        <f ca="1">OFFSET('Bateria indicadores proceso'!$O$3,(RIGHT(A2242,3)),1)</f>
        <v>Porcentaje</v>
      </c>
      <c r="D2247" s="559"/>
      <c r="E2247" s="559"/>
      <c r="F2247" s="559"/>
      <c r="G2247" s="559"/>
      <c r="H2247" s="559"/>
      <c r="I2247" s="559"/>
      <c r="J2247" s="559"/>
      <c r="K2247" s="559"/>
      <c r="L2247" s="560"/>
    </row>
    <row r="2248" spans="1:12" ht="24">
      <c r="A2248" s="101"/>
      <c r="B2248" s="72" t="s">
        <v>104</v>
      </c>
      <c r="C2248" s="559"/>
      <c r="D2248" s="559"/>
      <c r="E2248" s="559"/>
      <c r="F2248" s="559"/>
      <c r="G2248" s="559"/>
      <c r="H2248" s="559"/>
      <c r="I2248" s="559"/>
      <c r="J2248" s="559"/>
      <c r="K2248" s="559"/>
      <c r="L2248" s="560"/>
    </row>
    <row r="2249" spans="1:12">
      <c r="A2249" s="101"/>
      <c r="B2249" s="72" t="s">
        <v>105</v>
      </c>
      <c r="C2249" s="559" t="str">
        <f ca="1">OFFSET('Bateria indicadores proceso'!$L$3,(RIGHT(A2242,3)),1)</f>
        <v>(Número de modificaciones revisadas/modificaciones adelantadas)*100</v>
      </c>
      <c r="D2249" s="559"/>
      <c r="E2249" s="559"/>
      <c r="F2249" s="559"/>
      <c r="G2249" s="559"/>
      <c r="H2249" s="559"/>
      <c r="I2249" s="559"/>
      <c r="J2249" s="559"/>
      <c r="K2249" s="559"/>
      <c r="L2249" s="560"/>
    </row>
    <row r="2250" spans="1:12">
      <c r="A2250" s="101"/>
      <c r="B2250" s="72" t="s">
        <v>106</v>
      </c>
      <c r="C2250" s="559" t="str">
        <f ca="1">OFFSET('Bateria indicadores proceso'!$Z$3,(RIGHT(A2242,3)),1)</f>
        <v>Trimestral</v>
      </c>
      <c r="D2250" s="559"/>
      <c r="E2250" s="559"/>
      <c r="F2250" s="559"/>
      <c r="G2250" s="559"/>
      <c r="H2250" s="559"/>
      <c r="I2250" s="559"/>
      <c r="J2250" s="559"/>
      <c r="K2250" s="559"/>
      <c r="L2250" s="560"/>
    </row>
    <row r="2251" spans="1:12">
      <c r="A2251" s="101"/>
      <c r="B2251" s="72" t="s">
        <v>107</v>
      </c>
      <c r="C2251" s="559" t="str">
        <f ca="1">OFFSET('Bateria indicadores proceso'!$X$3,(RIGHT(A2242,3)),1)</f>
        <v xml:space="preserve">Constancia de verificación por la Subdirección </v>
      </c>
      <c r="D2251" s="559"/>
      <c r="E2251" s="559"/>
      <c r="F2251" s="559"/>
      <c r="G2251" s="559"/>
      <c r="H2251" s="559"/>
      <c r="I2251" s="559"/>
      <c r="J2251" s="559"/>
      <c r="K2251" s="559"/>
      <c r="L2251" s="560"/>
    </row>
    <row r="2252" spans="1:12">
      <c r="A2252" s="101"/>
      <c r="B2252" s="72" t="s">
        <v>108</v>
      </c>
      <c r="C2252" s="561">
        <f ca="1">OFFSET('Bateria indicadores proceso'!$P$3,(RIGHT(A2242,3)),1)</f>
        <v>2024</v>
      </c>
      <c r="D2252" s="561"/>
      <c r="E2252" s="561"/>
      <c r="F2252" s="561"/>
      <c r="G2252" s="561"/>
      <c r="H2252" s="561"/>
      <c r="I2252" s="561"/>
      <c r="J2252" s="561"/>
      <c r="K2252" s="561"/>
      <c r="L2252" s="566"/>
    </row>
    <row r="2253" spans="1:12">
      <c r="A2253" s="101"/>
      <c r="B2253" s="72" t="s">
        <v>109</v>
      </c>
      <c r="C2253" s="561" t="str">
        <f ca="1">IF(C2247="Número",TEXT(OFFSET('Bateria indicadores proceso'!$Q$3,(RIGHT(A2242,3)),1),"######"),TEXT(OFFSET('Bateria indicadores proceso'!$Q$3,(RIGHT(A2242,3)),1),"0.0%"))</f>
        <v>100%</v>
      </c>
      <c r="D2253" s="561"/>
      <c r="E2253" s="561"/>
      <c r="F2253" s="561"/>
      <c r="G2253" s="561"/>
      <c r="H2253" s="561"/>
      <c r="I2253" s="561"/>
      <c r="J2253" s="561"/>
      <c r="K2253" s="561"/>
      <c r="L2253" s="566"/>
    </row>
    <row r="2254" spans="1:12">
      <c r="A2254" s="101"/>
      <c r="B2254" s="72" t="s">
        <v>110</v>
      </c>
      <c r="C2254" s="593">
        <f ca="1">+OFFSET('Bateria indicadores proceso'!$R$3,(RIGHT(A2242,3)),1)</f>
        <v>46022</v>
      </c>
      <c r="D2254" s="593"/>
      <c r="E2254" s="593"/>
      <c r="F2254" s="593"/>
      <c r="G2254" s="593"/>
      <c r="H2254" s="593"/>
      <c r="I2254" s="593"/>
      <c r="J2254" s="593"/>
      <c r="K2254" s="593"/>
      <c r="L2254" s="594"/>
    </row>
    <row r="2255" spans="1:12">
      <c r="A2255" s="101"/>
      <c r="B2255" s="72" t="s">
        <v>111</v>
      </c>
      <c r="C2255" s="561" t="str">
        <f ca="1">OFFSET('Bateria indicadores proceso'!$M$3,(RIGHT(A2242,3)),1)</f>
        <v>Mantener</v>
      </c>
      <c r="D2255" s="561"/>
      <c r="E2255" s="561"/>
      <c r="F2255" s="561"/>
      <c r="G2255" s="561"/>
      <c r="H2255" s="561"/>
      <c r="I2255" s="561"/>
      <c r="J2255" s="561"/>
      <c r="K2255" s="561"/>
      <c r="L2255" s="566"/>
    </row>
    <row r="2256" spans="1:12">
      <c r="A2256" s="101"/>
      <c r="B2256" s="72" t="s">
        <v>112</v>
      </c>
      <c r="C2256" s="561" t="str">
        <f ca="1">OFFSET('Bateria indicadores proceso'!$N$3,(RIGHT(A2242,3)),1)</f>
        <v>Flujo</v>
      </c>
      <c r="D2256" s="561"/>
      <c r="E2256" s="561"/>
      <c r="F2256" s="561"/>
      <c r="G2256" s="561"/>
      <c r="H2256" s="561"/>
      <c r="I2256" s="561"/>
      <c r="J2256" s="561"/>
      <c r="K2256" s="561"/>
      <c r="L2256" s="566"/>
    </row>
    <row r="2257" spans="1:12">
      <c r="A2257" s="101"/>
      <c r="B2257" s="72" t="s">
        <v>113</v>
      </c>
      <c r="C2257" s="561" t="str">
        <f ca="1">IF(C2247="Número",TEXT(OFFSET('Bateria indicadores proceso'!$W$3,(RIGHT(A2242,3)),1),"######"),TEXT(OFFSET('Bateria indicadores proceso'!$W$3,(RIGHT(A2242,3)),1),"0.0%"))</f>
        <v>100%</v>
      </c>
      <c r="D2257" s="561"/>
      <c r="E2257" s="561"/>
      <c r="F2257" s="561"/>
      <c r="G2257" s="561"/>
      <c r="H2257" s="561"/>
      <c r="I2257" s="561"/>
      <c r="J2257" s="561"/>
      <c r="K2257" s="561"/>
      <c r="L2257" s="566"/>
    </row>
    <row r="2258" spans="1:12">
      <c r="A2258" s="101"/>
      <c r="B2258" s="595" t="s">
        <v>114</v>
      </c>
      <c r="C2258" s="70" t="s">
        <v>115</v>
      </c>
      <c r="D2258" s="70" t="s">
        <v>116</v>
      </c>
      <c r="E2258" s="70" t="s">
        <v>117</v>
      </c>
      <c r="F2258" s="70" t="s">
        <v>118</v>
      </c>
      <c r="J2258" s="75"/>
      <c r="K2258" s="75"/>
      <c r="L2258" s="76"/>
    </row>
    <row r="2259" spans="1:12">
      <c r="A2259" s="101"/>
      <c r="B2259" s="595"/>
      <c r="C2259" s="70" t="str">
        <f ca="1">IF(C2247="Número",TEXT(OFFSET('Bateria indicadores proceso'!$S$3,(RIGHT(A2242,3)),1),"######"),TEXT(OFFSET('Bateria indicadores proceso'!$S$3,(RIGHT(A2242,3)),1),"0.0%"))</f>
        <v>100%</v>
      </c>
      <c r="D2259" s="70" t="str">
        <f ca="1">IF(C2247="Número",TEXT(OFFSET('Bateria indicadores proceso'!$T$3,(RIGHT(A2242,3)),1),"######"),TEXT(OFFSET('Bateria indicadores proceso'!$T$3,(RIGHT(A2242,3)),1),"0.0%"))</f>
        <v>100%</v>
      </c>
      <c r="E2259" s="70" t="str">
        <f ca="1">IF(C2247="Número",TEXT(OFFSET('Bateria indicadores proceso'!$U$3,(RIGHT(A2242,3)),1),"######"),TEXT(OFFSET('Bateria indicadores proceso'!$U$3,(RIGHT(A2242,3)),1),"0.0%"))</f>
        <v>100%</v>
      </c>
      <c r="F2259" s="70" t="str">
        <f ca="1">IF(C2247="Número",TEXT(OFFSET('Bateria indicadores proceso'!$V$3,(RIGHT(A2242,3)),1),"######"),TEXT(OFFSET('Bateria indicadores proceso'!$V$3,(RIGHT(A2242,3)),1),"0.0%"))</f>
        <v>100%</v>
      </c>
      <c r="J2259" s="77"/>
      <c r="K2259" s="77"/>
      <c r="L2259" s="78"/>
    </row>
    <row r="2260" spans="1:12" ht="25.5" customHeight="1">
      <c r="A2260" s="101"/>
      <c r="B2260" s="600" t="s">
        <v>119</v>
      </c>
      <c r="C2260" s="567" t="s">
        <v>120</v>
      </c>
      <c r="D2260" s="568"/>
      <c r="E2260" s="567" t="s">
        <v>121</v>
      </c>
      <c r="F2260" s="568"/>
      <c r="G2260" s="567" t="s">
        <v>122</v>
      </c>
      <c r="H2260" s="568"/>
      <c r="I2260" s="567" t="s">
        <v>123</v>
      </c>
      <c r="J2260" s="568"/>
      <c r="K2260" s="567" t="s">
        <v>124</v>
      </c>
      <c r="L2260" s="569"/>
    </row>
    <row r="2261" spans="1:12">
      <c r="A2261" s="101"/>
      <c r="B2261" s="601"/>
      <c r="C2261" s="570" t="s">
        <v>125</v>
      </c>
      <c r="D2261" s="571"/>
      <c r="E2261" s="577" t="s">
        <v>126</v>
      </c>
      <c r="F2261" s="578"/>
      <c r="G2261" s="579" t="s">
        <v>127</v>
      </c>
      <c r="H2261" s="580"/>
      <c r="I2261" s="581" t="s">
        <v>128</v>
      </c>
      <c r="J2261" s="582"/>
      <c r="K2261" s="583" t="s">
        <v>129</v>
      </c>
      <c r="L2261" s="584"/>
    </row>
    <row r="2262" spans="1:12">
      <c r="A2262" s="101"/>
      <c r="B2262" s="602"/>
      <c r="C2262" s="567" t="s">
        <v>130</v>
      </c>
      <c r="D2262" s="568"/>
      <c r="E2262" s="567" t="s">
        <v>131</v>
      </c>
      <c r="F2262" s="568"/>
      <c r="G2262" s="585" t="s">
        <v>132</v>
      </c>
      <c r="H2262" s="568"/>
      <c r="I2262" s="567" t="s">
        <v>133</v>
      </c>
      <c r="J2262" s="568"/>
      <c r="K2262" s="567" t="s">
        <v>134</v>
      </c>
      <c r="L2262" s="569"/>
    </row>
    <row r="2263" spans="1:12">
      <c r="A2263" s="101"/>
      <c r="B2263" s="72" t="s">
        <v>135</v>
      </c>
      <c r="C2263" s="559" t="str">
        <f ca="1">OFFSET('Bateria indicadores proceso'!$Y$3,(RIGHT(A2242,3)),1)</f>
        <v xml:space="preserve">Correos electronicos de trazabilidad de verificación </v>
      </c>
      <c r="D2263" s="559"/>
      <c r="E2263" s="559"/>
      <c r="F2263" s="559"/>
      <c r="G2263" s="559"/>
      <c r="H2263" s="559"/>
      <c r="I2263" s="559"/>
      <c r="J2263" s="559"/>
      <c r="K2263" s="559"/>
      <c r="L2263" s="560"/>
    </row>
    <row r="2264" spans="1:12">
      <c r="A2264" s="101"/>
      <c r="B2264" s="591" t="s">
        <v>136</v>
      </c>
      <c r="C2264" s="561" t="s">
        <v>137</v>
      </c>
      <c r="D2264" s="561"/>
      <c r="E2264" s="561"/>
      <c r="F2264" s="562" t="str">
        <f ca="1">OFFSET('Bateria indicadores proceso'!$B$3,(RIGHT(A2242,3)),1)</f>
        <v>GESTIÓN DE BIENES Y SERVICIOS</v>
      </c>
      <c r="G2264" s="562"/>
      <c r="H2264" s="562"/>
      <c r="I2264" s="562"/>
      <c r="J2264" s="562"/>
      <c r="K2264" s="562"/>
      <c r="L2264" s="563"/>
    </row>
    <row r="2265" spans="1:12">
      <c r="A2265" s="101"/>
      <c r="B2265" s="592"/>
      <c r="C2265" s="561" t="s">
        <v>138</v>
      </c>
      <c r="D2265" s="561"/>
      <c r="E2265" s="561"/>
      <c r="F2265" s="564">
        <f ca="1">OFFSET('Bateria indicadores proceso'!$C$3,(RIGHT(A2242,3)),1)</f>
        <v>1</v>
      </c>
      <c r="G2265" s="564"/>
      <c r="H2265" s="564"/>
      <c r="I2265" s="564"/>
      <c r="J2265" s="564"/>
      <c r="K2265" s="564"/>
      <c r="L2265" s="565"/>
    </row>
    <row r="2266" spans="1:12" ht="15.75" thickBot="1">
      <c r="A2266" s="101"/>
      <c r="B2266" s="592"/>
      <c r="C2266" s="561" t="s">
        <v>139</v>
      </c>
      <c r="D2266" s="561"/>
      <c r="E2266" s="561"/>
      <c r="F2266" s="564">
        <f ca="1">OFFSET('Bateria indicadores proceso'!$E$3,(RIGHT(A2242,3)),1)</f>
        <v>0.25</v>
      </c>
      <c r="G2266" s="564"/>
      <c r="H2266" s="564"/>
      <c r="I2266" s="564"/>
      <c r="J2266" s="564"/>
      <c r="K2266" s="564"/>
      <c r="L2266" s="565"/>
    </row>
    <row r="2267" spans="1:12" ht="16.5" thickBot="1">
      <c r="A2267" s="101"/>
      <c r="B2267" s="572" t="s">
        <v>140</v>
      </c>
      <c r="C2267" s="573"/>
      <c r="D2267" s="573"/>
      <c r="E2267" s="573"/>
      <c r="F2267" s="573"/>
      <c r="G2267" s="573"/>
      <c r="H2267" s="573"/>
      <c r="I2267" s="573"/>
      <c r="J2267" s="573"/>
      <c r="K2267" s="573"/>
      <c r="L2267" s="574"/>
    </row>
    <row r="2268" spans="1:12">
      <c r="A2268" s="101"/>
      <c r="B2268" s="72" t="s">
        <v>142</v>
      </c>
      <c r="C2268" s="561" t="str">
        <f ca="1">OFFSET('Bateria indicadores proceso'!$G$3,(RIGHT(A2242,3)),1)</f>
        <v xml:space="preserve">Subdirector </v>
      </c>
      <c r="D2268" s="561"/>
      <c r="E2268" s="561"/>
      <c r="F2268" s="561"/>
      <c r="G2268" s="561"/>
      <c r="H2268" s="561"/>
      <c r="I2268" s="561"/>
      <c r="J2268" s="561"/>
      <c r="K2268" s="561"/>
      <c r="L2268" s="566"/>
    </row>
    <row r="2269" spans="1:12">
      <c r="A2269" s="101"/>
      <c r="B2269" s="72" t="s">
        <v>143</v>
      </c>
      <c r="C2269" s="561" t="str">
        <f ca="1">OFFSET('Bateria indicadores proceso'!$F$3,(RIGHT(A2242,3)),1)</f>
        <v xml:space="preserve">Subdirección de Gestión Contractual </v>
      </c>
      <c r="D2269" s="561"/>
      <c r="E2269" s="561"/>
      <c r="F2269" s="561"/>
      <c r="G2269" s="561"/>
      <c r="H2269" s="561"/>
      <c r="I2269" s="561"/>
      <c r="J2269" s="561"/>
      <c r="K2269" s="561"/>
      <c r="L2269" s="566"/>
    </row>
    <row r="2270" spans="1:12">
      <c r="A2270" s="101"/>
      <c r="B2270" s="72" t="s">
        <v>144</v>
      </c>
      <c r="C2270" s="598" t="str">
        <f ca="1">OFFSET('Bateria indicadores proceso'!$H$3,(RIGHT(A2242,3)),1)</f>
        <v>lina.vacca@mininterior.gov.co</v>
      </c>
      <c r="D2270" s="598"/>
      <c r="E2270" s="598"/>
      <c r="F2270" s="598"/>
      <c r="G2270" s="598"/>
      <c r="H2270" s="598"/>
      <c r="I2270" s="598"/>
      <c r="J2270" s="598"/>
      <c r="K2270" s="598"/>
      <c r="L2270" s="599"/>
    </row>
    <row r="2271" spans="1:12" ht="15.75" thickBot="1">
      <c r="A2271" s="104"/>
      <c r="B2271" s="74" t="s">
        <v>145</v>
      </c>
      <c r="C2271" s="596" t="s">
        <v>146</v>
      </c>
      <c r="D2271" s="596"/>
      <c r="E2271" s="596"/>
      <c r="F2271" s="596"/>
      <c r="G2271" s="596"/>
      <c r="H2271" s="596"/>
      <c r="I2271" s="596"/>
      <c r="J2271" s="596"/>
      <c r="K2271" s="596"/>
      <c r="L2271" s="597"/>
    </row>
    <row r="2272" spans="1:12" ht="15.75" thickBot="1"/>
    <row r="2273" spans="1:12" ht="21.75" thickBot="1">
      <c r="A2273" s="586" t="s">
        <v>89</v>
      </c>
      <c r="B2273" s="587"/>
      <c r="C2273" s="587"/>
      <c r="D2273" s="587"/>
      <c r="E2273" s="587"/>
      <c r="F2273" s="587"/>
      <c r="G2273" s="587"/>
      <c r="H2273" s="587"/>
      <c r="I2273" s="587"/>
      <c r="J2273" s="587"/>
      <c r="K2273" s="587"/>
      <c r="L2273" s="588"/>
    </row>
    <row r="2274" spans="1:12" ht="32.25" thickBot="1">
      <c r="A2274" s="69" t="s">
        <v>90</v>
      </c>
      <c r="B2274" s="589" t="s">
        <v>91</v>
      </c>
      <c r="C2274" s="589"/>
      <c r="D2274" s="589"/>
      <c r="E2274" s="589"/>
      <c r="F2274" s="589"/>
      <c r="G2274" s="589"/>
      <c r="H2274" s="589"/>
      <c r="I2274" s="589"/>
      <c r="J2274" s="589"/>
      <c r="K2274" s="589"/>
      <c r="L2274" s="589"/>
    </row>
    <row r="2275" spans="1:12" ht="16.5" thickBot="1">
      <c r="A2275" s="100"/>
      <c r="B2275" s="71" t="s">
        <v>92</v>
      </c>
      <c r="C2275" s="575" t="s">
        <v>93</v>
      </c>
      <c r="D2275" s="575"/>
      <c r="E2275" s="575"/>
      <c r="F2275" s="575"/>
      <c r="G2275" s="575"/>
      <c r="H2275" s="575"/>
      <c r="I2275" s="575"/>
      <c r="J2275" s="575"/>
      <c r="K2275" s="575"/>
      <c r="L2275" s="576"/>
    </row>
    <row r="2276" spans="1:12" ht="16.5" thickBot="1">
      <c r="A2276" s="101"/>
      <c r="B2276" s="589" t="s">
        <v>94</v>
      </c>
      <c r="C2276" s="590"/>
      <c r="D2276" s="590"/>
      <c r="E2276" s="590"/>
      <c r="F2276" s="590"/>
      <c r="G2276" s="590"/>
      <c r="H2276" s="590"/>
      <c r="I2276" s="590"/>
      <c r="J2276" s="590"/>
      <c r="K2276" s="590"/>
      <c r="L2276" s="590"/>
    </row>
    <row r="2277" spans="1:12">
      <c r="A2277" s="101"/>
      <c r="B2277" s="71" t="s">
        <v>95</v>
      </c>
      <c r="C2277" s="559" t="s">
        <v>96</v>
      </c>
      <c r="D2277" s="559"/>
      <c r="E2277" s="559"/>
      <c r="F2277" s="559"/>
      <c r="G2277" s="559"/>
      <c r="H2277" s="559"/>
      <c r="I2277" s="559"/>
      <c r="J2277" s="559"/>
      <c r="K2277" s="559"/>
      <c r="L2277" s="560"/>
    </row>
    <row r="2278" spans="1:12">
      <c r="A2278" s="102" t="s">
        <v>209</v>
      </c>
      <c r="B2278" s="72" t="s">
        <v>98</v>
      </c>
      <c r="C2278" s="559" t="str">
        <f ca="1">OFFSET('Bateria indicadores proceso'!$F$3,(RIGHT(A2278,3)),1)</f>
        <v xml:space="preserve">Subdirección de Gestión Contractual </v>
      </c>
      <c r="D2278" s="559"/>
      <c r="E2278" s="559"/>
      <c r="F2278" s="559"/>
      <c r="G2278" s="559"/>
      <c r="H2278" s="559"/>
      <c r="I2278" s="559"/>
      <c r="J2278" s="559"/>
      <c r="K2278" s="559"/>
      <c r="L2278" s="560"/>
    </row>
    <row r="2279" spans="1:12">
      <c r="A2279" s="101"/>
      <c r="B2279" s="72" t="s">
        <v>99</v>
      </c>
      <c r="C2279" s="559" t="str">
        <f ca="1">OFFSET('Bateria indicadores proceso'!$K$3,(RIGHT(A2278,3)),1)</f>
        <v xml:space="preserve">Capacitaciones adelantadas a los Supervisores por la Subdirección de Gestión Contractual </v>
      </c>
      <c r="D2279" s="559"/>
      <c r="E2279" s="559"/>
      <c r="F2279" s="559"/>
      <c r="G2279" s="559"/>
      <c r="H2279" s="559"/>
      <c r="I2279" s="559"/>
      <c r="J2279" s="559"/>
      <c r="K2279" s="559"/>
      <c r="L2279" s="560"/>
    </row>
    <row r="2280" spans="1:12">
      <c r="A2280" s="101"/>
      <c r="B2280" s="72" t="s">
        <v>100</v>
      </c>
      <c r="C2280" s="559" t="str">
        <f ca="1">OFFSET('Bateria indicadores proceso'!$I$3,(RIGHT(A2278,3)),1)</f>
        <v>Eficiencia</v>
      </c>
      <c r="D2280" s="559"/>
      <c r="E2280" s="559"/>
      <c r="F2280" s="559"/>
      <c r="G2280" s="559"/>
      <c r="H2280" s="559"/>
      <c r="I2280" s="559"/>
      <c r="J2280" s="559"/>
      <c r="K2280" s="559"/>
      <c r="L2280" s="560"/>
    </row>
    <row r="2281" spans="1:12" ht="15.75" thickBot="1">
      <c r="A2281" s="103"/>
      <c r="B2281" s="73" t="s">
        <v>101</v>
      </c>
      <c r="C2281" s="559" t="str">
        <f ca="1">OFFSET('Bateria indicadores proceso'!$J$3,(RIGHT(A2278,3)),1)</f>
        <v xml:space="preserve">Mediante este indicador se identificará la cantidad de capacitaciones que realizó la Subdirección de Gestión Contractual a los supervisores del Ministerio del Interior, con el objetivo de mantener el rango y aportar al fortalecimiento de la supervisión. La tendencia de este indicador es incremental. 
</v>
      </c>
      <c r="D2281" s="559"/>
      <c r="E2281" s="559"/>
      <c r="F2281" s="559"/>
      <c r="G2281" s="559"/>
      <c r="H2281" s="559"/>
      <c r="I2281" s="559"/>
      <c r="J2281" s="559"/>
      <c r="K2281" s="559"/>
      <c r="L2281" s="560"/>
    </row>
    <row r="2282" spans="1:12" ht="16.5" thickBot="1">
      <c r="A2282" s="103"/>
      <c r="B2282" s="572" t="s">
        <v>102</v>
      </c>
      <c r="C2282" s="573"/>
      <c r="D2282" s="573"/>
      <c r="E2282" s="573"/>
      <c r="F2282" s="573"/>
      <c r="G2282" s="573"/>
      <c r="H2282" s="573"/>
      <c r="I2282" s="573"/>
      <c r="J2282" s="573"/>
      <c r="K2282" s="573"/>
      <c r="L2282" s="574"/>
    </row>
    <row r="2283" spans="1:12">
      <c r="A2283" s="101"/>
      <c r="B2283" s="71" t="s">
        <v>103</v>
      </c>
      <c r="C2283" s="559" t="str">
        <f ca="1">OFFSET('Bateria indicadores proceso'!$O$3,(RIGHT(A2278,3)),1)</f>
        <v>Número</v>
      </c>
      <c r="D2283" s="559"/>
      <c r="E2283" s="559"/>
      <c r="F2283" s="559"/>
      <c r="G2283" s="559"/>
      <c r="H2283" s="559"/>
      <c r="I2283" s="559"/>
      <c r="J2283" s="559"/>
      <c r="K2283" s="559"/>
      <c r="L2283" s="560"/>
    </row>
    <row r="2284" spans="1:12" ht="24">
      <c r="A2284" s="101"/>
      <c r="B2284" s="72" t="s">
        <v>104</v>
      </c>
      <c r="C2284" s="559"/>
      <c r="D2284" s="559"/>
      <c r="E2284" s="559"/>
      <c r="F2284" s="559"/>
      <c r="G2284" s="559"/>
      <c r="H2284" s="559"/>
      <c r="I2284" s="559"/>
      <c r="J2284" s="559"/>
      <c r="K2284" s="559"/>
      <c r="L2284" s="560"/>
    </row>
    <row r="2285" spans="1:12">
      <c r="A2285" s="101"/>
      <c r="B2285" s="72" t="s">
        <v>105</v>
      </c>
      <c r="C2285" s="559" t="str">
        <f ca="1">OFFSET('Bateria indicadores proceso'!$L$3,(RIGHT(A2278,3)),1)</f>
        <v>Sumatoria del número de capacitaciones realizadas a los supervisores de los contratos y/o convenios</v>
      </c>
      <c r="D2285" s="559"/>
      <c r="E2285" s="559"/>
      <c r="F2285" s="559"/>
      <c r="G2285" s="559"/>
      <c r="H2285" s="559"/>
      <c r="I2285" s="559"/>
      <c r="J2285" s="559"/>
      <c r="K2285" s="559"/>
      <c r="L2285" s="560"/>
    </row>
    <row r="2286" spans="1:12">
      <c r="A2286" s="101"/>
      <c r="B2286" s="72" t="s">
        <v>106</v>
      </c>
      <c r="C2286" s="559" t="str">
        <f ca="1">OFFSET('Bateria indicadores proceso'!$Z$3,(RIGHT(A2278,3)),1)</f>
        <v>Trimestral</v>
      </c>
      <c r="D2286" s="559"/>
      <c r="E2286" s="559"/>
      <c r="F2286" s="559"/>
      <c r="G2286" s="559"/>
      <c r="H2286" s="559"/>
      <c r="I2286" s="559"/>
      <c r="J2286" s="559"/>
      <c r="K2286" s="559"/>
      <c r="L2286" s="560"/>
    </row>
    <row r="2287" spans="1:12">
      <c r="A2287" s="101"/>
      <c r="B2287" s="72" t="s">
        <v>107</v>
      </c>
      <c r="C2287" s="559" t="str">
        <f ca="1">OFFSET('Bateria indicadores proceso'!$X$3,(RIGHT(A2278,3)),1)</f>
        <v>Lista de asistencia a capacitaciones</v>
      </c>
      <c r="D2287" s="559"/>
      <c r="E2287" s="559"/>
      <c r="F2287" s="559"/>
      <c r="G2287" s="559"/>
      <c r="H2287" s="559"/>
      <c r="I2287" s="559"/>
      <c r="J2287" s="559"/>
      <c r="K2287" s="559"/>
      <c r="L2287" s="560"/>
    </row>
    <row r="2288" spans="1:12">
      <c r="A2288" s="101"/>
      <c r="B2288" s="72" t="s">
        <v>108</v>
      </c>
      <c r="C2288" s="561">
        <f ca="1">OFFSET('Bateria indicadores proceso'!$P$3,(RIGHT(A2278,3)),1)</f>
        <v>2024</v>
      </c>
      <c r="D2288" s="561"/>
      <c r="E2288" s="561"/>
      <c r="F2288" s="561"/>
      <c r="G2288" s="561"/>
      <c r="H2288" s="561"/>
      <c r="I2288" s="561"/>
      <c r="J2288" s="561"/>
      <c r="K2288" s="561"/>
      <c r="L2288" s="566"/>
    </row>
    <row r="2289" spans="1:12">
      <c r="A2289" s="101"/>
      <c r="B2289" s="72" t="s">
        <v>109</v>
      </c>
      <c r="C2289" s="561" t="str">
        <f ca="1">IF(C2283="Número",TEXT(OFFSET('Bateria indicadores proceso'!$Q$3,(RIGHT(A2278,3)),1),"######"),TEXT(OFFSET('Bateria indicadores proceso'!$Q$3,(RIGHT(A2278,3)),1),"0.0%"))</f>
        <v>4</v>
      </c>
      <c r="D2289" s="561"/>
      <c r="E2289" s="561"/>
      <c r="F2289" s="561"/>
      <c r="G2289" s="561"/>
      <c r="H2289" s="561"/>
      <c r="I2289" s="561"/>
      <c r="J2289" s="561"/>
      <c r="K2289" s="561"/>
      <c r="L2289" s="566"/>
    </row>
    <row r="2290" spans="1:12">
      <c r="A2290" s="101"/>
      <c r="B2290" s="72" t="s">
        <v>110</v>
      </c>
      <c r="C2290" s="593">
        <f ca="1">+OFFSET('Bateria indicadores proceso'!$R$3,(RIGHT(A2278,3)),1)</f>
        <v>46022</v>
      </c>
      <c r="D2290" s="593"/>
      <c r="E2290" s="593"/>
      <c r="F2290" s="593"/>
      <c r="G2290" s="593"/>
      <c r="H2290" s="593"/>
      <c r="I2290" s="593"/>
      <c r="J2290" s="593"/>
      <c r="K2290" s="593"/>
      <c r="L2290" s="594"/>
    </row>
    <row r="2291" spans="1:12">
      <c r="A2291" s="101"/>
      <c r="B2291" s="72" t="s">
        <v>111</v>
      </c>
      <c r="C2291" s="561" t="str">
        <f ca="1">OFFSET('Bateria indicadores proceso'!$M$3,(RIGHT(A2278,3)),1)</f>
        <v>Incrementar</v>
      </c>
      <c r="D2291" s="561"/>
      <c r="E2291" s="561"/>
      <c r="F2291" s="561"/>
      <c r="G2291" s="561"/>
      <c r="H2291" s="561"/>
      <c r="I2291" s="561"/>
      <c r="J2291" s="561"/>
      <c r="K2291" s="561"/>
      <c r="L2291" s="566"/>
    </row>
    <row r="2292" spans="1:12">
      <c r="A2292" s="101"/>
      <c r="B2292" s="72" t="s">
        <v>112</v>
      </c>
      <c r="C2292" s="561" t="str">
        <f ca="1">OFFSET('Bateria indicadores proceso'!$N$3,(RIGHT(A2278,3)),1)</f>
        <v>Acumulado</v>
      </c>
      <c r="D2292" s="561"/>
      <c r="E2292" s="561"/>
      <c r="F2292" s="561"/>
      <c r="G2292" s="561"/>
      <c r="H2292" s="561"/>
      <c r="I2292" s="561"/>
      <c r="J2292" s="561"/>
      <c r="K2292" s="561"/>
      <c r="L2292" s="566"/>
    </row>
    <row r="2293" spans="1:12">
      <c r="A2293" s="101"/>
      <c r="B2293" s="72" t="s">
        <v>113</v>
      </c>
      <c r="C2293" s="561" t="str">
        <f ca="1">IF(C2283="Número",TEXT(OFFSET('Bateria indicadores proceso'!$W$3,(RIGHT(A2278,3)),1),"######"),TEXT(OFFSET('Bateria indicadores proceso'!$W$3,(RIGHT(A2278,3)),1),"0.0%"))</f>
        <v>4</v>
      </c>
      <c r="D2293" s="561"/>
      <c r="E2293" s="561"/>
      <c r="F2293" s="561"/>
      <c r="G2293" s="561"/>
      <c r="H2293" s="561"/>
      <c r="I2293" s="561"/>
      <c r="J2293" s="561"/>
      <c r="K2293" s="561"/>
      <c r="L2293" s="566"/>
    </row>
    <row r="2294" spans="1:12">
      <c r="A2294" s="101"/>
      <c r="B2294" s="595" t="s">
        <v>114</v>
      </c>
      <c r="C2294" s="70" t="s">
        <v>115</v>
      </c>
      <c r="D2294" s="70" t="s">
        <v>116</v>
      </c>
      <c r="E2294" s="70" t="s">
        <v>117</v>
      </c>
      <c r="F2294" s="70" t="s">
        <v>118</v>
      </c>
      <c r="J2294" s="75"/>
      <c r="K2294" s="75"/>
      <c r="L2294" s="76"/>
    </row>
    <row r="2295" spans="1:12">
      <c r="A2295" s="101"/>
      <c r="B2295" s="595"/>
      <c r="C2295" s="70" t="str">
        <f ca="1">IF(C2283="Número",TEXT(OFFSET('Bateria indicadores proceso'!$S$3,(RIGHT(A2278,3)),1),"######"),TEXT(OFFSET('Bateria indicadores proceso'!$S$3,(RIGHT(A2278,3)),1),"0.0%"))</f>
        <v>1</v>
      </c>
      <c r="D2295" s="70" t="str">
        <f ca="1">IF(C2283="Número",TEXT(OFFSET('Bateria indicadores proceso'!$T$3,(RIGHT(A2278,3)),1),"######"),TEXT(OFFSET('Bateria indicadores proceso'!$T$3,(RIGHT(A2278,3)),1),"0.0%"))</f>
        <v>1</v>
      </c>
      <c r="E2295" s="70" t="str">
        <f ca="1">IF(C2283="Número",TEXT(OFFSET('Bateria indicadores proceso'!$U$3,(RIGHT(A2278,3)),1),"######"),TEXT(OFFSET('Bateria indicadores proceso'!$U$3,(RIGHT(A2278,3)),1),"0.0%"))</f>
        <v>1</v>
      </c>
      <c r="F2295" s="70" t="str">
        <f ca="1">IF(C2283="Número",TEXT(OFFSET('Bateria indicadores proceso'!$V$3,(RIGHT(A2278,3)),1),"######"),TEXT(OFFSET('Bateria indicadores proceso'!$V$3,(RIGHT(A2278,3)),1),"0.0%"))</f>
        <v>1</v>
      </c>
      <c r="J2295" s="77"/>
      <c r="K2295" s="77"/>
      <c r="L2295" s="78"/>
    </row>
    <row r="2296" spans="1:12">
      <c r="A2296" s="101"/>
      <c r="B2296" s="600" t="s">
        <v>119</v>
      </c>
      <c r="C2296" s="567" t="s">
        <v>120</v>
      </c>
      <c r="D2296" s="568"/>
      <c r="E2296" s="567" t="s">
        <v>121</v>
      </c>
      <c r="F2296" s="568"/>
      <c r="G2296" s="567" t="s">
        <v>122</v>
      </c>
      <c r="H2296" s="568"/>
      <c r="I2296" s="567" t="s">
        <v>123</v>
      </c>
      <c r="J2296" s="568"/>
      <c r="K2296" s="567" t="s">
        <v>124</v>
      </c>
      <c r="L2296" s="569"/>
    </row>
    <row r="2297" spans="1:12">
      <c r="A2297" s="101"/>
      <c r="B2297" s="601"/>
      <c r="C2297" s="570" t="s">
        <v>125</v>
      </c>
      <c r="D2297" s="571"/>
      <c r="E2297" s="577" t="s">
        <v>126</v>
      </c>
      <c r="F2297" s="578"/>
      <c r="G2297" s="579" t="s">
        <v>127</v>
      </c>
      <c r="H2297" s="580"/>
      <c r="I2297" s="581" t="s">
        <v>128</v>
      </c>
      <c r="J2297" s="582"/>
      <c r="K2297" s="583" t="s">
        <v>129</v>
      </c>
      <c r="L2297" s="584"/>
    </row>
    <row r="2298" spans="1:12">
      <c r="A2298" s="101"/>
      <c r="B2298" s="602"/>
      <c r="C2298" s="567" t="s">
        <v>130</v>
      </c>
      <c r="D2298" s="568"/>
      <c r="E2298" s="567" t="s">
        <v>131</v>
      </c>
      <c r="F2298" s="568"/>
      <c r="G2298" s="585" t="s">
        <v>132</v>
      </c>
      <c r="H2298" s="568"/>
      <c r="I2298" s="567" t="s">
        <v>133</v>
      </c>
      <c r="J2298" s="568"/>
      <c r="K2298" s="567" t="s">
        <v>134</v>
      </c>
      <c r="L2298" s="569"/>
    </row>
    <row r="2299" spans="1:12">
      <c r="A2299" s="101"/>
      <c r="B2299" s="72" t="s">
        <v>135</v>
      </c>
      <c r="C2299" s="559" t="str">
        <f ca="1">OFFSET('Bateria indicadores proceso'!$Y$3,(RIGHT(A2278,3)),1)</f>
        <v>Lista de asistencia de capacitaciones</v>
      </c>
      <c r="D2299" s="559"/>
      <c r="E2299" s="559"/>
      <c r="F2299" s="559"/>
      <c r="G2299" s="559"/>
      <c r="H2299" s="559"/>
      <c r="I2299" s="559"/>
      <c r="J2299" s="559"/>
      <c r="K2299" s="559"/>
      <c r="L2299" s="560"/>
    </row>
    <row r="2300" spans="1:12">
      <c r="A2300" s="101"/>
      <c r="B2300" s="591" t="s">
        <v>136</v>
      </c>
      <c r="C2300" s="561" t="s">
        <v>137</v>
      </c>
      <c r="D2300" s="561"/>
      <c r="E2300" s="561"/>
      <c r="F2300" s="562" t="str">
        <f ca="1">OFFSET('Bateria indicadores proceso'!$B$3,(RIGHT(A2278,3)),1)</f>
        <v>GESTIÓN DE BIENES Y SERVICIOS</v>
      </c>
      <c r="G2300" s="562"/>
      <c r="H2300" s="562"/>
      <c r="I2300" s="562"/>
      <c r="J2300" s="562"/>
      <c r="K2300" s="562"/>
      <c r="L2300" s="563"/>
    </row>
    <row r="2301" spans="1:12">
      <c r="A2301" s="101"/>
      <c r="B2301" s="592"/>
      <c r="C2301" s="561" t="s">
        <v>138</v>
      </c>
      <c r="D2301" s="561"/>
      <c r="E2301" s="561"/>
      <c r="F2301" s="564">
        <f ca="1">OFFSET('Bateria indicadores proceso'!$C$3,(RIGHT(A2278,3)),1)</f>
        <v>1</v>
      </c>
      <c r="G2301" s="564"/>
      <c r="H2301" s="564"/>
      <c r="I2301" s="564"/>
      <c r="J2301" s="564"/>
      <c r="K2301" s="564"/>
      <c r="L2301" s="565"/>
    </row>
    <row r="2302" spans="1:12" ht="15.75" thickBot="1">
      <c r="A2302" s="101"/>
      <c r="B2302" s="592"/>
      <c r="C2302" s="561" t="s">
        <v>139</v>
      </c>
      <c r="D2302" s="561"/>
      <c r="E2302" s="561"/>
      <c r="F2302" s="564">
        <f ca="1">OFFSET('Bateria indicadores proceso'!$E$3,(RIGHT(A2278,3)),1)</f>
        <v>0.25</v>
      </c>
      <c r="G2302" s="564"/>
      <c r="H2302" s="564"/>
      <c r="I2302" s="564"/>
      <c r="J2302" s="564"/>
      <c r="K2302" s="564"/>
      <c r="L2302" s="565"/>
    </row>
    <row r="2303" spans="1:12" ht="16.5" thickBot="1">
      <c r="A2303" s="101"/>
      <c r="B2303" s="572" t="s">
        <v>140</v>
      </c>
      <c r="C2303" s="573"/>
      <c r="D2303" s="573"/>
      <c r="E2303" s="573"/>
      <c r="F2303" s="573"/>
      <c r="G2303" s="573"/>
      <c r="H2303" s="573"/>
      <c r="I2303" s="573"/>
      <c r="J2303" s="573"/>
      <c r="K2303" s="573"/>
      <c r="L2303" s="574"/>
    </row>
    <row r="2304" spans="1:12">
      <c r="A2304" s="101"/>
      <c r="B2304" s="72" t="s">
        <v>142</v>
      </c>
      <c r="C2304" s="561" t="str">
        <f ca="1">OFFSET('Bateria indicadores proceso'!$G$3,(RIGHT(A2278,3)),1)</f>
        <v xml:space="preserve">Subdirector </v>
      </c>
      <c r="D2304" s="561"/>
      <c r="E2304" s="561"/>
      <c r="F2304" s="561"/>
      <c r="G2304" s="561"/>
      <c r="H2304" s="561"/>
      <c r="I2304" s="561"/>
      <c r="J2304" s="561"/>
      <c r="K2304" s="561"/>
      <c r="L2304" s="566"/>
    </row>
    <row r="2305" spans="1:12">
      <c r="A2305" s="101"/>
      <c r="B2305" s="72" t="s">
        <v>143</v>
      </c>
      <c r="C2305" s="561" t="str">
        <f ca="1">OFFSET('Bateria indicadores proceso'!$F$3,(RIGHT(A2278,3)),1)</f>
        <v xml:space="preserve">Subdirección de Gestión Contractual </v>
      </c>
      <c r="D2305" s="561"/>
      <c r="E2305" s="561"/>
      <c r="F2305" s="561"/>
      <c r="G2305" s="561"/>
      <c r="H2305" s="561"/>
      <c r="I2305" s="561"/>
      <c r="J2305" s="561"/>
      <c r="K2305" s="561"/>
      <c r="L2305" s="566"/>
    </row>
    <row r="2306" spans="1:12">
      <c r="A2306" s="101"/>
      <c r="B2306" s="72" t="s">
        <v>144</v>
      </c>
      <c r="C2306" s="598" t="str">
        <f ca="1">OFFSET('Bateria indicadores proceso'!$H$3,(RIGHT(A2278,3)),1)</f>
        <v>lina.vacca@mininterior.gov.co</v>
      </c>
      <c r="D2306" s="598"/>
      <c r="E2306" s="598"/>
      <c r="F2306" s="598"/>
      <c r="G2306" s="598"/>
      <c r="H2306" s="598"/>
      <c r="I2306" s="598"/>
      <c r="J2306" s="598"/>
      <c r="K2306" s="598"/>
      <c r="L2306" s="599"/>
    </row>
    <row r="2307" spans="1:12" ht="15.75" thickBot="1">
      <c r="A2307" s="104"/>
      <c r="B2307" s="74" t="s">
        <v>145</v>
      </c>
      <c r="C2307" s="596" t="s">
        <v>146</v>
      </c>
      <c r="D2307" s="596"/>
      <c r="E2307" s="596"/>
      <c r="F2307" s="596"/>
      <c r="G2307" s="596"/>
      <c r="H2307" s="596"/>
      <c r="I2307" s="596"/>
      <c r="J2307" s="596"/>
      <c r="K2307" s="596"/>
      <c r="L2307" s="597"/>
    </row>
    <row r="2308" spans="1:12" ht="15.75" thickBot="1"/>
    <row r="2309" spans="1:12" ht="21.75" thickBot="1">
      <c r="A2309" s="586" t="s">
        <v>89</v>
      </c>
      <c r="B2309" s="587"/>
      <c r="C2309" s="587"/>
      <c r="D2309" s="587"/>
      <c r="E2309" s="587"/>
      <c r="F2309" s="587"/>
      <c r="G2309" s="587"/>
      <c r="H2309" s="587"/>
      <c r="I2309" s="587"/>
      <c r="J2309" s="587"/>
      <c r="K2309" s="587"/>
      <c r="L2309" s="588"/>
    </row>
    <row r="2310" spans="1:12" ht="32.25" thickBot="1">
      <c r="A2310" s="69" t="s">
        <v>90</v>
      </c>
      <c r="B2310" s="589" t="s">
        <v>91</v>
      </c>
      <c r="C2310" s="589"/>
      <c r="D2310" s="589"/>
      <c r="E2310" s="589"/>
      <c r="F2310" s="589"/>
      <c r="G2310" s="589"/>
      <c r="H2310" s="589"/>
      <c r="I2310" s="589"/>
      <c r="J2310" s="589"/>
      <c r="K2310" s="589"/>
      <c r="L2310" s="589"/>
    </row>
    <row r="2311" spans="1:12" ht="16.5" thickBot="1">
      <c r="A2311" s="100"/>
      <c r="B2311" s="71" t="s">
        <v>92</v>
      </c>
      <c r="C2311" s="575" t="s">
        <v>93</v>
      </c>
      <c r="D2311" s="575"/>
      <c r="E2311" s="575"/>
      <c r="F2311" s="575"/>
      <c r="G2311" s="575"/>
      <c r="H2311" s="575"/>
      <c r="I2311" s="575"/>
      <c r="J2311" s="575"/>
      <c r="K2311" s="575"/>
      <c r="L2311" s="576"/>
    </row>
    <row r="2312" spans="1:12" ht="16.5" thickBot="1">
      <c r="A2312" s="101"/>
      <c r="B2312" s="589" t="s">
        <v>94</v>
      </c>
      <c r="C2312" s="590"/>
      <c r="D2312" s="590"/>
      <c r="E2312" s="590"/>
      <c r="F2312" s="590"/>
      <c r="G2312" s="590"/>
      <c r="H2312" s="590"/>
      <c r="I2312" s="590"/>
      <c r="J2312" s="590"/>
      <c r="K2312" s="590"/>
      <c r="L2312" s="590"/>
    </row>
    <row r="2313" spans="1:12">
      <c r="A2313" s="101"/>
      <c r="B2313" s="71" t="s">
        <v>95</v>
      </c>
      <c r="C2313" s="559" t="s">
        <v>96</v>
      </c>
      <c r="D2313" s="559"/>
      <c r="E2313" s="559"/>
      <c r="F2313" s="559"/>
      <c r="G2313" s="559"/>
      <c r="H2313" s="559"/>
      <c r="I2313" s="559"/>
      <c r="J2313" s="559"/>
      <c r="K2313" s="559"/>
      <c r="L2313" s="560"/>
    </row>
    <row r="2314" spans="1:12">
      <c r="A2314" s="102" t="s">
        <v>210</v>
      </c>
      <c r="B2314" s="72" t="s">
        <v>98</v>
      </c>
      <c r="C2314" s="559" t="str">
        <f ca="1">OFFSET('Bateria indicadores proceso'!$F$3,(RIGHT(A2314,3)),1)</f>
        <v xml:space="preserve">Subdirección de Gestión Contractual </v>
      </c>
      <c r="D2314" s="559"/>
      <c r="E2314" s="559"/>
      <c r="F2314" s="559"/>
      <c r="G2314" s="559"/>
      <c r="H2314" s="559"/>
      <c r="I2314" s="559"/>
      <c r="J2314" s="559"/>
      <c r="K2314" s="559"/>
      <c r="L2314" s="560"/>
    </row>
    <row r="2315" spans="1:12">
      <c r="A2315" s="101"/>
      <c r="B2315" s="72" t="s">
        <v>99</v>
      </c>
      <c r="C2315" s="559" t="str">
        <f ca="1">OFFSET('Bateria indicadores proceso'!$K$3,(RIGHT(A2314,3)),1)</f>
        <v xml:space="preserve">Contratos y/o convenios publicados por la Subdirección de Gestión Contractual  en la plataforma establecida por  "Colombia Compra Eficiente" </v>
      </c>
      <c r="D2315" s="559"/>
      <c r="E2315" s="559"/>
      <c r="F2315" s="559"/>
      <c r="G2315" s="559"/>
      <c r="H2315" s="559"/>
      <c r="I2315" s="559"/>
      <c r="J2315" s="559"/>
      <c r="K2315" s="559"/>
      <c r="L2315" s="560"/>
    </row>
    <row r="2316" spans="1:12">
      <c r="A2316" s="101"/>
      <c r="B2316" s="72" t="s">
        <v>100</v>
      </c>
      <c r="C2316" s="559" t="str">
        <f ca="1">OFFSET('Bateria indicadores proceso'!$I$3,(RIGHT(A2314,3)),1)</f>
        <v>Eficacia</v>
      </c>
      <c r="D2316" s="559"/>
      <c r="E2316" s="559"/>
      <c r="F2316" s="559"/>
      <c r="G2316" s="559"/>
      <c r="H2316" s="559"/>
      <c r="I2316" s="559"/>
      <c r="J2316" s="559"/>
      <c r="K2316" s="559"/>
      <c r="L2316" s="560"/>
    </row>
    <row r="2317" spans="1:12" ht="15.75" thickBot="1">
      <c r="A2317" s="103"/>
      <c r="B2317" s="73" t="s">
        <v>101</v>
      </c>
      <c r="C2317" s="559" t="str">
        <f ca="1">OFFSET('Bateria indicadores proceso'!$J$3,(RIGHT(A2314,3)),1)</f>
        <v xml:space="preserve">
Verificar que los contratos y/o convenios suscritos tengan coherencia del Plan Anual de Adquisiones (PAA) con el objetivo de cumplir con el prinicipio de planeación y mantener la misma cantidad de procesos publicados y verificados con el PAA. La tendencia del presente indicador es de mantenimiento
</v>
      </c>
      <c r="D2317" s="559"/>
      <c r="E2317" s="559"/>
      <c r="F2317" s="559"/>
      <c r="G2317" s="559"/>
      <c r="H2317" s="559"/>
      <c r="I2317" s="559"/>
      <c r="J2317" s="559"/>
      <c r="K2317" s="559"/>
      <c r="L2317" s="560"/>
    </row>
    <row r="2318" spans="1:12" ht="16.5" thickBot="1">
      <c r="A2318" s="103"/>
      <c r="B2318" s="572" t="s">
        <v>102</v>
      </c>
      <c r="C2318" s="573"/>
      <c r="D2318" s="573"/>
      <c r="E2318" s="573"/>
      <c r="F2318" s="573"/>
      <c r="G2318" s="573"/>
      <c r="H2318" s="573"/>
      <c r="I2318" s="573"/>
      <c r="J2318" s="573"/>
      <c r="K2318" s="573"/>
      <c r="L2318" s="574"/>
    </row>
    <row r="2319" spans="1:12">
      <c r="A2319" s="101"/>
      <c r="B2319" s="71" t="s">
        <v>103</v>
      </c>
      <c r="C2319" s="559" t="str">
        <f ca="1">OFFSET('Bateria indicadores proceso'!$O$3,(RIGHT(A2314,3)),1)</f>
        <v>Porcentaje</v>
      </c>
      <c r="D2319" s="559"/>
      <c r="E2319" s="559"/>
      <c r="F2319" s="559"/>
      <c r="G2319" s="559"/>
      <c r="H2319" s="559"/>
      <c r="I2319" s="559"/>
      <c r="J2319" s="559"/>
      <c r="K2319" s="559"/>
      <c r="L2319" s="560"/>
    </row>
    <row r="2320" spans="1:12" ht="24">
      <c r="A2320" s="101"/>
      <c r="B2320" s="72" t="s">
        <v>104</v>
      </c>
      <c r="C2320" s="559"/>
      <c r="D2320" s="559"/>
      <c r="E2320" s="559"/>
      <c r="F2320" s="559"/>
      <c r="G2320" s="559"/>
      <c r="H2320" s="559"/>
      <c r="I2320" s="559"/>
      <c r="J2320" s="559"/>
      <c r="K2320" s="559"/>
      <c r="L2320" s="560"/>
    </row>
    <row r="2321" spans="1:12">
      <c r="A2321" s="101"/>
      <c r="B2321" s="72" t="s">
        <v>105</v>
      </c>
      <c r="C2321" s="559" t="str">
        <f ca="1">OFFSET('Bateria indicadores proceso'!$L$3,(RIGHT(A2314,3)),1)</f>
        <v>(Sumatoria de contratos y/o convenios revisados / Sumatoria de contratos y/o convenios publicados)*100</v>
      </c>
      <c r="D2321" s="559"/>
      <c r="E2321" s="559"/>
      <c r="F2321" s="559"/>
      <c r="G2321" s="559"/>
      <c r="H2321" s="559"/>
      <c r="I2321" s="559"/>
      <c r="J2321" s="559"/>
      <c r="K2321" s="559"/>
      <c r="L2321" s="560"/>
    </row>
    <row r="2322" spans="1:12">
      <c r="A2322" s="101"/>
      <c r="B2322" s="72" t="s">
        <v>106</v>
      </c>
      <c r="C2322" s="559" t="str">
        <f ca="1">OFFSET('Bateria indicadores proceso'!$Z$3,(RIGHT(A2314,3)),1)</f>
        <v>Trimestral</v>
      </c>
      <c r="D2322" s="559"/>
      <c r="E2322" s="559"/>
      <c r="F2322" s="559"/>
      <c r="G2322" s="559"/>
      <c r="H2322" s="559"/>
      <c r="I2322" s="559"/>
      <c r="J2322" s="559"/>
      <c r="K2322" s="559"/>
      <c r="L2322" s="560"/>
    </row>
    <row r="2323" spans="1:12">
      <c r="A2323" s="101"/>
      <c r="B2323" s="72" t="s">
        <v>107</v>
      </c>
      <c r="C2323" s="559" t="str">
        <f ca="1">OFFSET('Bateria indicadores proceso'!$X$3,(RIGHT(A2314,3)),1)</f>
        <v>Plataforma establecida por "Colombia Compra Eficiente"</v>
      </c>
      <c r="D2323" s="559"/>
      <c r="E2323" s="559"/>
      <c r="F2323" s="559"/>
      <c r="G2323" s="559"/>
      <c r="H2323" s="559"/>
      <c r="I2323" s="559"/>
      <c r="J2323" s="559"/>
      <c r="K2323" s="559"/>
      <c r="L2323" s="560"/>
    </row>
    <row r="2324" spans="1:12">
      <c r="A2324" s="101"/>
      <c r="B2324" s="72" t="s">
        <v>108</v>
      </c>
      <c r="C2324" s="561">
        <f ca="1">OFFSET('Bateria indicadores proceso'!$P$3,(RIGHT(A2314,3)),1)</f>
        <v>2024</v>
      </c>
      <c r="D2324" s="561"/>
      <c r="E2324" s="561"/>
      <c r="F2324" s="561"/>
      <c r="G2324" s="561"/>
      <c r="H2324" s="561"/>
      <c r="I2324" s="561"/>
      <c r="J2324" s="561"/>
      <c r="K2324" s="561"/>
      <c r="L2324" s="566"/>
    </row>
    <row r="2325" spans="1:12">
      <c r="A2325" s="101"/>
      <c r="B2325" s="72" t="s">
        <v>109</v>
      </c>
      <c r="C2325" s="561" t="str">
        <f ca="1">IF(C2319="Número",TEXT(OFFSET('Bateria indicadores proceso'!$Q$3,(RIGHT(A2314,3)),1),"######"),TEXT(OFFSET('Bateria indicadores proceso'!$Q$3,(RIGHT(A2314,3)),1),"0.0%"))</f>
        <v>100%</v>
      </c>
      <c r="D2325" s="561"/>
      <c r="E2325" s="561"/>
      <c r="F2325" s="561"/>
      <c r="G2325" s="561"/>
      <c r="H2325" s="561"/>
      <c r="I2325" s="561"/>
      <c r="J2325" s="561"/>
      <c r="K2325" s="561"/>
      <c r="L2325" s="566"/>
    </row>
    <row r="2326" spans="1:12">
      <c r="A2326" s="101"/>
      <c r="B2326" s="72" t="s">
        <v>110</v>
      </c>
      <c r="C2326" s="593">
        <f ca="1">+OFFSET('Bateria indicadores proceso'!$R$3,(RIGHT(A2314,3)),1)</f>
        <v>46022</v>
      </c>
      <c r="D2326" s="593"/>
      <c r="E2326" s="593"/>
      <c r="F2326" s="593"/>
      <c r="G2326" s="593"/>
      <c r="H2326" s="593"/>
      <c r="I2326" s="593"/>
      <c r="J2326" s="593"/>
      <c r="K2326" s="593"/>
      <c r="L2326" s="594"/>
    </row>
    <row r="2327" spans="1:12">
      <c r="A2327" s="101"/>
      <c r="B2327" s="72" t="s">
        <v>111</v>
      </c>
      <c r="C2327" s="561" t="str">
        <f ca="1">OFFSET('Bateria indicadores proceso'!$M$3,(RIGHT(A2314,3)),1)</f>
        <v>Mantener</v>
      </c>
      <c r="D2327" s="561"/>
      <c r="E2327" s="561"/>
      <c r="F2327" s="561"/>
      <c r="G2327" s="561"/>
      <c r="H2327" s="561"/>
      <c r="I2327" s="561"/>
      <c r="J2327" s="561"/>
      <c r="K2327" s="561"/>
      <c r="L2327" s="566"/>
    </row>
    <row r="2328" spans="1:12">
      <c r="A2328" s="101"/>
      <c r="B2328" s="72" t="s">
        <v>112</v>
      </c>
      <c r="C2328" s="561" t="str">
        <f ca="1">OFFSET('Bateria indicadores proceso'!$N$3,(RIGHT(A2314,3)),1)</f>
        <v>Flujo</v>
      </c>
      <c r="D2328" s="561"/>
      <c r="E2328" s="561"/>
      <c r="F2328" s="561"/>
      <c r="G2328" s="561"/>
      <c r="H2328" s="561"/>
      <c r="I2328" s="561"/>
      <c r="J2328" s="561"/>
      <c r="K2328" s="561"/>
      <c r="L2328" s="566"/>
    </row>
    <row r="2329" spans="1:12">
      <c r="A2329" s="101"/>
      <c r="B2329" s="72" t="s">
        <v>113</v>
      </c>
      <c r="C2329" s="561" t="str">
        <f ca="1">IF(C2319="Número",TEXT(OFFSET('Bateria indicadores proceso'!$W$3,(RIGHT(A2314,3)),1),"######"),TEXT(OFFSET('Bateria indicadores proceso'!$W$3,(RIGHT(A2314,3)),1),"0.0%"))</f>
        <v>100%</v>
      </c>
      <c r="D2329" s="561"/>
      <c r="E2329" s="561"/>
      <c r="F2329" s="561"/>
      <c r="G2329" s="561"/>
      <c r="H2329" s="561"/>
      <c r="I2329" s="561"/>
      <c r="J2329" s="561"/>
      <c r="K2329" s="561"/>
      <c r="L2329" s="566"/>
    </row>
    <row r="2330" spans="1:12">
      <c r="A2330" s="101"/>
      <c r="B2330" s="595" t="s">
        <v>114</v>
      </c>
      <c r="C2330" s="70" t="s">
        <v>115</v>
      </c>
      <c r="D2330" s="70" t="s">
        <v>116</v>
      </c>
      <c r="E2330" s="70" t="s">
        <v>117</v>
      </c>
      <c r="F2330" s="70" t="s">
        <v>118</v>
      </c>
      <c r="J2330" s="75"/>
      <c r="K2330" s="75"/>
      <c r="L2330" s="76"/>
    </row>
    <row r="2331" spans="1:12">
      <c r="A2331" s="101"/>
      <c r="B2331" s="595"/>
      <c r="C2331" s="70" t="str">
        <f ca="1">IF(C2319="Número",TEXT(OFFSET('Bateria indicadores proceso'!$S$3,(RIGHT(A2314,3)),1),"######"),TEXT(OFFSET('Bateria indicadores proceso'!$S$3,(RIGHT(A2314,3)),1),"0.0%"))</f>
        <v>100%</v>
      </c>
      <c r="D2331" s="70" t="str">
        <f ca="1">IF(C2319="Número",TEXT(OFFSET('Bateria indicadores proceso'!$T$3,(RIGHT(A2314,3)),1),"######"),TEXT(OFFSET('Bateria indicadores proceso'!$T$3,(RIGHT(A2314,3)),1),"0.0%"))</f>
        <v>100%</v>
      </c>
      <c r="E2331" s="70" t="str">
        <f ca="1">IF(C2319="Número",TEXT(OFFSET('Bateria indicadores proceso'!$U$3,(RIGHT(A2314,3)),1),"######"),TEXT(OFFSET('Bateria indicadores proceso'!$U$3,(RIGHT(A2314,3)),1),"0.0%"))</f>
        <v>100%</v>
      </c>
      <c r="F2331" s="70" t="str">
        <f ca="1">IF(C2319="Número",TEXT(OFFSET('Bateria indicadores proceso'!$V$3,(RIGHT(A2314,3)),1),"######"),TEXT(OFFSET('Bateria indicadores proceso'!$V$3,(RIGHT(A2314,3)),1),"0.0%"))</f>
        <v>100%</v>
      </c>
      <c r="J2331" s="77"/>
      <c r="K2331" s="77"/>
      <c r="L2331" s="78"/>
    </row>
    <row r="2332" spans="1:12">
      <c r="A2332" s="101"/>
      <c r="B2332" s="600" t="s">
        <v>119</v>
      </c>
      <c r="C2332" s="567" t="s">
        <v>120</v>
      </c>
      <c r="D2332" s="568"/>
      <c r="E2332" s="567" t="s">
        <v>121</v>
      </c>
      <c r="F2332" s="568"/>
      <c r="G2332" s="567" t="s">
        <v>122</v>
      </c>
      <c r="H2332" s="568"/>
      <c r="I2332" s="567" t="s">
        <v>123</v>
      </c>
      <c r="J2332" s="568"/>
      <c r="K2332" s="567" t="s">
        <v>124</v>
      </c>
      <c r="L2332" s="569"/>
    </row>
    <row r="2333" spans="1:12">
      <c r="A2333" s="101"/>
      <c r="B2333" s="601"/>
      <c r="C2333" s="570" t="s">
        <v>125</v>
      </c>
      <c r="D2333" s="571"/>
      <c r="E2333" s="577" t="s">
        <v>126</v>
      </c>
      <c r="F2333" s="578"/>
      <c r="G2333" s="579" t="s">
        <v>127</v>
      </c>
      <c r="H2333" s="580"/>
      <c r="I2333" s="581" t="s">
        <v>128</v>
      </c>
      <c r="J2333" s="582"/>
      <c r="K2333" s="583" t="s">
        <v>129</v>
      </c>
      <c r="L2333" s="584"/>
    </row>
    <row r="2334" spans="1:12">
      <c r="A2334" s="101"/>
      <c r="B2334" s="602"/>
      <c r="C2334" s="567" t="s">
        <v>130</v>
      </c>
      <c r="D2334" s="568"/>
      <c r="E2334" s="567" t="s">
        <v>131</v>
      </c>
      <c r="F2334" s="568"/>
      <c r="G2334" s="585" t="s">
        <v>132</v>
      </c>
      <c r="H2334" s="568"/>
      <c r="I2334" s="567" t="s">
        <v>133</v>
      </c>
      <c r="J2334" s="568"/>
      <c r="K2334" s="567" t="s">
        <v>134</v>
      </c>
      <c r="L2334" s="569"/>
    </row>
    <row r="2335" spans="1:12">
      <c r="A2335" s="101"/>
      <c r="B2335" s="72" t="s">
        <v>135</v>
      </c>
      <c r="C2335" s="559" t="str">
        <f ca="1">OFFSET('Bateria indicadores proceso'!$Y$3,(RIGHT(A2314,3)),1)</f>
        <v xml:space="preserve">Base de datos de contratación de la Subdirección de Gestión Contractual con relacion de link de publicación en la plataforma </v>
      </c>
      <c r="D2335" s="559"/>
      <c r="E2335" s="559"/>
      <c r="F2335" s="559"/>
      <c r="G2335" s="559"/>
      <c r="H2335" s="559"/>
      <c r="I2335" s="559"/>
      <c r="J2335" s="559"/>
      <c r="K2335" s="559"/>
      <c r="L2335" s="560"/>
    </row>
    <row r="2336" spans="1:12">
      <c r="A2336" s="101"/>
      <c r="B2336" s="591" t="s">
        <v>136</v>
      </c>
      <c r="C2336" s="561" t="s">
        <v>137</v>
      </c>
      <c r="D2336" s="561"/>
      <c r="E2336" s="561"/>
      <c r="F2336" s="562" t="str">
        <f ca="1">OFFSET('Bateria indicadores proceso'!$B$3,(RIGHT(A2314,3)),1)</f>
        <v>GESTIÓN DE BIENES Y SERVICIOS</v>
      </c>
      <c r="G2336" s="562"/>
      <c r="H2336" s="562"/>
      <c r="I2336" s="562"/>
      <c r="J2336" s="562"/>
      <c r="K2336" s="562"/>
      <c r="L2336" s="563"/>
    </row>
    <row r="2337" spans="1:12">
      <c r="A2337" s="101"/>
      <c r="B2337" s="592"/>
      <c r="C2337" s="561" t="s">
        <v>138</v>
      </c>
      <c r="D2337" s="561"/>
      <c r="E2337" s="561"/>
      <c r="F2337" s="564">
        <f ca="1">OFFSET('Bateria indicadores proceso'!$C$3,(RIGHT(A2314,3)),1)</f>
        <v>1</v>
      </c>
      <c r="G2337" s="564"/>
      <c r="H2337" s="564"/>
      <c r="I2337" s="564"/>
      <c r="J2337" s="564"/>
      <c r="K2337" s="564"/>
      <c r="L2337" s="565"/>
    </row>
    <row r="2338" spans="1:12" ht="15.75" thickBot="1">
      <c r="A2338" s="101"/>
      <c r="B2338" s="592"/>
      <c r="C2338" s="561" t="s">
        <v>139</v>
      </c>
      <c r="D2338" s="561"/>
      <c r="E2338" s="561"/>
      <c r="F2338" s="564">
        <f ca="1">OFFSET('Bateria indicadores proceso'!$E$3,(RIGHT(A2314,3)),1)</f>
        <v>0.25</v>
      </c>
      <c r="G2338" s="564"/>
      <c r="H2338" s="564"/>
      <c r="I2338" s="564"/>
      <c r="J2338" s="564"/>
      <c r="K2338" s="564"/>
      <c r="L2338" s="565"/>
    </row>
    <row r="2339" spans="1:12" ht="16.5" thickBot="1">
      <c r="A2339" s="101"/>
      <c r="B2339" s="572" t="s">
        <v>140</v>
      </c>
      <c r="C2339" s="573"/>
      <c r="D2339" s="573"/>
      <c r="E2339" s="573"/>
      <c r="F2339" s="573"/>
      <c r="G2339" s="573"/>
      <c r="H2339" s="573"/>
      <c r="I2339" s="573"/>
      <c r="J2339" s="573"/>
      <c r="K2339" s="573"/>
      <c r="L2339" s="574"/>
    </row>
    <row r="2340" spans="1:12">
      <c r="A2340" s="101"/>
      <c r="B2340" s="72" t="s">
        <v>142</v>
      </c>
      <c r="C2340" s="561" t="str">
        <f ca="1">OFFSET('Bateria indicadores proceso'!$G$3,(RIGHT(A2314,3)),1)</f>
        <v xml:space="preserve">Subdirector </v>
      </c>
      <c r="D2340" s="561"/>
      <c r="E2340" s="561"/>
      <c r="F2340" s="561"/>
      <c r="G2340" s="561"/>
      <c r="H2340" s="561"/>
      <c r="I2340" s="561"/>
      <c r="J2340" s="561"/>
      <c r="K2340" s="561"/>
      <c r="L2340" s="566"/>
    </row>
    <row r="2341" spans="1:12">
      <c r="A2341" s="101"/>
      <c r="B2341" s="72" t="s">
        <v>143</v>
      </c>
      <c r="C2341" s="561" t="str">
        <f ca="1">OFFSET('Bateria indicadores proceso'!$F$3,(RIGHT(A2314,3)),1)</f>
        <v xml:space="preserve">Subdirección de Gestión Contractual </v>
      </c>
      <c r="D2341" s="561"/>
      <c r="E2341" s="561"/>
      <c r="F2341" s="561"/>
      <c r="G2341" s="561"/>
      <c r="H2341" s="561"/>
      <c r="I2341" s="561"/>
      <c r="J2341" s="561"/>
      <c r="K2341" s="561"/>
      <c r="L2341" s="566"/>
    </row>
    <row r="2342" spans="1:12">
      <c r="A2342" s="101"/>
      <c r="B2342" s="72" t="s">
        <v>144</v>
      </c>
      <c r="C2342" s="598" t="str">
        <f ca="1">OFFSET('Bateria indicadores proceso'!$H$3,(RIGHT(A2278,3)),1)</f>
        <v>lina.vacca@mininterior.gov.co</v>
      </c>
      <c r="D2342" s="598"/>
      <c r="E2342" s="598"/>
      <c r="F2342" s="598"/>
      <c r="G2342" s="598"/>
      <c r="H2342" s="598"/>
      <c r="I2342" s="598"/>
      <c r="J2342" s="598"/>
      <c r="K2342" s="598"/>
      <c r="L2342" s="599"/>
    </row>
    <row r="2343" spans="1:12" ht="15.75" thickBot="1">
      <c r="A2343" s="104"/>
      <c r="B2343" s="74" t="s">
        <v>145</v>
      </c>
      <c r="C2343" s="596" t="s">
        <v>146</v>
      </c>
      <c r="D2343" s="596"/>
      <c r="E2343" s="596"/>
      <c r="F2343" s="596"/>
      <c r="G2343" s="596"/>
      <c r="H2343" s="596"/>
      <c r="I2343" s="596"/>
      <c r="J2343" s="596"/>
      <c r="K2343" s="596"/>
      <c r="L2343" s="597"/>
    </row>
    <row r="2344" spans="1:12" ht="15.75" thickBot="1"/>
    <row r="2345" spans="1:12" ht="21.75" thickBot="1">
      <c r="A2345" s="586" t="s">
        <v>89</v>
      </c>
      <c r="B2345" s="587"/>
      <c r="C2345" s="587"/>
      <c r="D2345" s="587"/>
      <c r="E2345" s="587"/>
      <c r="F2345" s="587"/>
      <c r="G2345" s="587"/>
      <c r="H2345" s="587"/>
      <c r="I2345" s="587"/>
      <c r="J2345" s="587"/>
      <c r="K2345" s="587"/>
      <c r="L2345" s="588"/>
    </row>
    <row r="2346" spans="1:12" ht="32.25" thickBot="1">
      <c r="A2346" s="69" t="s">
        <v>90</v>
      </c>
      <c r="B2346" s="589" t="s">
        <v>91</v>
      </c>
      <c r="C2346" s="589"/>
      <c r="D2346" s="589"/>
      <c r="E2346" s="589"/>
      <c r="F2346" s="589"/>
      <c r="G2346" s="589"/>
      <c r="H2346" s="589"/>
      <c r="I2346" s="589"/>
      <c r="J2346" s="589"/>
      <c r="K2346" s="589"/>
      <c r="L2346" s="589"/>
    </row>
    <row r="2347" spans="1:12" ht="16.5" thickBot="1">
      <c r="A2347" s="100"/>
      <c r="B2347" s="71" t="s">
        <v>92</v>
      </c>
      <c r="C2347" s="575" t="s">
        <v>93</v>
      </c>
      <c r="D2347" s="575"/>
      <c r="E2347" s="575"/>
      <c r="F2347" s="575"/>
      <c r="G2347" s="575"/>
      <c r="H2347" s="575"/>
      <c r="I2347" s="575"/>
      <c r="J2347" s="575"/>
      <c r="K2347" s="575"/>
      <c r="L2347" s="576"/>
    </row>
    <row r="2348" spans="1:12" ht="16.5" thickBot="1">
      <c r="A2348" s="101"/>
      <c r="B2348" s="589" t="s">
        <v>94</v>
      </c>
      <c r="C2348" s="590"/>
      <c r="D2348" s="590"/>
      <c r="E2348" s="590"/>
      <c r="F2348" s="590"/>
      <c r="G2348" s="590"/>
      <c r="H2348" s="590"/>
      <c r="I2348" s="590"/>
      <c r="J2348" s="590"/>
      <c r="K2348" s="590"/>
      <c r="L2348" s="590"/>
    </row>
    <row r="2349" spans="1:12">
      <c r="A2349" s="101"/>
      <c r="B2349" s="71" t="s">
        <v>95</v>
      </c>
      <c r="C2349" s="559" t="s">
        <v>96</v>
      </c>
      <c r="D2349" s="559"/>
      <c r="E2349" s="559"/>
      <c r="F2349" s="559"/>
      <c r="G2349" s="559"/>
      <c r="H2349" s="559"/>
      <c r="I2349" s="559"/>
      <c r="J2349" s="559"/>
      <c r="K2349" s="559"/>
      <c r="L2349" s="560"/>
    </row>
    <row r="2350" spans="1:12">
      <c r="A2350" s="102" t="s">
        <v>211</v>
      </c>
      <c r="B2350" s="72" t="s">
        <v>98</v>
      </c>
      <c r="C2350" s="559" t="str">
        <f ca="1">OFFSET('Bateria indicadores proceso'!$F$3,(RIGHT(A2350,3)),1)</f>
        <v>Dirección Jurídica</v>
      </c>
      <c r="D2350" s="559"/>
      <c r="E2350" s="559"/>
      <c r="F2350" s="559"/>
      <c r="G2350" s="559"/>
      <c r="H2350" s="559"/>
      <c r="I2350" s="559"/>
      <c r="J2350" s="559"/>
      <c r="K2350" s="559"/>
      <c r="L2350" s="560"/>
    </row>
    <row r="2351" spans="1:12">
      <c r="A2351" s="101"/>
      <c r="B2351" s="72" t="s">
        <v>99</v>
      </c>
      <c r="C2351" s="559" t="str">
        <f ca="1">OFFSET('Bateria indicadores proceso'!$K$3,(RIGHT(A2350,3)),1)</f>
        <v>Audiencias judiciales atendidas en los procesos en los que el Ministerio del Interior sea convocado.</v>
      </c>
      <c r="D2351" s="559"/>
      <c r="E2351" s="559"/>
      <c r="F2351" s="559"/>
      <c r="G2351" s="559"/>
      <c r="H2351" s="559"/>
      <c r="I2351" s="559"/>
      <c r="J2351" s="559"/>
      <c r="K2351" s="559"/>
      <c r="L2351" s="560"/>
    </row>
    <row r="2352" spans="1:12">
      <c r="A2352" s="101"/>
      <c r="B2352" s="72" t="s">
        <v>100</v>
      </c>
      <c r="C2352" s="559" t="str">
        <f ca="1">OFFSET('Bateria indicadores proceso'!$I$3,(RIGHT(A2350,3)),1)</f>
        <v>Eficacia</v>
      </c>
      <c r="D2352" s="559"/>
      <c r="E2352" s="559"/>
      <c r="F2352" s="559"/>
      <c r="G2352" s="559"/>
      <c r="H2352" s="559"/>
      <c r="I2352" s="559"/>
      <c r="J2352" s="559"/>
      <c r="K2352" s="559"/>
      <c r="L2352" s="560"/>
    </row>
    <row r="2353" spans="1:12" ht="15.75" thickBot="1">
      <c r="A2353" s="103"/>
      <c r="B2353" s="73" t="s">
        <v>101</v>
      </c>
      <c r="C2353" s="559" t="str">
        <f ca="1">OFFSET('Bateria indicadores proceso'!$J$3,(RIGHT(A2350,3)),1)</f>
        <v>Ejercer la representación judicial en los procesos en los que  el Ministerio del Interior sea convocado.</v>
      </c>
      <c r="D2353" s="559"/>
      <c r="E2353" s="559"/>
      <c r="F2353" s="559"/>
      <c r="G2353" s="559"/>
      <c r="H2353" s="559"/>
      <c r="I2353" s="559"/>
      <c r="J2353" s="559"/>
      <c r="K2353" s="559"/>
      <c r="L2353" s="560"/>
    </row>
    <row r="2354" spans="1:12" ht="16.5" thickBot="1">
      <c r="A2354" s="103"/>
      <c r="B2354" s="572" t="s">
        <v>102</v>
      </c>
      <c r="C2354" s="573"/>
      <c r="D2354" s="573"/>
      <c r="E2354" s="573"/>
      <c r="F2354" s="573"/>
      <c r="G2354" s="573"/>
      <c r="H2354" s="573"/>
      <c r="I2354" s="573"/>
      <c r="J2354" s="573"/>
      <c r="K2354" s="573"/>
      <c r="L2354" s="574"/>
    </row>
    <row r="2355" spans="1:12">
      <c r="A2355" s="101"/>
      <c r="B2355" s="71" t="s">
        <v>103</v>
      </c>
      <c r="C2355" s="559" t="str">
        <f ca="1">OFFSET('Bateria indicadores proceso'!$O$3,(RIGHT(A2350,3)),1)</f>
        <v>Porcentaje</v>
      </c>
      <c r="D2355" s="559"/>
      <c r="E2355" s="559"/>
      <c r="F2355" s="559"/>
      <c r="G2355" s="559"/>
      <c r="H2355" s="559"/>
      <c r="I2355" s="559"/>
      <c r="J2355" s="559"/>
      <c r="K2355" s="559"/>
      <c r="L2355" s="560"/>
    </row>
    <row r="2356" spans="1:12" ht="24">
      <c r="A2356" s="101"/>
      <c r="B2356" s="72" t="s">
        <v>104</v>
      </c>
      <c r="C2356" s="559"/>
      <c r="D2356" s="559"/>
      <c r="E2356" s="559"/>
      <c r="F2356" s="559"/>
      <c r="G2356" s="559"/>
      <c r="H2356" s="559"/>
      <c r="I2356" s="559"/>
      <c r="J2356" s="559"/>
      <c r="K2356" s="559"/>
      <c r="L2356" s="560"/>
    </row>
    <row r="2357" spans="1:12">
      <c r="A2357" s="101"/>
      <c r="B2357" s="72" t="s">
        <v>105</v>
      </c>
      <c r="C2357" s="559" t="str">
        <f ca="1">OFFSET('Bateria indicadores proceso'!$L$3,(RIGHT(A2350,3)),1)</f>
        <v xml:space="preserve">(Número de audiencias atendidas/número de audiencias judiciales programadas)*100								</v>
      </c>
      <c r="D2357" s="559"/>
      <c r="E2357" s="559"/>
      <c r="F2357" s="559"/>
      <c r="G2357" s="559"/>
      <c r="H2357" s="559"/>
      <c r="I2357" s="559"/>
      <c r="J2357" s="559"/>
      <c r="K2357" s="559"/>
      <c r="L2357" s="560"/>
    </row>
    <row r="2358" spans="1:12">
      <c r="A2358" s="101"/>
      <c r="B2358" s="72" t="s">
        <v>106</v>
      </c>
      <c r="C2358" s="559" t="str">
        <f ca="1">OFFSET('Bateria indicadores proceso'!$Z$3,(RIGHT(A2350,3)),1)</f>
        <v>Semestral</v>
      </c>
      <c r="D2358" s="559"/>
      <c r="E2358" s="559"/>
      <c r="F2358" s="559"/>
      <c r="G2358" s="559"/>
      <c r="H2358" s="559"/>
      <c r="I2358" s="559"/>
      <c r="J2358" s="559"/>
      <c r="K2358" s="559"/>
      <c r="L2358" s="560"/>
    </row>
    <row r="2359" spans="1:12">
      <c r="A2359" s="101"/>
      <c r="B2359" s="72" t="s">
        <v>107</v>
      </c>
      <c r="C2359" s="559" t="str">
        <f ca="1">OFFSET('Bateria indicadores proceso'!$X$3,(RIGHT(A2350,3)),1)</f>
        <v>Base de datos de registro y control de audiencias judiciales</v>
      </c>
      <c r="D2359" s="559"/>
      <c r="E2359" s="559"/>
      <c r="F2359" s="559"/>
      <c r="G2359" s="559"/>
      <c r="H2359" s="559"/>
      <c r="I2359" s="559"/>
      <c r="J2359" s="559"/>
      <c r="K2359" s="559"/>
      <c r="L2359" s="560"/>
    </row>
    <row r="2360" spans="1:12">
      <c r="A2360" s="101"/>
      <c r="B2360" s="72" t="s">
        <v>108</v>
      </c>
      <c r="C2360" s="561">
        <f ca="1">OFFSET('Bateria indicadores proceso'!$P$3,(RIGHT(A2350,3)),1)</f>
        <v>2024</v>
      </c>
      <c r="D2360" s="561"/>
      <c r="E2360" s="561"/>
      <c r="F2360" s="561"/>
      <c r="G2360" s="561"/>
      <c r="H2360" s="561"/>
      <c r="I2360" s="561"/>
      <c r="J2360" s="561"/>
      <c r="K2360" s="561"/>
      <c r="L2360" s="566"/>
    </row>
    <row r="2361" spans="1:12">
      <c r="A2361" s="101"/>
      <c r="B2361" s="72" t="s">
        <v>109</v>
      </c>
      <c r="C2361" s="561" t="str">
        <f ca="1">IF(C2355="Número",TEXT(OFFSET('Bateria indicadores proceso'!$Q$3,(RIGHT(A2350,3)),1),"######"),TEXT(OFFSET('Bateria indicadores proceso'!$Q$3,(RIGHT(A2350,3)),1),"0.0%"))</f>
        <v>100%</v>
      </c>
      <c r="D2361" s="561"/>
      <c r="E2361" s="561"/>
      <c r="F2361" s="561"/>
      <c r="G2361" s="561"/>
      <c r="H2361" s="561"/>
      <c r="I2361" s="561"/>
      <c r="J2361" s="561"/>
      <c r="K2361" s="561"/>
      <c r="L2361" s="566"/>
    </row>
    <row r="2362" spans="1:12">
      <c r="A2362" s="101"/>
      <c r="B2362" s="72" t="s">
        <v>110</v>
      </c>
      <c r="C2362" s="593">
        <f ca="1">+OFFSET('Bateria indicadores proceso'!$R$3,(RIGHT(A2350,3)),1)</f>
        <v>46022</v>
      </c>
      <c r="D2362" s="593"/>
      <c r="E2362" s="593"/>
      <c r="F2362" s="593"/>
      <c r="G2362" s="593"/>
      <c r="H2362" s="593"/>
      <c r="I2362" s="593"/>
      <c r="J2362" s="593"/>
      <c r="K2362" s="593"/>
      <c r="L2362" s="594"/>
    </row>
    <row r="2363" spans="1:12">
      <c r="A2363" s="101"/>
      <c r="B2363" s="72" t="s">
        <v>111</v>
      </c>
      <c r="C2363" s="561" t="str">
        <f ca="1">OFFSET('Bateria indicadores proceso'!$M$3,(RIGHT(A2350,3)),1)</f>
        <v>Mantener</v>
      </c>
      <c r="D2363" s="561"/>
      <c r="E2363" s="561"/>
      <c r="F2363" s="561"/>
      <c r="G2363" s="561"/>
      <c r="H2363" s="561"/>
      <c r="I2363" s="561"/>
      <c r="J2363" s="561"/>
      <c r="K2363" s="561"/>
      <c r="L2363" s="566"/>
    </row>
    <row r="2364" spans="1:12">
      <c r="A2364" s="101"/>
      <c r="B2364" s="72" t="s">
        <v>112</v>
      </c>
      <c r="C2364" s="561" t="str">
        <f ca="1">OFFSET('Bateria indicadores proceso'!$N$3,(RIGHT(A2350,3)),1)</f>
        <v>Acumulado</v>
      </c>
      <c r="D2364" s="561"/>
      <c r="E2364" s="561"/>
      <c r="F2364" s="561"/>
      <c r="G2364" s="561"/>
      <c r="H2364" s="561"/>
      <c r="I2364" s="561"/>
      <c r="J2364" s="561"/>
      <c r="K2364" s="561"/>
      <c r="L2364" s="566"/>
    </row>
    <row r="2365" spans="1:12">
      <c r="A2365" s="101"/>
      <c r="B2365" s="72" t="s">
        <v>113</v>
      </c>
      <c r="C2365" s="561" t="str">
        <f ca="1">IF(C2355="Número",TEXT(OFFSET('Bateria indicadores proceso'!$W$3,(RIGHT(A2350,3)),1),"######"),TEXT(OFFSET('Bateria indicadores proceso'!$W$3,(RIGHT(A2350,3)),1),"0.0%"))</f>
        <v>100%</v>
      </c>
      <c r="D2365" s="561"/>
      <c r="E2365" s="561"/>
      <c r="F2365" s="561"/>
      <c r="G2365" s="561"/>
      <c r="H2365" s="561"/>
      <c r="I2365" s="561"/>
      <c r="J2365" s="561"/>
      <c r="K2365" s="561"/>
      <c r="L2365" s="566"/>
    </row>
    <row r="2366" spans="1:12">
      <c r="A2366" s="101"/>
      <c r="B2366" s="595" t="s">
        <v>114</v>
      </c>
      <c r="C2366" s="70" t="s">
        <v>115</v>
      </c>
      <c r="D2366" s="70" t="s">
        <v>116</v>
      </c>
      <c r="E2366" s="70" t="s">
        <v>117</v>
      </c>
      <c r="F2366" s="70" t="s">
        <v>118</v>
      </c>
      <c r="J2366" s="75"/>
      <c r="K2366" s="75"/>
      <c r="L2366" s="76"/>
    </row>
    <row r="2367" spans="1:12">
      <c r="A2367" s="101"/>
      <c r="B2367" s="595"/>
      <c r="C2367" s="70" t="str">
        <f ca="1">IF(C2355="Número",TEXT(OFFSET('Bateria indicadores proceso'!$S$3,(RIGHT(A2350,3)),1),"######"),TEXT(OFFSET('Bateria indicadores proceso'!$S$3,(RIGHT(A2350,3)),1),"0.0%"))</f>
        <v>00%</v>
      </c>
      <c r="D2367" s="70" t="str">
        <f ca="1">IF(C2355="Número",TEXT(OFFSET('Bateria indicadores proceso'!$T$3,(RIGHT(A2350,3)),1),"######"),TEXT(OFFSET('Bateria indicadores proceso'!$T$3,(RIGHT(A2350,3)),1),"0.0%"))</f>
        <v>100%</v>
      </c>
      <c r="E2367" s="70" t="str">
        <f ca="1">IF(C2355="Número",TEXT(OFFSET('Bateria indicadores proceso'!$U$3,(RIGHT(A2350,3)),1),"######"),TEXT(OFFSET('Bateria indicadores proceso'!$U$3,(RIGHT(A2350,3)),1),"0.0%"))</f>
        <v>00%</v>
      </c>
      <c r="F2367" s="70" t="str">
        <f ca="1">IF(C2355="Número",TEXT(OFFSET('Bateria indicadores proceso'!$V$3,(RIGHT(A2350,3)),1),"######"),TEXT(OFFSET('Bateria indicadores proceso'!$V$3,(RIGHT(A2350,3)),1),"0.0%"))</f>
        <v>100%</v>
      </c>
      <c r="J2367" s="77"/>
      <c r="K2367" s="77"/>
      <c r="L2367" s="78"/>
    </row>
    <row r="2368" spans="1:12">
      <c r="A2368" s="101"/>
      <c r="B2368" s="600" t="s">
        <v>119</v>
      </c>
      <c r="C2368" s="567" t="s">
        <v>120</v>
      </c>
      <c r="D2368" s="568"/>
      <c r="E2368" s="567" t="s">
        <v>121</v>
      </c>
      <c r="F2368" s="568"/>
      <c r="G2368" s="567" t="s">
        <v>122</v>
      </c>
      <c r="H2368" s="568"/>
      <c r="I2368" s="567" t="s">
        <v>123</v>
      </c>
      <c r="J2368" s="568"/>
      <c r="K2368" s="567" t="s">
        <v>124</v>
      </c>
      <c r="L2368" s="569"/>
    </row>
    <row r="2369" spans="1:12">
      <c r="A2369" s="101"/>
      <c r="B2369" s="601"/>
      <c r="C2369" s="570" t="s">
        <v>125</v>
      </c>
      <c r="D2369" s="571"/>
      <c r="E2369" s="577" t="s">
        <v>126</v>
      </c>
      <c r="F2369" s="578"/>
      <c r="G2369" s="579" t="s">
        <v>127</v>
      </c>
      <c r="H2369" s="580"/>
      <c r="I2369" s="581" t="s">
        <v>128</v>
      </c>
      <c r="J2369" s="582"/>
      <c r="K2369" s="583" t="s">
        <v>129</v>
      </c>
      <c r="L2369" s="584"/>
    </row>
    <row r="2370" spans="1:12">
      <c r="A2370" s="101"/>
      <c r="B2370" s="602"/>
      <c r="C2370" s="567" t="s">
        <v>130</v>
      </c>
      <c r="D2370" s="568"/>
      <c r="E2370" s="567" t="s">
        <v>131</v>
      </c>
      <c r="F2370" s="568"/>
      <c r="G2370" s="585" t="s">
        <v>132</v>
      </c>
      <c r="H2370" s="568"/>
      <c r="I2370" s="567" t="s">
        <v>133</v>
      </c>
      <c r="J2370" s="568"/>
      <c r="K2370" s="567" t="s">
        <v>134</v>
      </c>
      <c r="L2370" s="569"/>
    </row>
    <row r="2371" spans="1:12">
      <c r="A2371" s="101"/>
      <c r="B2371" s="72" t="s">
        <v>135</v>
      </c>
      <c r="C2371" s="559" t="str">
        <f ca="1">OFFSET('Bateria indicadores proceso'!$Y$3,(RIGHT(A2350,3)),1)</f>
        <v>Base de datos de registro y control de audiencias judiciales</v>
      </c>
      <c r="D2371" s="559"/>
      <c r="E2371" s="559"/>
      <c r="F2371" s="559"/>
      <c r="G2371" s="559"/>
      <c r="H2371" s="559"/>
      <c r="I2371" s="559"/>
      <c r="J2371" s="559"/>
      <c r="K2371" s="559"/>
      <c r="L2371" s="560"/>
    </row>
    <row r="2372" spans="1:12">
      <c r="A2372" s="101"/>
      <c r="B2372" s="591" t="s">
        <v>136</v>
      </c>
      <c r="C2372" s="561" t="s">
        <v>137</v>
      </c>
      <c r="D2372" s="561"/>
      <c r="E2372" s="561"/>
      <c r="F2372" s="562" t="str">
        <f ca="1">OFFSET('Bateria indicadores proceso'!$B$3,(RIGHT(A2350,3)),1)</f>
        <v>GESTIÓN JURÍDICA</v>
      </c>
      <c r="G2372" s="562"/>
      <c r="H2372" s="562"/>
      <c r="I2372" s="562"/>
      <c r="J2372" s="562"/>
      <c r="K2372" s="562"/>
      <c r="L2372" s="563"/>
    </row>
    <row r="2373" spans="1:12">
      <c r="A2373" s="101"/>
      <c r="B2373" s="592"/>
      <c r="C2373" s="561" t="s">
        <v>138</v>
      </c>
      <c r="D2373" s="561"/>
      <c r="E2373" s="561"/>
      <c r="F2373" s="564">
        <f ca="1">OFFSET('Bateria indicadores proceso'!$C$3,(RIGHT(A2350,3)),1)</f>
        <v>1</v>
      </c>
      <c r="G2373" s="564"/>
      <c r="H2373" s="564"/>
      <c r="I2373" s="564"/>
      <c r="J2373" s="564"/>
      <c r="K2373" s="564"/>
      <c r="L2373" s="565"/>
    </row>
    <row r="2374" spans="1:12" ht="15.75" thickBot="1">
      <c r="A2374" s="101"/>
      <c r="B2374" s="592"/>
      <c r="C2374" s="561" t="s">
        <v>139</v>
      </c>
      <c r="D2374" s="561"/>
      <c r="E2374" s="561"/>
      <c r="F2374" s="564">
        <f ca="1">OFFSET('Bateria indicadores proceso'!$E$3,(RIGHT(A2350,3)),1)</f>
        <v>0.22</v>
      </c>
      <c r="G2374" s="564"/>
      <c r="H2374" s="564"/>
      <c r="I2374" s="564"/>
      <c r="J2374" s="564"/>
      <c r="K2374" s="564"/>
      <c r="L2374" s="565"/>
    </row>
    <row r="2375" spans="1:12" ht="16.5" thickBot="1">
      <c r="A2375" s="101"/>
      <c r="B2375" s="572" t="s">
        <v>140</v>
      </c>
      <c r="C2375" s="573"/>
      <c r="D2375" s="573"/>
      <c r="E2375" s="573"/>
      <c r="F2375" s="573"/>
      <c r="G2375" s="573"/>
      <c r="H2375" s="573"/>
      <c r="I2375" s="573"/>
      <c r="J2375" s="573"/>
      <c r="K2375" s="573"/>
      <c r="L2375" s="574"/>
    </row>
    <row r="2376" spans="1:12">
      <c r="A2376" s="101"/>
      <c r="B2376" s="72" t="s">
        <v>142</v>
      </c>
      <c r="C2376" s="561" t="str">
        <f ca="1">OFFSET('Bateria indicadores proceso'!$G$3,(RIGHT(A2350,3)),1)</f>
        <v>Director</v>
      </c>
      <c r="D2376" s="561"/>
      <c r="E2376" s="561"/>
      <c r="F2376" s="561"/>
      <c r="G2376" s="561"/>
      <c r="H2376" s="561"/>
      <c r="I2376" s="561"/>
      <c r="J2376" s="561"/>
      <c r="K2376" s="561"/>
      <c r="L2376" s="566"/>
    </row>
    <row r="2377" spans="1:12">
      <c r="A2377" s="101"/>
      <c r="B2377" s="72" t="s">
        <v>143</v>
      </c>
      <c r="C2377" s="561" t="str">
        <f ca="1">OFFSET('Bateria indicadores proceso'!$F$3,(RIGHT(A2350,3)),1)</f>
        <v>Dirección Jurídica</v>
      </c>
      <c r="D2377" s="561"/>
      <c r="E2377" s="561"/>
      <c r="F2377" s="561"/>
      <c r="G2377" s="561"/>
      <c r="H2377" s="561"/>
      <c r="I2377" s="561"/>
      <c r="J2377" s="561"/>
      <c r="K2377" s="561"/>
      <c r="L2377" s="566"/>
    </row>
    <row r="2378" spans="1:12">
      <c r="A2378" s="101"/>
      <c r="B2378" s="72" t="s">
        <v>144</v>
      </c>
      <c r="C2378" s="598" t="str">
        <f ca="1">OFFSET('Bateria indicadores proceso'!$H$3,(RIGHT(A2350,3)),1)</f>
        <v>juan.duran@mininterior.gov.co.</v>
      </c>
      <c r="D2378" s="598"/>
      <c r="E2378" s="598"/>
      <c r="F2378" s="598"/>
      <c r="G2378" s="598"/>
      <c r="H2378" s="598"/>
      <c r="I2378" s="598"/>
      <c r="J2378" s="598"/>
      <c r="K2378" s="598"/>
      <c r="L2378" s="599"/>
    </row>
    <row r="2379" spans="1:12" ht="15.75" thickBot="1">
      <c r="A2379" s="104"/>
      <c r="B2379" s="74" t="s">
        <v>145</v>
      </c>
      <c r="C2379" s="596" t="s">
        <v>146</v>
      </c>
      <c r="D2379" s="596"/>
      <c r="E2379" s="596"/>
      <c r="F2379" s="596"/>
      <c r="G2379" s="596"/>
      <c r="H2379" s="596"/>
      <c r="I2379" s="596"/>
      <c r="J2379" s="596"/>
      <c r="K2379" s="596"/>
      <c r="L2379" s="597"/>
    </row>
    <row r="2380" spans="1:12" ht="15.75" thickBot="1"/>
    <row r="2381" spans="1:12" ht="21.75" thickBot="1">
      <c r="A2381" s="586" t="s">
        <v>89</v>
      </c>
      <c r="B2381" s="587"/>
      <c r="C2381" s="587"/>
      <c r="D2381" s="587"/>
      <c r="E2381" s="587"/>
      <c r="F2381" s="587"/>
      <c r="G2381" s="587"/>
      <c r="H2381" s="587"/>
      <c r="I2381" s="587"/>
      <c r="J2381" s="587"/>
      <c r="K2381" s="587"/>
      <c r="L2381" s="588"/>
    </row>
    <row r="2382" spans="1:12" ht="32.25" thickBot="1">
      <c r="A2382" s="69" t="s">
        <v>90</v>
      </c>
      <c r="B2382" s="589" t="s">
        <v>91</v>
      </c>
      <c r="C2382" s="589"/>
      <c r="D2382" s="589"/>
      <c r="E2382" s="589"/>
      <c r="F2382" s="589"/>
      <c r="G2382" s="589"/>
      <c r="H2382" s="589"/>
      <c r="I2382" s="589"/>
      <c r="J2382" s="589"/>
      <c r="K2382" s="589"/>
      <c r="L2382" s="589"/>
    </row>
    <row r="2383" spans="1:12" ht="16.5" thickBot="1">
      <c r="A2383" s="100"/>
      <c r="B2383" s="71" t="s">
        <v>92</v>
      </c>
      <c r="C2383" s="575" t="s">
        <v>93</v>
      </c>
      <c r="D2383" s="575"/>
      <c r="E2383" s="575"/>
      <c r="F2383" s="575"/>
      <c r="G2383" s="575"/>
      <c r="H2383" s="575"/>
      <c r="I2383" s="575"/>
      <c r="J2383" s="575"/>
      <c r="K2383" s="575"/>
      <c r="L2383" s="576"/>
    </row>
    <row r="2384" spans="1:12" ht="16.5" thickBot="1">
      <c r="A2384" s="101"/>
      <c r="B2384" s="589" t="s">
        <v>94</v>
      </c>
      <c r="C2384" s="590"/>
      <c r="D2384" s="590"/>
      <c r="E2384" s="590"/>
      <c r="F2384" s="590"/>
      <c r="G2384" s="590"/>
      <c r="H2384" s="590"/>
      <c r="I2384" s="590"/>
      <c r="J2384" s="590"/>
      <c r="K2384" s="590"/>
      <c r="L2384" s="590"/>
    </row>
    <row r="2385" spans="1:12">
      <c r="A2385" s="101"/>
      <c r="B2385" s="71" t="s">
        <v>95</v>
      </c>
      <c r="C2385" s="559" t="s">
        <v>96</v>
      </c>
      <c r="D2385" s="559"/>
      <c r="E2385" s="559"/>
      <c r="F2385" s="559"/>
      <c r="G2385" s="559"/>
      <c r="H2385" s="559"/>
      <c r="I2385" s="559"/>
      <c r="J2385" s="559"/>
      <c r="K2385" s="559"/>
      <c r="L2385" s="560"/>
    </row>
    <row r="2386" spans="1:12">
      <c r="A2386" s="102" t="s">
        <v>212</v>
      </c>
      <c r="B2386" s="72" t="s">
        <v>98</v>
      </c>
      <c r="C2386" s="559" t="str">
        <f ca="1">OFFSET('Bateria indicadores proceso'!$F$3,(RIGHT(A2386,3)),1)</f>
        <v>Dirección Jurídica</v>
      </c>
      <c r="D2386" s="559"/>
      <c r="E2386" s="559"/>
      <c r="F2386" s="559"/>
      <c r="G2386" s="559"/>
      <c r="H2386" s="559"/>
      <c r="I2386" s="559"/>
      <c r="J2386" s="559"/>
      <c r="K2386" s="559"/>
      <c r="L2386" s="560"/>
    </row>
    <row r="2387" spans="1:12">
      <c r="A2387" s="101"/>
      <c r="B2387" s="72" t="s">
        <v>99</v>
      </c>
      <c r="C2387" s="559" t="str">
        <f ca="1">OFFSET('Bateria indicadores proceso'!$K$3,(RIGHT(A2386,3)),1)</f>
        <v xml:space="preserve">Conciliaciones extrajudiciales atendidas								</v>
      </c>
      <c r="D2387" s="559"/>
      <c r="E2387" s="559"/>
      <c r="F2387" s="559"/>
      <c r="G2387" s="559"/>
      <c r="H2387" s="559"/>
      <c r="I2387" s="559"/>
      <c r="J2387" s="559"/>
      <c r="K2387" s="559"/>
      <c r="L2387" s="560"/>
    </row>
    <row r="2388" spans="1:12">
      <c r="A2388" s="101"/>
      <c r="B2388" s="72" t="s">
        <v>100</v>
      </c>
      <c r="C2388" s="559" t="str">
        <f ca="1">OFFSET('Bateria indicadores proceso'!$I$3,(RIGHT(A2386,3)),1)</f>
        <v>Eficacia</v>
      </c>
      <c r="D2388" s="559"/>
      <c r="E2388" s="559"/>
      <c r="F2388" s="559"/>
      <c r="G2388" s="559"/>
      <c r="H2388" s="559"/>
      <c r="I2388" s="559"/>
      <c r="J2388" s="559"/>
      <c r="K2388" s="559"/>
      <c r="L2388" s="560"/>
    </row>
    <row r="2389" spans="1:12" ht="15.75" thickBot="1">
      <c r="A2389" s="103"/>
      <c r="B2389" s="73" t="s">
        <v>101</v>
      </c>
      <c r="C2389" s="559" t="str">
        <f ca="1">OFFSET('Bateria indicadores proceso'!$J$3,(RIGHT(A2386,3)),1)</f>
        <v>Atender las conciliaciones extrajudiciales convocadas por la Procuraduría General de la Nación</v>
      </c>
      <c r="D2389" s="559"/>
      <c r="E2389" s="559"/>
      <c r="F2389" s="559"/>
      <c r="G2389" s="559"/>
      <c r="H2389" s="559"/>
      <c r="I2389" s="559"/>
      <c r="J2389" s="559"/>
      <c r="K2389" s="559"/>
      <c r="L2389" s="560"/>
    </row>
    <row r="2390" spans="1:12" ht="16.5" thickBot="1">
      <c r="A2390" s="103"/>
      <c r="B2390" s="572" t="s">
        <v>102</v>
      </c>
      <c r="C2390" s="573"/>
      <c r="D2390" s="573"/>
      <c r="E2390" s="573"/>
      <c r="F2390" s="573"/>
      <c r="G2390" s="573"/>
      <c r="H2390" s="573"/>
      <c r="I2390" s="573"/>
      <c r="J2390" s="573"/>
      <c r="K2390" s="573"/>
      <c r="L2390" s="574"/>
    </row>
    <row r="2391" spans="1:12">
      <c r="A2391" s="101"/>
      <c r="B2391" s="71" t="s">
        <v>103</v>
      </c>
      <c r="C2391" s="559" t="str">
        <f ca="1">OFFSET('Bateria indicadores proceso'!$O$3,(RIGHT(A2386,3)),1)</f>
        <v>Porcentaje</v>
      </c>
      <c r="D2391" s="559"/>
      <c r="E2391" s="559"/>
      <c r="F2391" s="559"/>
      <c r="G2391" s="559"/>
      <c r="H2391" s="559"/>
      <c r="I2391" s="559"/>
      <c r="J2391" s="559"/>
      <c r="K2391" s="559"/>
      <c r="L2391" s="560"/>
    </row>
    <row r="2392" spans="1:12" ht="24">
      <c r="A2392" s="101"/>
      <c r="B2392" s="72" t="s">
        <v>104</v>
      </c>
      <c r="C2392" s="559"/>
      <c r="D2392" s="559"/>
      <c r="E2392" s="559"/>
      <c r="F2392" s="559"/>
      <c r="G2392" s="559"/>
      <c r="H2392" s="559"/>
      <c r="I2392" s="559"/>
      <c r="J2392" s="559"/>
      <c r="K2392" s="559"/>
      <c r="L2392" s="560"/>
    </row>
    <row r="2393" spans="1:12">
      <c r="A2393" s="101"/>
      <c r="B2393" s="72" t="s">
        <v>105</v>
      </c>
      <c r="C2393" s="559" t="str">
        <f ca="1">OFFSET('Bateria indicadores proceso'!$L$3,(RIGHT(A2386,3)),1)</f>
        <v xml:space="preserve">(número de conciliaciones extrajudiciales atendidas/número de conciliaciones extrajudiciales convocadas por la Procuraduría General de la Nación)*100							</v>
      </c>
      <c r="D2393" s="559"/>
      <c r="E2393" s="559"/>
      <c r="F2393" s="559"/>
      <c r="G2393" s="559"/>
      <c r="H2393" s="559"/>
      <c r="I2393" s="559"/>
      <c r="J2393" s="559"/>
      <c r="K2393" s="559"/>
      <c r="L2393" s="560"/>
    </row>
    <row r="2394" spans="1:12">
      <c r="A2394" s="101"/>
      <c r="B2394" s="72" t="s">
        <v>106</v>
      </c>
      <c r="C2394" s="559" t="str">
        <f ca="1">OFFSET('Bateria indicadores proceso'!$Z$3,(RIGHT(A2386,3)),1)</f>
        <v>Semestral</v>
      </c>
      <c r="D2394" s="559"/>
      <c r="E2394" s="559"/>
      <c r="F2394" s="559"/>
      <c r="G2394" s="559"/>
      <c r="H2394" s="559"/>
      <c r="I2394" s="559"/>
      <c r="J2394" s="559"/>
      <c r="K2394" s="559"/>
      <c r="L2394" s="560"/>
    </row>
    <row r="2395" spans="1:12">
      <c r="A2395" s="101"/>
      <c r="B2395" s="72" t="s">
        <v>107</v>
      </c>
      <c r="C2395" s="559" t="str">
        <f ca="1">OFFSET('Bateria indicadores proceso'!$X$3,(RIGHT(A2386,3)),1)</f>
        <v>Base de datos registro y control de conciliaciones extrajudiciales</v>
      </c>
      <c r="D2395" s="559"/>
      <c r="E2395" s="559"/>
      <c r="F2395" s="559"/>
      <c r="G2395" s="559"/>
      <c r="H2395" s="559"/>
      <c r="I2395" s="559"/>
      <c r="J2395" s="559"/>
      <c r="K2395" s="559"/>
      <c r="L2395" s="560"/>
    </row>
    <row r="2396" spans="1:12">
      <c r="A2396" s="101"/>
      <c r="B2396" s="72" t="s">
        <v>108</v>
      </c>
      <c r="C2396" s="561">
        <f ca="1">OFFSET('Bateria indicadores proceso'!$P$3,(RIGHT(A2386,3)),1)</f>
        <v>2024</v>
      </c>
      <c r="D2396" s="561"/>
      <c r="E2396" s="561"/>
      <c r="F2396" s="561"/>
      <c r="G2396" s="561"/>
      <c r="H2396" s="561"/>
      <c r="I2396" s="561"/>
      <c r="J2396" s="561"/>
      <c r="K2396" s="561"/>
      <c r="L2396" s="566"/>
    </row>
    <row r="2397" spans="1:12">
      <c r="A2397" s="101"/>
      <c r="B2397" s="72" t="s">
        <v>109</v>
      </c>
      <c r="C2397" s="561" t="str">
        <f ca="1">IF(C2391="Número",TEXT(OFFSET('Bateria indicadores proceso'!$Q$3,(RIGHT(A2386,3)),1),"######"),TEXT(OFFSET('Bateria indicadores proceso'!$Q$3,(RIGHT(A2386,3)),1),"0.0%"))</f>
        <v>100%</v>
      </c>
      <c r="D2397" s="561"/>
      <c r="E2397" s="561"/>
      <c r="F2397" s="561"/>
      <c r="G2397" s="561"/>
      <c r="H2397" s="561"/>
      <c r="I2397" s="561"/>
      <c r="J2397" s="561"/>
      <c r="K2397" s="561"/>
      <c r="L2397" s="566"/>
    </row>
    <row r="2398" spans="1:12">
      <c r="A2398" s="101"/>
      <c r="B2398" s="72" t="s">
        <v>110</v>
      </c>
      <c r="C2398" s="593">
        <f ca="1">+OFFSET('Bateria indicadores proceso'!$R$3,(RIGHT(A2386,3)),1)</f>
        <v>46022</v>
      </c>
      <c r="D2398" s="593"/>
      <c r="E2398" s="593"/>
      <c r="F2398" s="593"/>
      <c r="G2398" s="593"/>
      <c r="H2398" s="593"/>
      <c r="I2398" s="593"/>
      <c r="J2398" s="593"/>
      <c r="K2398" s="593"/>
      <c r="L2398" s="594"/>
    </row>
    <row r="2399" spans="1:12">
      <c r="A2399" s="101"/>
      <c r="B2399" s="72" t="s">
        <v>111</v>
      </c>
      <c r="C2399" s="561" t="str">
        <f ca="1">OFFSET('Bateria indicadores proceso'!$M$3,(RIGHT(A2386,3)),1)</f>
        <v>Mantener</v>
      </c>
      <c r="D2399" s="561"/>
      <c r="E2399" s="561"/>
      <c r="F2399" s="561"/>
      <c r="G2399" s="561"/>
      <c r="H2399" s="561"/>
      <c r="I2399" s="561"/>
      <c r="J2399" s="561"/>
      <c r="K2399" s="561"/>
      <c r="L2399" s="566"/>
    </row>
    <row r="2400" spans="1:12">
      <c r="A2400" s="101"/>
      <c r="B2400" s="72" t="s">
        <v>112</v>
      </c>
      <c r="C2400" s="561" t="str">
        <f ca="1">OFFSET('Bateria indicadores proceso'!$N$3,(RIGHT(A2386,3)),1)</f>
        <v>Acumulado</v>
      </c>
      <c r="D2400" s="561"/>
      <c r="E2400" s="561"/>
      <c r="F2400" s="561"/>
      <c r="G2400" s="561"/>
      <c r="H2400" s="561"/>
      <c r="I2400" s="561"/>
      <c r="J2400" s="561"/>
      <c r="K2400" s="561"/>
      <c r="L2400" s="566"/>
    </row>
    <row r="2401" spans="1:12">
      <c r="A2401" s="101"/>
      <c r="B2401" s="72" t="s">
        <v>113</v>
      </c>
      <c r="C2401" s="561" t="str">
        <f ca="1">IF(C2391="Número",TEXT(OFFSET('Bateria indicadores proceso'!$W$3,(RIGHT(A2386,3)),1),"######"),TEXT(OFFSET('Bateria indicadores proceso'!$W$3,(RIGHT(A2386,3)),1),"0.0%"))</f>
        <v>100%</v>
      </c>
      <c r="D2401" s="561"/>
      <c r="E2401" s="561"/>
      <c r="F2401" s="561"/>
      <c r="G2401" s="561"/>
      <c r="H2401" s="561"/>
      <c r="I2401" s="561"/>
      <c r="J2401" s="561"/>
      <c r="K2401" s="561"/>
      <c r="L2401" s="566"/>
    </row>
    <row r="2402" spans="1:12">
      <c r="A2402" s="101"/>
      <c r="B2402" s="595" t="s">
        <v>114</v>
      </c>
      <c r="C2402" s="70" t="s">
        <v>115</v>
      </c>
      <c r="D2402" s="70" t="s">
        <v>116</v>
      </c>
      <c r="E2402" s="70" t="s">
        <v>117</v>
      </c>
      <c r="F2402" s="70" t="s">
        <v>118</v>
      </c>
      <c r="J2402" s="75"/>
      <c r="K2402" s="75"/>
      <c r="L2402" s="76"/>
    </row>
    <row r="2403" spans="1:12">
      <c r="A2403" s="101"/>
      <c r="B2403" s="595"/>
      <c r="C2403" s="70" t="str">
        <f ca="1">IF(C2391="Número",TEXT(OFFSET('Bateria indicadores proceso'!$S$3,(RIGHT(A2386,3)),1),"######"),TEXT(OFFSET('Bateria indicadores proceso'!$S$3,(RIGHT(A2386,3)),1),"0.0%"))</f>
        <v>00%</v>
      </c>
      <c r="D2403" s="70" t="str">
        <f ca="1">IF(C2391="Número",TEXT(OFFSET('Bateria indicadores proceso'!$T$3,(RIGHT(A2386,3)),1),"######"),TEXT(OFFSET('Bateria indicadores proceso'!$T$3,(RIGHT(A2386,3)),1),"0.0%"))</f>
        <v>100%</v>
      </c>
      <c r="E2403" s="70" t="str">
        <f ca="1">IF(C2391="Número",TEXT(OFFSET('Bateria indicadores proceso'!$U$3,(RIGHT(A2386,3)),1),"######"),TEXT(OFFSET('Bateria indicadores proceso'!$U$3,(RIGHT(A2386,3)),1),"0.0%"))</f>
        <v>00%</v>
      </c>
      <c r="F2403" s="70" t="str">
        <f ca="1">IF(C2391="Número",TEXT(OFFSET('Bateria indicadores proceso'!$V$3,(RIGHT(A2386,3)),1),"######"),TEXT(OFFSET('Bateria indicadores proceso'!$V$3,(RIGHT(A2386,3)),1),"0.0%"))</f>
        <v>100%</v>
      </c>
      <c r="J2403" s="77"/>
      <c r="K2403" s="77"/>
      <c r="L2403" s="78"/>
    </row>
    <row r="2404" spans="1:12">
      <c r="A2404" s="101"/>
      <c r="B2404" s="600" t="s">
        <v>119</v>
      </c>
      <c r="C2404" s="567" t="s">
        <v>120</v>
      </c>
      <c r="D2404" s="568"/>
      <c r="E2404" s="567" t="s">
        <v>121</v>
      </c>
      <c r="F2404" s="568"/>
      <c r="G2404" s="567" t="s">
        <v>122</v>
      </c>
      <c r="H2404" s="568"/>
      <c r="I2404" s="567" t="s">
        <v>123</v>
      </c>
      <c r="J2404" s="568"/>
      <c r="K2404" s="567" t="s">
        <v>124</v>
      </c>
      <c r="L2404" s="569"/>
    </row>
    <row r="2405" spans="1:12">
      <c r="A2405" s="101"/>
      <c r="B2405" s="601"/>
      <c r="C2405" s="570" t="s">
        <v>125</v>
      </c>
      <c r="D2405" s="571"/>
      <c r="E2405" s="577" t="s">
        <v>126</v>
      </c>
      <c r="F2405" s="578"/>
      <c r="G2405" s="579" t="s">
        <v>127</v>
      </c>
      <c r="H2405" s="580"/>
      <c r="I2405" s="581" t="s">
        <v>128</v>
      </c>
      <c r="J2405" s="582"/>
      <c r="K2405" s="583" t="s">
        <v>129</v>
      </c>
      <c r="L2405" s="584"/>
    </row>
    <row r="2406" spans="1:12">
      <c r="A2406" s="101"/>
      <c r="B2406" s="602"/>
      <c r="C2406" s="567" t="s">
        <v>130</v>
      </c>
      <c r="D2406" s="568"/>
      <c r="E2406" s="567" t="s">
        <v>131</v>
      </c>
      <c r="F2406" s="568"/>
      <c r="G2406" s="585" t="s">
        <v>132</v>
      </c>
      <c r="H2406" s="568"/>
      <c r="I2406" s="567" t="s">
        <v>133</v>
      </c>
      <c r="J2406" s="568"/>
      <c r="K2406" s="567" t="s">
        <v>134</v>
      </c>
      <c r="L2406" s="569"/>
    </row>
    <row r="2407" spans="1:12">
      <c r="A2407" s="101"/>
      <c r="B2407" s="72" t="s">
        <v>135</v>
      </c>
      <c r="C2407" s="559" t="str">
        <f ca="1">OFFSET('Bateria indicadores proceso'!$Y$3,(RIGHT(A2386,3)),1)</f>
        <v>Base de datos registro y control de conciliaciones extrajudiciales</v>
      </c>
      <c r="D2407" s="559"/>
      <c r="E2407" s="559"/>
      <c r="F2407" s="559"/>
      <c r="G2407" s="559"/>
      <c r="H2407" s="559"/>
      <c r="I2407" s="559"/>
      <c r="J2407" s="559"/>
      <c r="K2407" s="559"/>
      <c r="L2407" s="560"/>
    </row>
    <row r="2408" spans="1:12">
      <c r="A2408" s="101"/>
      <c r="B2408" s="591" t="s">
        <v>136</v>
      </c>
      <c r="C2408" s="561" t="s">
        <v>137</v>
      </c>
      <c r="D2408" s="561"/>
      <c r="E2408" s="561"/>
      <c r="F2408" s="562" t="str">
        <f ca="1">OFFSET('Bateria indicadores proceso'!$B$3,(RIGHT(A2386,3)),1)</f>
        <v>GESTIÓN JURÍDICA</v>
      </c>
      <c r="G2408" s="562"/>
      <c r="H2408" s="562"/>
      <c r="I2408" s="562"/>
      <c r="J2408" s="562"/>
      <c r="K2408" s="562"/>
      <c r="L2408" s="563"/>
    </row>
    <row r="2409" spans="1:12">
      <c r="A2409" s="101"/>
      <c r="B2409" s="592"/>
      <c r="C2409" s="561" t="s">
        <v>138</v>
      </c>
      <c r="D2409" s="561"/>
      <c r="E2409" s="561"/>
      <c r="F2409" s="564">
        <f ca="1">OFFSET('Bateria indicadores proceso'!$C$3,(RIGHT(A2386,3)),1)</f>
        <v>1</v>
      </c>
      <c r="G2409" s="564"/>
      <c r="H2409" s="564"/>
      <c r="I2409" s="564"/>
      <c r="J2409" s="564"/>
      <c r="K2409" s="564"/>
      <c r="L2409" s="565"/>
    </row>
    <row r="2410" spans="1:12" ht="15.75" thickBot="1">
      <c r="A2410" s="101"/>
      <c r="B2410" s="592"/>
      <c r="C2410" s="561" t="s">
        <v>139</v>
      </c>
      <c r="D2410" s="561"/>
      <c r="E2410" s="561"/>
      <c r="F2410" s="564">
        <f ca="1">OFFSET('Bateria indicadores proceso'!$E$3,(RIGHT(A2386,3)),1)</f>
        <v>0.22</v>
      </c>
      <c r="G2410" s="564"/>
      <c r="H2410" s="564"/>
      <c r="I2410" s="564"/>
      <c r="J2410" s="564"/>
      <c r="K2410" s="564"/>
      <c r="L2410" s="565"/>
    </row>
    <row r="2411" spans="1:12" ht="16.5" thickBot="1">
      <c r="A2411" s="101"/>
      <c r="B2411" s="572" t="s">
        <v>140</v>
      </c>
      <c r="C2411" s="573"/>
      <c r="D2411" s="573"/>
      <c r="E2411" s="573"/>
      <c r="F2411" s="573"/>
      <c r="G2411" s="573"/>
      <c r="H2411" s="573"/>
      <c r="I2411" s="573"/>
      <c r="J2411" s="573"/>
      <c r="K2411" s="573"/>
      <c r="L2411" s="574"/>
    </row>
    <row r="2412" spans="1:12">
      <c r="A2412" s="101"/>
      <c r="B2412" s="72" t="s">
        <v>142</v>
      </c>
      <c r="C2412" s="561" t="str">
        <f ca="1">OFFSET('Bateria indicadores proceso'!$G$3,(RIGHT(A2386,3)),1)</f>
        <v>Director</v>
      </c>
      <c r="D2412" s="561"/>
      <c r="E2412" s="561"/>
      <c r="F2412" s="561"/>
      <c r="G2412" s="561"/>
      <c r="H2412" s="561"/>
      <c r="I2412" s="561"/>
      <c r="J2412" s="561"/>
      <c r="K2412" s="561"/>
      <c r="L2412" s="566"/>
    </row>
    <row r="2413" spans="1:12">
      <c r="A2413" s="101"/>
      <c r="B2413" s="72" t="s">
        <v>143</v>
      </c>
      <c r="C2413" s="561" t="str">
        <f ca="1">OFFSET('Bateria indicadores proceso'!$F$3,(RIGHT(A2386,3)),1)</f>
        <v>Dirección Jurídica</v>
      </c>
      <c r="D2413" s="561"/>
      <c r="E2413" s="561"/>
      <c r="F2413" s="561"/>
      <c r="G2413" s="561"/>
      <c r="H2413" s="561"/>
      <c r="I2413" s="561"/>
      <c r="J2413" s="561"/>
      <c r="K2413" s="561"/>
      <c r="L2413" s="566"/>
    </row>
    <row r="2414" spans="1:12">
      <c r="A2414" s="101"/>
      <c r="B2414" s="72" t="s">
        <v>144</v>
      </c>
      <c r="C2414" s="598" t="str">
        <f ca="1">OFFSET('Bateria indicadores proceso'!$H$3,(RIGHT(A2350,3)),1)</f>
        <v>juan.duran@mininterior.gov.co.</v>
      </c>
      <c r="D2414" s="598"/>
      <c r="E2414" s="598"/>
      <c r="F2414" s="598"/>
      <c r="G2414" s="598"/>
      <c r="H2414" s="598"/>
      <c r="I2414" s="598"/>
      <c r="J2414" s="598"/>
      <c r="K2414" s="598"/>
      <c r="L2414" s="599"/>
    </row>
    <row r="2415" spans="1:12" ht="15.75" thickBot="1">
      <c r="A2415" s="104"/>
      <c r="B2415" s="74" t="s">
        <v>145</v>
      </c>
      <c r="C2415" s="596" t="s">
        <v>146</v>
      </c>
      <c r="D2415" s="596"/>
      <c r="E2415" s="596"/>
      <c r="F2415" s="596"/>
      <c r="G2415" s="596"/>
      <c r="H2415" s="596"/>
      <c r="I2415" s="596"/>
      <c r="J2415" s="596"/>
      <c r="K2415" s="596"/>
      <c r="L2415" s="597"/>
    </row>
    <row r="2416" spans="1:12" ht="15.75" thickBot="1"/>
    <row r="2417" spans="1:12" ht="21.75" thickBot="1">
      <c r="A2417" s="586" t="s">
        <v>89</v>
      </c>
      <c r="B2417" s="587"/>
      <c r="C2417" s="587"/>
      <c r="D2417" s="587"/>
      <c r="E2417" s="587"/>
      <c r="F2417" s="587"/>
      <c r="G2417" s="587"/>
      <c r="H2417" s="587"/>
      <c r="I2417" s="587"/>
      <c r="J2417" s="587"/>
      <c r="K2417" s="587"/>
      <c r="L2417" s="588"/>
    </row>
    <row r="2418" spans="1:12" ht="32.25" thickBot="1">
      <c r="A2418" s="69" t="s">
        <v>90</v>
      </c>
      <c r="B2418" s="589" t="s">
        <v>91</v>
      </c>
      <c r="C2418" s="589"/>
      <c r="D2418" s="589"/>
      <c r="E2418" s="589"/>
      <c r="F2418" s="589"/>
      <c r="G2418" s="589"/>
      <c r="H2418" s="589"/>
      <c r="I2418" s="589"/>
      <c r="J2418" s="589"/>
      <c r="K2418" s="589"/>
      <c r="L2418" s="589"/>
    </row>
    <row r="2419" spans="1:12" ht="16.5" thickBot="1">
      <c r="A2419" s="100"/>
      <c r="B2419" s="71" t="s">
        <v>92</v>
      </c>
      <c r="C2419" s="575" t="s">
        <v>93</v>
      </c>
      <c r="D2419" s="575"/>
      <c r="E2419" s="575"/>
      <c r="F2419" s="575"/>
      <c r="G2419" s="575"/>
      <c r="H2419" s="575"/>
      <c r="I2419" s="575"/>
      <c r="J2419" s="575"/>
      <c r="K2419" s="575"/>
      <c r="L2419" s="576"/>
    </row>
    <row r="2420" spans="1:12" ht="16.5" thickBot="1">
      <c r="A2420" s="101"/>
      <c r="B2420" s="589" t="s">
        <v>94</v>
      </c>
      <c r="C2420" s="590"/>
      <c r="D2420" s="590"/>
      <c r="E2420" s="590"/>
      <c r="F2420" s="590"/>
      <c r="G2420" s="590"/>
      <c r="H2420" s="590"/>
      <c r="I2420" s="590"/>
      <c r="J2420" s="590"/>
      <c r="K2420" s="590"/>
      <c r="L2420" s="590"/>
    </row>
    <row r="2421" spans="1:12">
      <c r="A2421" s="101"/>
      <c r="B2421" s="71" t="s">
        <v>95</v>
      </c>
      <c r="C2421" s="559" t="s">
        <v>96</v>
      </c>
      <c r="D2421" s="559"/>
      <c r="E2421" s="559"/>
      <c r="F2421" s="559"/>
      <c r="G2421" s="559"/>
      <c r="H2421" s="559"/>
      <c r="I2421" s="559"/>
      <c r="J2421" s="559"/>
      <c r="K2421" s="559"/>
      <c r="L2421" s="560"/>
    </row>
    <row r="2422" spans="1:12">
      <c r="A2422" s="102" t="s">
        <v>213</v>
      </c>
      <c r="B2422" s="72" t="s">
        <v>98</v>
      </c>
      <c r="C2422" s="559" t="str">
        <f ca="1">OFFSET('Bateria indicadores proceso'!$F$3,(RIGHT(A2422,3)),1)</f>
        <v>Dirección Jurídica</v>
      </c>
      <c r="D2422" s="559"/>
      <c r="E2422" s="559"/>
      <c r="F2422" s="559"/>
      <c r="G2422" s="559"/>
      <c r="H2422" s="559"/>
      <c r="I2422" s="559"/>
      <c r="J2422" s="559"/>
      <c r="K2422" s="559"/>
      <c r="L2422" s="560"/>
    </row>
    <row r="2423" spans="1:12">
      <c r="A2423" s="101"/>
      <c r="B2423" s="72" t="s">
        <v>99</v>
      </c>
      <c r="C2423" s="559" t="str">
        <f ca="1">OFFSET('Bateria indicadores proceso'!$K$3,(RIGHT(A2422,3)),1)</f>
        <v xml:space="preserve">Expedientes de solicitudes de pago de sentencias revisados									</v>
      </c>
      <c r="D2423" s="559"/>
      <c r="E2423" s="559"/>
      <c r="F2423" s="559"/>
      <c r="G2423" s="559"/>
      <c r="H2423" s="559"/>
      <c r="I2423" s="559"/>
      <c r="J2423" s="559"/>
      <c r="K2423" s="559"/>
      <c r="L2423" s="560"/>
    </row>
    <row r="2424" spans="1:12">
      <c r="A2424" s="101"/>
      <c r="B2424" s="72" t="s">
        <v>100</v>
      </c>
      <c r="C2424" s="559" t="str">
        <f ca="1">OFFSET('Bateria indicadores proceso'!$I$3,(RIGHT(A2422,3)),1)</f>
        <v>Eficacia</v>
      </c>
      <c r="D2424" s="559"/>
      <c r="E2424" s="559"/>
      <c r="F2424" s="559"/>
      <c r="G2424" s="559"/>
      <c r="H2424" s="559"/>
      <c r="I2424" s="559"/>
      <c r="J2424" s="559"/>
      <c r="K2424" s="559"/>
      <c r="L2424" s="560"/>
    </row>
    <row r="2425" spans="1:12" ht="15.75" thickBot="1">
      <c r="A2425" s="103"/>
      <c r="B2425" s="73" t="s">
        <v>101</v>
      </c>
      <c r="C2425" s="559" t="str">
        <f ca="1">OFFSET('Bateria indicadores proceso'!$J$3,(RIGHT(A2422,3)),1)</f>
        <v>Realizar el estudio jurídico y administrativo de las solicitudes de pago de sentencias, conciliaciones y laudos arbitrales.</v>
      </c>
      <c r="D2425" s="559"/>
      <c r="E2425" s="559"/>
      <c r="F2425" s="559"/>
      <c r="G2425" s="559"/>
      <c r="H2425" s="559"/>
      <c r="I2425" s="559"/>
      <c r="J2425" s="559"/>
      <c r="K2425" s="559"/>
      <c r="L2425" s="560"/>
    </row>
    <row r="2426" spans="1:12" ht="16.5" thickBot="1">
      <c r="A2426" s="103"/>
      <c r="B2426" s="572" t="s">
        <v>102</v>
      </c>
      <c r="C2426" s="573"/>
      <c r="D2426" s="573"/>
      <c r="E2426" s="573"/>
      <c r="F2426" s="573"/>
      <c r="G2426" s="573"/>
      <c r="H2426" s="573"/>
      <c r="I2426" s="573"/>
      <c r="J2426" s="573"/>
      <c r="K2426" s="573"/>
      <c r="L2426" s="574"/>
    </row>
    <row r="2427" spans="1:12">
      <c r="A2427" s="101"/>
      <c r="B2427" s="71" t="s">
        <v>103</v>
      </c>
      <c r="C2427" s="559" t="str">
        <f ca="1">OFFSET('Bateria indicadores proceso'!$O$3,(RIGHT(A2422,3)),1)</f>
        <v>Porcentaje</v>
      </c>
      <c r="D2427" s="559"/>
      <c r="E2427" s="559"/>
      <c r="F2427" s="559"/>
      <c r="G2427" s="559"/>
      <c r="H2427" s="559"/>
      <c r="I2427" s="559"/>
      <c r="J2427" s="559"/>
      <c r="K2427" s="559"/>
      <c r="L2427" s="560"/>
    </row>
    <row r="2428" spans="1:12" ht="24">
      <c r="A2428" s="101"/>
      <c r="B2428" s="72" t="s">
        <v>104</v>
      </c>
      <c r="C2428" s="559"/>
      <c r="D2428" s="559"/>
      <c r="E2428" s="559"/>
      <c r="F2428" s="559"/>
      <c r="G2428" s="559"/>
      <c r="H2428" s="559"/>
      <c r="I2428" s="559"/>
      <c r="J2428" s="559"/>
      <c r="K2428" s="559"/>
      <c r="L2428" s="560"/>
    </row>
    <row r="2429" spans="1:12">
      <c r="A2429" s="101"/>
      <c r="B2429" s="72" t="s">
        <v>105</v>
      </c>
      <c r="C2429" s="559" t="str">
        <f ca="1">OFFSET('Bateria indicadores proceso'!$L$3,(RIGHT(A2422,3)),1)</f>
        <v xml:space="preserve">(Número de expedientes con verificación de requisitos/número de expedientes asignados)*100								</v>
      </c>
      <c r="D2429" s="559"/>
      <c r="E2429" s="559"/>
      <c r="F2429" s="559"/>
      <c r="G2429" s="559"/>
      <c r="H2429" s="559"/>
      <c r="I2429" s="559"/>
      <c r="J2429" s="559"/>
      <c r="K2429" s="559"/>
      <c r="L2429" s="560"/>
    </row>
    <row r="2430" spans="1:12">
      <c r="A2430" s="101"/>
      <c r="B2430" s="72" t="s">
        <v>106</v>
      </c>
      <c r="C2430" s="559" t="str">
        <f ca="1">OFFSET('Bateria indicadores proceso'!$Z$3,(RIGHT(A2422,3)),1)</f>
        <v>Trimestral</v>
      </c>
      <c r="D2430" s="559"/>
      <c r="E2430" s="559"/>
      <c r="F2430" s="559"/>
      <c r="G2430" s="559"/>
      <c r="H2430" s="559"/>
      <c r="I2430" s="559"/>
      <c r="J2430" s="559"/>
      <c r="K2430" s="559"/>
      <c r="L2430" s="560"/>
    </row>
    <row r="2431" spans="1:12">
      <c r="A2431" s="101"/>
      <c r="B2431" s="72" t="s">
        <v>107</v>
      </c>
      <c r="C2431" s="559" t="str">
        <f ca="1">OFFSET('Bateria indicadores proceso'!$X$3,(RIGHT(A2422,3)),1)</f>
        <v>Base de datos de pagos de sentencias</v>
      </c>
      <c r="D2431" s="559"/>
      <c r="E2431" s="559"/>
      <c r="F2431" s="559"/>
      <c r="G2431" s="559"/>
      <c r="H2431" s="559"/>
      <c r="I2431" s="559"/>
      <c r="J2431" s="559"/>
      <c r="K2431" s="559"/>
      <c r="L2431" s="560"/>
    </row>
    <row r="2432" spans="1:12">
      <c r="A2432" s="101"/>
      <c r="B2432" s="72" t="s">
        <v>108</v>
      </c>
      <c r="C2432" s="561">
        <f ca="1">OFFSET('Bateria indicadores proceso'!$P$3,(RIGHT(A2422,3)),1)</f>
        <v>2024</v>
      </c>
      <c r="D2432" s="561"/>
      <c r="E2432" s="561"/>
      <c r="F2432" s="561"/>
      <c r="G2432" s="561"/>
      <c r="H2432" s="561"/>
      <c r="I2432" s="561"/>
      <c r="J2432" s="561"/>
      <c r="K2432" s="561"/>
      <c r="L2432" s="566"/>
    </row>
    <row r="2433" spans="1:12">
      <c r="A2433" s="101"/>
      <c r="B2433" s="72" t="s">
        <v>109</v>
      </c>
      <c r="C2433" s="561" t="str">
        <f ca="1">IF(C2427="Número",TEXT(OFFSET('Bateria indicadores proceso'!$Q$3,(RIGHT(A2422,3)),1),"######"),TEXT(OFFSET('Bateria indicadores proceso'!$Q$3,(RIGHT(A2422,3)),1),"0.0%"))</f>
        <v>100%</v>
      </c>
      <c r="D2433" s="561"/>
      <c r="E2433" s="561"/>
      <c r="F2433" s="561"/>
      <c r="G2433" s="561"/>
      <c r="H2433" s="561"/>
      <c r="I2433" s="561"/>
      <c r="J2433" s="561"/>
      <c r="K2433" s="561"/>
      <c r="L2433" s="566"/>
    </row>
    <row r="2434" spans="1:12">
      <c r="A2434" s="101"/>
      <c r="B2434" s="72" t="s">
        <v>110</v>
      </c>
      <c r="C2434" s="593">
        <f ca="1">+OFFSET('Bateria indicadores proceso'!$R$3,(RIGHT(A2422,3)),1)</f>
        <v>46022</v>
      </c>
      <c r="D2434" s="593"/>
      <c r="E2434" s="593"/>
      <c r="F2434" s="593"/>
      <c r="G2434" s="593"/>
      <c r="H2434" s="593"/>
      <c r="I2434" s="593"/>
      <c r="J2434" s="593"/>
      <c r="K2434" s="593"/>
      <c r="L2434" s="594"/>
    </row>
    <row r="2435" spans="1:12">
      <c r="A2435" s="101"/>
      <c r="B2435" s="72" t="s">
        <v>111</v>
      </c>
      <c r="C2435" s="561" t="str">
        <f ca="1">OFFSET('Bateria indicadores proceso'!$M$3,(RIGHT(A2422,3)),1)</f>
        <v>Mantener</v>
      </c>
      <c r="D2435" s="561"/>
      <c r="E2435" s="561"/>
      <c r="F2435" s="561"/>
      <c r="G2435" s="561"/>
      <c r="H2435" s="561"/>
      <c r="I2435" s="561"/>
      <c r="J2435" s="561"/>
      <c r="K2435" s="561"/>
      <c r="L2435" s="566"/>
    </row>
    <row r="2436" spans="1:12">
      <c r="A2436" s="101"/>
      <c r="B2436" s="72" t="s">
        <v>112</v>
      </c>
      <c r="C2436" s="561" t="str">
        <f ca="1">OFFSET('Bateria indicadores proceso'!$N$3,(RIGHT(A2422,3)),1)</f>
        <v>Acumulado</v>
      </c>
      <c r="D2436" s="561"/>
      <c r="E2436" s="561"/>
      <c r="F2436" s="561"/>
      <c r="G2436" s="561"/>
      <c r="H2436" s="561"/>
      <c r="I2436" s="561"/>
      <c r="J2436" s="561"/>
      <c r="K2436" s="561"/>
      <c r="L2436" s="566"/>
    </row>
    <row r="2437" spans="1:12">
      <c r="A2437" s="101"/>
      <c r="B2437" s="72" t="s">
        <v>113</v>
      </c>
      <c r="C2437" s="561" t="str">
        <f ca="1">IF(C2427="Número",TEXT(OFFSET('Bateria indicadores proceso'!$W$3,(RIGHT(A2422,3)),1),"######"),TEXT(OFFSET('Bateria indicadores proceso'!$W$3,(RIGHT(A2422,3)),1),"0.0%"))</f>
        <v>100%</v>
      </c>
      <c r="D2437" s="561"/>
      <c r="E2437" s="561"/>
      <c r="F2437" s="561"/>
      <c r="G2437" s="561"/>
      <c r="H2437" s="561"/>
      <c r="I2437" s="561"/>
      <c r="J2437" s="561"/>
      <c r="K2437" s="561"/>
      <c r="L2437" s="566"/>
    </row>
    <row r="2438" spans="1:12">
      <c r="A2438" s="101"/>
      <c r="B2438" s="595" t="s">
        <v>114</v>
      </c>
      <c r="C2438" s="70" t="s">
        <v>115</v>
      </c>
      <c r="D2438" s="70" t="s">
        <v>116</v>
      </c>
      <c r="E2438" s="70" t="s">
        <v>117</v>
      </c>
      <c r="F2438" s="70" t="s">
        <v>118</v>
      </c>
      <c r="J2438" s="75"/>
      <c r="K2438" s="75"/>
      <c r="L2438" s="76"/>
    </row>
    <row r="2439" spans="1:12">
      <c r="A2439" s="101"/>
      <c r="B2439" s="595"/>
      <c r="C2439" s="70" t="str">
        <f ca="1">IF(C2427="Número",TEXT(OFFSET('Bateria indicadores proceso'!$S$3,(RIGHT(A2422,3)),1),"######"),TEXT(OFFSET('Bateria indicadores proceso'!$S$3,(RIGHT(A2422,3)),1),"0.0%"))</f>
        <v>100%</v>
      </c>
      <c r="D2439" s="70" t="str">
        <f ca="1">IF(C2427="Número",TEXT(OFFSET('Bateria indicadores proceso'!$T$3,(RIGHT(A2422,3)),1),"######"),TEXT(OFFSET('Bateria indicadores proceso'!$T$3,(RIGHT(A2422,3)),1),"0.0%"))</f>
        <v>100%</v>
      </c>
      <c r="E2439" s="70" t="str">
        <f ca="1">IF(C2427="Número",TEXT(OFFSET('Bateria indicadores proceso'!$U$3,(RIGHT(A2422,3)),1),"######"),TEXT(OFFSET('Bateria indicadores proceso'!$U$3,(RIGHT(A2422,3)),1),"0.0%"))</f>
        <v>100%</v>
      </c>
      <c r="F2439" s="70" t="str">
        <f ca="1">IF(C2427="Número",TEXT(OFFSET('Bateria indicadores proceso'!$V$3,(RIGHT(A2422,3)),1),"######"),TEXT(OFFSET('Bateria indicadores proceso'!$V$3,(RIGHT(A2422,3)),1),"0.0%"))</f>
        <v>100%</v>
      </c>
      <c r="J2439" s="77"/>
      <c r="K2439" s="77"/>
      <c r="L2439" s="78"/>
    </row>
    <row r="2440" spans="1:12">
      <c r="A2440" s="101"/>
      <c r="B2440" s="600" t="s">
        <v>119</v>
      </c>
      <c r="C2440" s="567" t="s">
        <v>120</v>
      </c>
      <c r="D2440" s="568"/>
      <c r="E2440" s="567" t="s">
        <v>121</v>
      </c>
      <c r="F2440" s="568"/>
      <c r="G2440" s="567" t="s">
        <v>122</v>
      </c>
      <c r="H2440" s="568"/>
      <c r="I2440" s="567" t="s">
        <v>123</v>
      </c>
      <c r="J2440" s="568"/>
      <c r="K2440" s="567" t="s">
        <v>124</v>
      </c>
      <c r="L2440" s="569"/>
    </row>
    <row r="2441" spans="1:12">
      <c r="A2441" s="101"/>
      <c r="B2441" s="601"/>
      <c r="C2441" s="570" t="s">
        <v>125</v>
      </c>
      <c r="D2441" s="571"/>
      <c r="E2441" s="577" t="s">
        <v>126</v>
      </c>
      <c r="F2441" s="578"/>
      <c r="G2441" s="579" t="s">
        <v>127</v>
      </c>
      <c r="H2441" s="580"/>
      <c r="I2441" s="581" t="s">
        <v>128</v>
      </c>
      <c r="J2441" s="582"/>
      <c r="K2441" s="583" t="s">
        <v>129</v>
      </c>
      <c r="L2441" s="584"/>
    </row>
    <row r="2442" spans="1:12">
      <c r="A2442" s="101"/>
      <c r="B2442" s="602"/>
      <c r="C2442" s="567" t="s">
        <v>130</v>
      </c>
      <c r="D2442" s="568"/>
      <c r="E2442" s="567" t="s">
        <v>131</v>
      </c>
      <c r="F2442" s="568"/>
      <c r="G2442" s="585" t="s">
        <v>132</v>
      </c>
      <c r="H2442" s="568"/>
      <c r="I2442" s="567" t="s">
        <v>133</v>
      </c>
      <c r="J2442" s="568"/>
      <c r="K2442" s="567" t="s">
        <v>134</v>
      </c>
      <c r="L2442" s="569"/>
    </row>
    <row r="2443" spans="1:12">
      <c r="A2443" s="101"/>
      <c r="B2443" s="72" t="s">
        <v>135</v>
      </c>
      <c r="C2443" s="559" t="str">
        <f ca="1">OFFSET('Bateria indicadores proceso'!$Y$3,(RIGHT(A2422,3)),1)</f>
        <v>Base de datos de pagos de sentencias</v>
      </c>
      <c r="D2443" s="559"/>
      <c r="E2443" s="559"/>
      <c r="F2443" s="559"/>
      <c r="G2443" s="559"/>
      <c r="H2443" s="559"/>
      <c r="I2443" s="559"/>
      <c r="J2443" s="559"/>
      <c r="K2443" s="559"/>
      <c r="L2443" s="560"/>
    </row>
    <row r="2444" spans="1:12">
      <c r="A2444" s="101"/>
      <c r="B2444" s="591" t="s">
        <v>136</v>
      </c>
      <c r="C2444" s="561" t="s">
        <v>137</v>
      </c>
      <c r="D2444" s="561"/>
      <c r="E2444" s="561"/>
      <c r="F2444" s="562" t="str">
        <f ca="1">OFFSET('Bateria indicadores proceso'!$B$3,(RIGHT(A2422,3)),1)</f>
        <v>GESTIÓN JURÍDICA</v>
      </c>
      <c r="G2444" s="562"/>
      <c r="H2444" s="562"/>
      <c r="I2444" s="562"/>
      <c r="J2444" s="562"/>
      <c r="K2444" s="562"/>
      <c r="L2444" s="563"/>
    </row>
    <row r="2445" spans="1:12">
      <c r="A2445" s="101"/>
      <c r="B2445" s="592"/>
      <c r="C2445" s="561" t="s">
        <v>138</v>
      </c>
      <c r="D2445" s="561"/>
      <c r="E2445" s="561"/>
      <c r="F2445" s="564">
        <f ca="1">OFFSET('Bateria indicadores proceso'!$C$3,(RIGHT(A2422,3)),1)</f>
        <v>1</v>
      </c>
      <c r="G2445" s="564"/>
      <c r="H2445" s="564"/>
      <c r="I2445" s="564"/>
      <c r="J2445" s="564"/>
      <c r="K2445" s="564"/>
      <c r="L2445" s="565"/>
    </row>
    <row r="2446" spans="1:12" ht="15.75" thickBot="1">
      <c r="A2446" s="101"/>
      <c r="B2446" s="592"/>
      <c r="C2446" s="561" t="s">
        <v>139</v>
      </c>
      <c r="D2446" s="561"/>
      <c r="E2446" s="561"/>
      <c r="F2446" s="564">
        <f ca="1">OFFSET('Bateria indicadores proceso'!$E$3,(RIGHT(A2422,3)),1)</f>
        <v>0.22</v>
      </c>
      <c r="G2446" s="564"/>
      <c r="H2446" s="564"/>
      <c r="I2446" s="564"/>
      <c r="J2446" s="564"/>
      <c r="K2446" s="564"/>
      <c r="L2446" s="565"/>
    </row>
    <row r="2447" spans="1:12" ht="16.5" thickBot="1">
      <c r="A2447" s="101"/>
      <c r="B2447" s="572" t="s">
        <v>140</v>
      </c>
      <c r="C2447" s="573"/>
      <c r="D2447" s="573"/>
      <c r="E2447" s="573"/>
      <c r="F2447" s="573"/>
      <c r="G2447" s="573"/>
      <c r="H2447" s="573"/>
      <c r="I2447" s="573"/>
      <c r="J2447" s="573"/>
      <c r="K2447" s="573"/>
      <c r="L2447" s="574"/>
    </row>
    <row r="2448" spans="1:12">
      <c r="A2448" s="101"/>
      <c r="B2448" s="72" t="s">
        <v>142</v>
      </c>
      <c r="C2448" s="561" t="str">
        <f ca="1">OFFSET('Bateria indicadores proceso'!$G$3,(RIGHT(A2422,3)),1)</f>
        <v>Director</v>
      </c>
      <c r="D2448" s="561"/>
      <c r="E2448" s="561"/>
      <c r="F2448" s="561"/>
      <c r="G2448" s="561"/>
      <c r="H2448" s="561"/>
      <c r="I2448" s="561"/>
      <c r="J2448" s="561"/>
      <c r="K2448" s="561"/>
      <c r="L2448" s="566"/>
    </row>
    <row r="2449" spans="1:12">
      <c r="A2449" s="101"/>
      <c r="B2449" s="72" t="s">
        <v>143</v>
      </c>
      <c r="C2449" s="561" t="str">
        <f ca="1">OFFSET('Bateria indicadores proceso'!$F$3,(RIGHT(A2422,3)),1)</f>
        <v>Dirección Jurídica</v>
      </c>
      <c r="D2449" s="561"/>
      <c r="E2449" s="561"/>
      <c r="F2449" s="561"/>
      <c r="G2449" s="561"/>
      <c r="H2449" s="561"/>
      <c r="I2449" s="561"/>
      <c r="J2449" s="561"/>
      <c r="K2449" s="561"/>
      <c r="L2449" s="566"/>
    </row>
    <row r="2450" spans="1:12">
      <c r="A2450" s="101"/>
      <c r="B2450" s="72" t="s">
        <v>144</v>
      </c>
      <c r="C2450" s="598" t="str">
        <f ca="1">OFFSET('Bateria indicadores proceso'!$H$3,(RIGHT(A2422,3)),1)</f>
        <v>juan.duran@mininterior.gov.co.</v>
      </c>
      <c r="D2450" s="598"/>
      <c r="E2450" s="598"/>
      <c r="F2450" s="598"/>
      <c r="G2450" s="598"/>
      <c r="H2450" s="598"/>
      <c r="I2450" s="598"/>
      <c r="J2450" s="598"/>
      <c r="K2450" s="598"/>
      <c r="L2450" s="599"/>
    </row>
    <row r="2451" spans="1:12" ht="15.75" thickBot="1">
      <c r="A2451" s="104"/>
      <c r="B2451" s="74" t="s">
        <v>145</v>
      </c>
      <c r="C2451" s="596" t="s">
        <v>146</v>
      </c>
      <c r="D2451" s="596"/>
      <c r="E2451" s="596"/>
      <c r="F2451" s="596"/>
      <c r="G2451" s="596"/>
      <c r="H2451" s="596"/>
      <c r="I2451" s="596"/>
      <c r="J2451" s="596"/>
      <c r="K2451" s="596"/>
      <c r="L2451" s="597"/>
    </row>
    <row r="2452" spans="1:12" ht="15.75" thickBot="1"/>
    <row r="2453" spans="1:12" ht="21.75" thickBot="1">
      <c r="A2453" s="586" t="s">
        <v>89</v>
      </c>
      <c r="B2453" s="587"/>
      <c r="C2453" s="587"/>
      <c r="D2453" s="587"/>
      <c r="E2453" s="587"/>
      <c r="F2453" s="587"/>
      <c r="G2453" s="587"/>
      <c r="H2453" s="587"/>
      <c r="I2453" s="587"/>
      <c r="J2453" s="587"/>
      <c r="K2453" s="587"/>
      <c r="L2453" s="588"/>
    </row>
    <row r="2454" spans="1:12" ht="32.25" thickBot="1">
      <c r="A2454" s="69" t="s">
        <v>90</v>
      </c>
      <c r="B2454" s="589" t="s">
        <v>91</v>
      </c>
      <c r="C2454" s="589"/>
      <c r="D2454" s="589"/>
      <c r="E2454" s="589"/>
      <c r="F2454" s="589"/>
      <c r="G2454" s="589"/>
      <c r="H2454" s="589"/>
      <c r="I2454" s="589"/>
      <c r="J2454" s="589"/>
      <c r="K2454" s="589"/>
      <c r="L2454" s="589"/>
    </row>
    <row r="2455" spans="1:12" ht="16.5" thickBot="1">
      <c r="A2455" s="100"/>
      <c r="B2455" s="71" t="s">
        <v>92</v>
      </c>
      <c r="C2455" s="575" t="s">
        <v>93</v>
      </c>
      <c r="D2455" s="575"/>
      <c r="E2455" s="575"/>
      <c r="F2455" s="575"/>
      <c r="G2455" s="575"/>
      <c r="H2455" s="575"/>
      <c r="I2455" s="575"/>
      <c r="J2455" s="575"/>
      <c r="K2455" s="575"/>
      <c r="L2455" s="576"/>
    </row>
    <row r="2456" spans="1:12" ht="16.5" thickBot="1">
      <c r="A2456" s="101"/>
      <c r="B2456" s="589" t="s">
        <v>94</v>
      </c>
      <c r="C2456" s="590"/>
      <c r="D2456" s="590"/>
      <c r="E2456" s="590"/>
      <c r="F2456" s="590"/>
      <c r="G2456" s="590"/>
      <c r="H2456" s="590"/>
      <c r="I2456" s="590"/>
      <c r="J2456" s="590"/>
      <c r="K2456" s="590"/>
      <c r="L2456" s="590"/>
    </row>
    <row r="2457" spans="1:12">
      <c r="A2457" s="101"/>
      <c r="B2457" s="71" t="s">
        <v>95</v>
      </c>
      <c r="C2457" s="559" t="s">
        <v>96</v>
      </c>
      <c r="D2457" s="559"/>
      <c r="E2457" s="559"/>
      <c r="F2457" s="559"/>
      <c r="G2457" s="559"/>
      <c r="H2457" s="559"/>
      <c r="I2457" s="559"/>
      <c r="J2457" s="559"/>
      <c r="K2457" s="559"/>
      <c r="L2457" s="560"/>
    </row>
    <row r="2458" spans="1:12">
      <c r="A2458" s="102" t="s">
        <v>214</v>
      </c>
      <c r="B2458" s="72" t="s">
        <v>98</v>
      </c>
      <c r="C2458" s="559" t="str">
        <f ca="1">OFFSET('Bateria indicadores proceso'!$F$3,(RIGHT(A2458,3)),1)</f>
        <v>Dirección Jurídica</v>
      </c>
      <c r="D2458" s="559"/>
      <c r="E2458" s="559"/>
      <c r="F2458" s="559"/>
      <c r="G2458" s="559"/>
      <c r="H2458" s="559"/>
      <c r="I2458" s="559"/>
      <c r="J2458" s="559"/>
      <c r="K2458" s="559"/>
      <c r="L2458" s="560"/>
    </row>
    <row r="2459" spans="1:12">
      <c r="A2459" s="101"/>
      <c r="B2459" s="72" t="s">
        <v>99</v>
      </c>
      <c r="C2459" s="559" t="str">
        <f ca="1">OFFSET('Bateria indicadores proceso'!$K$3,(RIGHT(A2458,3)),1)</f>
        <v>Proyectos de actos administrativos gestionados en el marco de las funciones a cargo de la Dirección Jurídica.</v>
      </c>
      <c r="D2459" s="559"/>
      <c r="E2459" s="559"/>
      <c r="F2459" s="559"/>
      <c r="G2459" s="559"/>
      <c r="H2459" s="559"/>
      <c r="I2459" s="559"/>
      <c r="J2459" s="559"/>
      <c r="K2459" s="559"/>
      <c r="L2459" s="560"/>
    </row>
    <row r="2460" spans="1:12">
      <c r="A2460" s="101"/>
      <c r="B2460" s="72" t="s">
        <v>100</v>
      </c>
      <c r="C2460" s="559" t="str">
        <f ca="1">OFFSET('Bateria indicadores proceso'!$I$3,(RIGHT(A2458,3)),1)</f>
        <v>Eficacia</v>
      </c>
      <c r="D2460" s="559"/>
      <c r="E2460" s="559"/>
      <c r="F2460" s="559"/>
      <c r="G2460" s="559"/>
      <c r="H2460" s="559"/>
      <c r="I2460" s="559"/>
      <c r="J2460" s="559"/>
      <c r="K2460" s="559"/>
      <c r="L2460" s="560"/>
    </row>
    <row r="2461" spans="1:12" ht="15.75" thickBot="1">
      <c r="A2461" s="103"/>
      <c r="B2461" s="73" t="s">
        <v>101</v>
      </c>
      <c r="C2461" s="559" t="str">
        <f ca="1">OFFSET('Bateria indicadores proceso'!$J$3,(RIGHT(A2458,3)),1)</f>
        <v xml:space="preserve">Garantizar el nivel de gestión frente a los proyectos de actos administrativos que le sean requeridos a la Dirección Jurídica para elaboración y revisión.									</v>
      </c>
      <c r="D2461" s="559"/>
      <c r="E2461" s="559"/>
      <c r="F2461" s="559"/>
      <c r="G2461" s="559"/>
      <c r="H2461" s="559"/>
      <c r="I2461" s="559"/>
      <c r="J2461" s="559"/>
      <c r="K2461" s="559"/>
      <c r="L2461" s="560"/>
    </row>
    <row r="2462" spans="1:12" ht="16.5" thickBot="1">
      <c r="A2462" s="103"/>
      <c r="B2462" s="572" t="s">
        <v>102</v>
      </c>
      <c r="C2462" s="573"/>
      <c r="D2462" s="573"/>
      <c r="E2462" s="573"/>
      <c r="F2462" s="573"/>
      <c r="G2462" s="573"/>
      <c r="H2462" s="573"/>
      <c r="I2462" s="573"/>
      <c r="J2462" s="573"/>
      <c r="K2462" s="573"/>
      <c r="L2462" s="574"/>
    </row>
    <row r="2463" spans="1:12">
      <c r="A2463" s="101"/>
      <c r="B2463" s="71" t="s">
        <v>103</v>
      </c>
      <c r="C2463" s="559" t="str">
        <f ca="1">OFFSET('Bateria indicadores proceso'!$O$3,(RIGHT(A2458,3)),1)</f>
        <v>Porcentaje</v>
      </c>
      <c r="D2463" s="559"/>
      <c r="E2463" s="559"/>
      <c r="F2463" s="559"/>
      <c r="G2463" s="559"/>
      <c r="H2463" s="559"/>
      <c r="I2463" s="559"/>
      <c r="J2463" s="559"/>
      <c r="K2463" s="559"/>
      <c r="L2463" s="560"/>
    </row>
    <row r="2464" spans="1:12" ht="24">
      <c r="A2464" s="101"/>
      <c r="B2464" s="72" t="s">
        <v>104</v>
      </c>
      <c r="C2464" s="559"/>
      <c r="D2464" s="559"/>
      <c r="E2464" s="559"/>
      <c r="F2464" s="559"/>
      <c r="G2464" s="559"/>
      <c r="H2464" s="559"/>
      <c r="I2464" s="559"/>
      <c r="J2464" s="559"/>
      <c r="K2464" s="559"/>
      <c r="L2464" s="560"/>
    </row>
    <row r="2465" spans="1:12">
      <c r="A2465" s="101"/>
      <c r="B2465" s="72" t="s">
        <v>105</v>
      </c>
      <c r="C2465" s="559" t="str">
        <f ca="1">OFFSET('Bateria indicadores proceso'!$L$3,(RIGHT(A2458,3)),1)</f>
        <v>(Número de  proyectos de actos administrativos elaborados y revisados / Total de proyectos de actos administrativos requeridos)*100</v>
      </c>
      <c r="D2465" s="559"/>
      <c r="E2465" s="559"/>
      <c r="F2465" s="559"/>
      <c r="G2465" s="559"/>
      <c r="H2465" s="559"/>
      <c r="I2465" s="559"/>
      <c r="J2465" s="559"/>
      <c r="K2465" s="559"/>
      <c r="L2465" s="560"/>
    </row>
    <row r="2466" spans="1:12">
      <c r="A2466" s="101"/>
      <c r="B2466" s="72" t="s">
        <v>106</v>
      </c>
      <c r="C2466" s="559" t="str">
        <f ca="1">OFFSET('Bateria indicadores proceso'!$Z$3,(RIGHT(A2458,3)),1)</f>
        <v>Trimestral</v>
      </c>
      <c r="D2466" s="559"/>
      <c r="E2466" s="559"/>
      <c r="F2466" s="559"/>
      <c r="G2466" s="559"/>
      <c r="H2466" s="559"/>
      <c r="I2466" s="559"/>
      <c r="J2466" s="559"/>
      <c r="K2466" s="559"/>
      <c r="L2466" s="560"/>
    </row>
    <row r="2467" spans="1:12">
      <c r="A2467" s="101"/>
      <c r="B2467" s="72" t="s">
        <v>107</v>
      </c>
      <c r="C2467" s="559" t="str">
        <f ca="1">OFFSET('Bateria indicadores proceso'!$X$3,(RIGHT(A2458,3)),1)</f>
        <v>Matriz de asignación y atención de proyectos de actos administrativos requeridos a la Dirección Jurídica</v>
      </c>
      <c r="D2467" s="559"/>
      <c r="E2467" s="559"/>
      <c r="F2467" s="559"/>
      <c r="G2467" s="559"/>
      <c r="H2467" s="559"/>
      <c r="I2467" s="559"/>
      <c r="J2467" s="559"/>
      <c r="K2467" s="559"/>
      <c r="L2467" s="560"/>
    </row>
    <row r="2468" spans="1:12">
      <c r="A2468" s="101"/>
      <c r="B2468" s="72" t="s">
        <v>108</v>
      </c>
      <c r="C2468" s="561">
        <f ca="1">OFFSET('Bateria indicadores proceso'!$P$3,(RIGHT(A2458,3)),1)</f>
        <v>2024</v>
      </c>
      <c r="D2468" s="561"/>
      <c r="E2468" s="561"/>
      <c r="F2468" s="561"/>
      <c r="G2468" s="561"/>
      <c r="H2468" s="561"/>
      <c r="I2468" s="561"/>
      <c r="J2468" s="561"/>
      <c r="K2468" s="561"/>
      <c r="L2468" s="566"/>
    </row>
    <row r="2469" spans="1:12">
      <c r="A2469" s="101"/>
      <c r="B2469" s="72" t="s">
        <v>109</v>
      </c>
      <c r="C2469" s="561" t="str">
        <f ca="1">IF(C2463="Número",TEXT(OFFSET('Bateria indicadores proceso'!$Q$3,(RIGHT(A2458,3)),1),"######"),TEXT(OFFSET('Bateria indicadores proceso'!$Q$3,(RIGHT(A2458,3)),1),"0.0%"))</f>
        <v>100%</v>
      </c>
      <c r="D2469" s="561"/>
      <c r="E2469" s="561"/>
      <c r="F2469" s="561"/>
      <c r="G2469" s="561"/>
      <c r="H2469" s="561"/>
      <c r="I2469" s="561"/>
      <c r="J2469" s="561"/>
      <c r="K2469" s="561"/>
      <c r="L2469" s="566"/>
    </row>
    <row r="2470" spans="1:12">
      <c r="A2470" s="101"/>
      <c r="B2470" s="72" t="s">
        <v>110</v>
      </c>
      <c r="C2470" s="593">
        <f ca="1">+OFFSET('Bateria indicadores proceso'!$R$3,(RIGHT(A2458,3)),1)</f>
        <v>46022</v>
      </c>
      <c r="D2470" s="593"/>
      <c r="E2470" s="593"/>
      <c r="F2470" s="593"/>
      <c r="G2470" s="593"/>
      <c r="H2470" s="593"/>
      <c r="I2470" s="593"/>
      <c r="J2470" s="593"/>
      <c r="K2470" s="593"/>
      <c r="L2470" s="594"/>
    </row>
    <row r="2471" spans="1:12">
      <c r="A2471" s="101"/>
      <c r="B2471" s="72" t="s">
        <v>111</v>
      </c>
      <c r="C2471" s="561" t="str">
        <f ca="1">OFFSET('Bateria indicadores proceso'!$M$3,(RIGHT(A2458,3)),1)</f>
        <v>Mantener</v>
      </c>
      <c r="D2471" s="561"/>
      <c r="E2471" s="561"/>
      <c r="F2471" s="561"/>
      <c r="G2471" s="561"/>
      <c r="H2471" s="561"/>
      <c r="I2471" s="561"/>
      <c r="J2471" s="561"/>
      <c r="K2471" s="561"/>
      <c r="L2471" s="566"/>
    </row>
    <row r="2472" spans="1:12">
      <c r="A2472" s="101"/>
      <c r="B2472" s="72" t="s">
        <v>112</v>
      </c>
      <c r="C2472" s="561" t="str">
        <f ca="1">OFFSET('Bateria indicadores proceso'!$N$3,(RIGHT(A2458,3)),1)</f>
        <v>Acumulado</v>
      </c>
      <c r="D2472" s="561"/>
      <c r="E2472" s="561"/>
      <c r="F2472" s="561"/>
      <c r="G2472" s="561"/>
      <c r="H2472" s="561"/>
      <c r="I2472" s="561"/>
      <c r="J2472" s="561"/>
      <c r="K2472" s="561"/>
      <c r="L2472" s="566"/>
    </row>
    <row r="2473" spans="1:12">
      <c r="A2473" s="101"/>
      <c r="B2473" s="72" t="s">
        <v>113</v>
      </c>
      <c r="C2473" s="561" t="str">
        <f ca="1">IF(C2463="Número",TEXT(OFFSET('Bateria indicadores proceso'!$W$3,(RIGHT(A2458,3)),1),"######"),TEXT(OFFSET('Bateria indicadores proceso'!$W$3,(RIGHT(A2458,3)),1),"0.0%"))</f>
        <v>100%</v>
      </c>
      <c r="D2473" s="561"/>
      <c r="E2473" s="561"/>
      <c r="F2473" s="561"/>
      <c r="G2473" s="561"/>
      <c r="H2473" s="561"/>
      <c r="I2473" s="561"/>
      <c r="J2473" s="561"/>
      <c r="K2473" s="561"/>
      <c r="L2473" s="566"/>
    </row>
    <row r="2474" spans="1:12">
      <c r="A2474" s="101"/>
      <c r="B2474" s="595" t="s">
        <v>114</v>
      </c>
      <c r="C2474" s="70" t="s">
        <v>115</v>
      </c>
      <c r="D2474" s="70" t="s">
        <v>116</v>
      </c>
      <c r="E2474" s="70" t="s">
        <v>117</v>
      </c>
      <c r="F2474" s="70" t="s">
        <v>118</v>
      </c>
      <c r="J2474" s="75"/>
      <c r="K2474" s="75"/>
      <c r="L2474" s="76"/>
    </row>
    <row r="2475" spans="1:12">
      <c r="A2475" s="101"/>
      <c r="B2475" s="595"/>
      <c r="C2475" s="70" t="str">
        <f ca="1">IF(C2463="Número",TEXT(OFFSET('Bateria indicadores proceso'!$S$3,(RIGHT(A2458,3)),1),"######"),TEXT(OFFSET('Bateria indicadores proceso'!$S$3,(RIGHT(A2458,3)),1),"0.0%"))</f>
        <v>100%</v>
      </c>
      <c r="D2475" s="70" t="str">
        <f ca="1">IF(C2463="Número",TEXT(OFFSET('Bateria indicadores proceso'!$T$3,(RIGHT(A2458,3)),1),"######"),TEXT(OFFSET('Bateria indicadores proceso'!$T$3,(RIGHT(A2458,3)),1),"0.0%"))</f>
        <v>100%</v>
      </c>
      <c r="E2475" s="70" t="str">
        <f ca="1">IF(C2463="Número",TEXT(OFFSET('Bateria indicadores proceso'!$U$3,(RIGHT(A2458,3)),1),"######"),TEXT(OFFSET('Bateria indicadores proceso'!$U$3,(RIGHT(A2458,3)),1),"0.0%"))</f>
        <v>100%</v>
      </c>
      <c r="F2475" s="70" t="str">
        <f ca="1">IF(C2463="Número",TEXT(OFFSET('Bateria indicadores proceso'!$V$3,(RIGHT(A2458,3)),1),"######"),TEXT(OFFSET('Bateria indicadores proceso'!$V$3,(RIGHT(A2458,3)),1),"0.0%"))</f>
        <v>100%</v>
      </c>
      <c r="J2475" s="77"/>
      <c r="K2475" s="77"/>
      <c r="L2475" s="78"/>
    </row>
    <row r="2476" spans="1:12">
      <c r="A2476" s="101"/>
      <c r="B2476" s="600" t="s">
        <v>119</v>
      </c>
      <c r="C2476" s="567" t="s">
        <v>120</v>
      </c>
      <c r="D2476" s="568"/>
      <c r="E2476" s="567" t="s">
        <v>121</v>
      </c>
      <c r="F2476" s="568"/>
      <c r="G2476" s="567" t="s">
        <v>122</v>
      </c>
      <c r="H2476" s="568"/>
      <c r="I2476" s="567" t="s">
        <v>123</v>
      </c>
      <c r="J2476" s="568"/>
      <c r="K2476" s="567" t="s">
        <v>124</v>
      </c>
      <c r="L2476" s="569"/>
    </row>
    <row r="2477" spans="1:12">
      <c r="A2477" s="101"/>
      <c r="B2477" s="601"/>
      <c r="C2477" s="570" t="s">
        <v>125</v>
      </c>
      <c r="D2477" s="571"/>
      <c r="E2477" s="577" t="s">
        <v>126</v>
      </c>
      <c r="F2477" s="578"/>
      <c r="G2477" s="579" t="s">
        <v>127</v>
      </c>
      <c r="H2477" s="580"/>
      <c r="I2477" s="581" t="s">
        <v>128</v>
      </c>
      <c r="J2477" s="582"/>
      <c r="K2477" s="583" t="s">
        <v>129</v>
      </c>
      <c r="L2477" s="584"/>
    </row>
    <row r="2478" spans="1:12">
      <c r="A2478" s="101"/>
      <c r="B2478" s="602"/>
      <c r="C2478" s="567" t="s">
        <v>130</v>
      </c>
      <c r="D2478" s="568"/>
      <c r="E2478" s="567" t="s">
        <v>131</v>
      </c>
      <c r="F2478" s="568"/>
      <c r="G2478" s="585" t="s">
        <v>132</v>
      </c>
      <c r="H2478" s="568"/>
      <c r="I2478" s="567" t="s">
        <v>133</v>
      </c>
      <c r="J2478" s="568"/>
      <c r="K2478" s="567" t="s">
        <v>134</v>
      </c>
      <c r="L2478" s="569"/>
    </row>
    <row r="2479" spans="1:12">
      <c r="A2479" s="101"/>
      <c r="B2479" s="72" t="s">
        <v>135</v>
      </c>
      <c r="C2479" s="559" t="str">
        <f ca="1">OFFSET('Bateria indicadores proceso'!$Y$3,(RIGHT(A2458,3)),1)</f>
        <v>Matriz de asignación y atención de proyectos de actos administrativos requeridos a la Dirección Jurídica</v>
      </c>
      <c r="D2479" s="559"/>
      <c r="E2479" s="559"/>
      <c r="F2479" s="559"/>
      <c r="G2479" s="559"/>
      <c r="H2479" s="559"/>
      <c r="I2479" s="559"/>
      <c r="J2479" s="559"/>
      <c r="K2479" s="559"/>
      <c r="L2479" s="560"/>
    </row>
    <row r="2480" spans="1:12">
      <c r="A2480" s="101"/>
      <c r="B2480" s="591" t="s">
        <v>136</v>
      </c>
      <c r="C2480" s="561" t="s">
        <v>137</v>
      </c>
      <c r="D2480" s="561"/>
      <c r="E2480" s="561"/>
      <c r="F2480" s="562" t="str">
        <f ca="1">OFFSET('Bateria indicadores proceso'!$B$3,(RIGHT(A2458,3)),1)</f>
        <v>GESTIÓN JURÍDICA</v>
      </c>
      <c r="G2480" s="562"/>
      <c r="H2480" s="562"/>
      <c r="I2480" s="562"/>
      <c r="J2480" s="562"/>
      <c r="K2480" s="562"/>
      <c r="L2480" s="563"/>
    </row>
    <row r="2481" spans="1:12">
      <c r="A2481" s="101"/>
      <c r="B2481" s="592"/>
      <c r="C2481" s="561" t="s">
        <v>138</v>
      </c>
      <c r="D2481" s="561"/>
      <c r="E2481" s="561"/>
      <c r="F2481" s="564">
        <f ca="1">OFFSET('Bateria indicadores proceso'!$C$3,(RIGHT(A2458,3)),1)</f>
        <v>1</v>
      </c>
      <c r="G2481" s="564"/>
      <c r="H2481" s="564"/>
      <c r="I2481" s="564"/>
      <c r="J2481" s="564"/>
      <c r="K2481" s="564"/>
      <c r="L2481" s="565"/>
    </row>
    <row r="2482" spans="1:12" ht="15.75" thickBot="1">
      <c r="A2482" s="101"/>
      <c r="B2482" s="592"/>
      <c r="C2482" s="561" t="s">
        <v>139</v>
      </c>
      <c r="D2482" s="561"/>
      <c r="E2482" s="561"/>
      <c r="F2482" s="564">
        <f ca="1">OFFSET('Bateria indicadores proceso'!$E$3,(RIGHT(A2458,3)),1)</f>
        <v>0.22</v>
      </c>
      <c r="G2482" s="564"/>
      <c r="H2482" s="564"/>
      <c r="I2482" s="564"/>
      <c r="J2482" s="564"/>
      <c r="K2482" s="564"/>
      <c r="L2482" s="565"/>
    </row>
    <row r="2483" spans="1:12" ht="16.5" thickBot="1">
      <c r="A2483" s="101"/>
      <c r="B2483" s="572" t="s">
        <v>140</v>
      </c>
      <c r="C2483" s="573"/>
      <c r="D2483" s="573"/>
      <c r="E2483" s="573"/>
      <c r="F2483" s="573"/>
      <c r="G2483" s="573"/>
      <c r="H2483" s="573"/>
      <c r="I2483" s="573"/>
      <c r="J2483" s="573"/>
      <c r="K2483" s="573"/>
      <c r="L2483" s="574"/>
    </row>
    <row r="2484" spans="1:12">
      <c r="A2484" s="101"/>
      <c r="B2484" s="72" t="s">
        <v>142</v>
      </c>
      <c r="C2484" s="561" t="str">
        <f ca="1">OFFSET('Bateria indicadores proceso'!$G$3,(RIGHT(A2458,3)),1)</f>
        <v>Director</v>
      </c>
      <c r="D2484" s="561"/>
      <c r="E2484" s="561"/>
      <c r="F2484" s="561"/>
      <c r="G2484" s="561"/>
      <c r="H2484" s="561"/>
      <c r="I2484" s="561"/>
      <c r="J2484" s="561"/>
      <c r="K2484" s="561"/>
      <c r="L2484" s="566"/>
    </row>
    <row r="2485" spans="1:12">
      <c r="A2485" s="101"/>
      <c r="B2485" s="72" t="s">
        <v>143</v>
      </c>
      <c r="C2485" s="561" t="str">
        <f ca="1">OFFSET('Bateria indicadores proceso'!$F$3,(RIGHT(A2458,3)),1)</f>
        <v>Dirección Jurídica</v>
      </c>
      <c r="D2485" s="561"/>
      <c r="E2485" s="561"/>
      <c r="F2485" s="561"/>
      <c r="G2485" s="561"/>
      <c r="H2485" s="561"/>
      <c r="I2485" s="561"/>
      <c r="J2485" s="561"/>
      <c r="K2485" s="561"/>
      <c r="L2485" s="566"/>
    </row>
    <row r="2486" spans="1:12">
      <c r="A2486" s="101"/>
      <c r="B2486" s="72" t="s">
        <v>144</v>
      </c>
      <c r="C2486" s="598" t="str">
        <f ca="1">OFFSET('Bateria indicadores proceso'!$H$3,(RIGHT(A2422,3)),1)</f>
        <v>juan.duran@mininterior.gov.co.</v>
      </c>
      <c r="D2486" s="598"/>
      <c r="E2486" s="598"/>
      <c r="F2486" s="598"/>
      <c r="G2486" s="598"/>
      <c r="H2486" s="598"/>
      <c r="I2486" s="598"/>
      <c r="J2486" s="598"/>
      <c r="K2486" s="598"/>
      <c r="L2486" s="599"/>
    </row>
    <row r="2487" spans="1:12" ht="15.75" thickBot="1">
      <c r="A2487" s="104"/>
      <c r="B2487" s="74" t="s">
        <v>145</v>
      </c>
      <c r="C2487" s="596" t="s">
        <v>146</v>
      </c>
      <c r="D2487" s="596"/>
      <c r="E2487" s="596"/>
      <c r="F2487" s="596"/>
      <c r="G2487" s="596"/>
      <c r="H2487" s="596"/>
      <c r="I2487" s="596"/>
      <c r="J2487" s="596"/>
      <c r="K2487" s="596"/>
      <c r="L2487" s="597"/>
    </row>
    <row r="2488" spans="1:12" ht="15.75" thickBot="1"/>
    <row r="2489" spans="1:12" ht="21.75" thickBot="1">
      <c r="A2489" s="586" t="s">
        <v>89</v>
      </c>
      <c r="B2489" s="587"/>
      <c r="C2489" s="587"/>
      <c r="D2489" s="587"/>
      <c r="E2489" s="587"/>
      <c r="F2489" s="587"/>
      <c r="G2489" s="587"/>
      <c r="H2489" s="587"/>
      <c r="I2489" s="587"/>
      <c r="J2489" s="587"/>
      <c r="K2489" s="587"/>
      <c r="L2489" s="588"/>
    </row>
    <row r="2490" spans="1:12" ht="32.25" thickBot="1">
      <c r="A2490" s="69" t="s">
        <v>90</v>
      </c>
      <c r="B2490" s="589" t="s">
        <v>91</v>
      </c>
      <c r="C2490" s="589"/>
      <c r="D2490" s="589"/>
      <c r="E2490" s="589"/>
      <c r="F2490" s="589"/>
      <c r="G2490" s="589"/>
      <c r="H2490" s="589"/>
      <c r="I2490" s="589"/>
      <c r="J2490" s="589"/>
      <c r="K2490" s="589"/>
      <c r="L2490" s="589"/>
    </row>
    <row r="2491" spans="1:12" ht="16.5" thickBot="1">
      <c r="A2491" s="100"/>
      <c r="B2491" s="71" t="s">
        <v>92</v>
      </c>
      <c r="C2491" s="575" t="s">
        <v>93</v>
      </c>
      <c r="D2491" s="575"/>
      <c r="E2491" s="575"/>
      <c r="F2491" s="575"/>
      <c r="G2491" s="575"/>
      <c r="H2491" s="575"/>
      <c r="I2491" s="575"/>
      <c r="J2491" s="575"/>
      <c r="K2491" s="575"/>
      <c r="L2491" s="576"/>
    </row>
    <row r="2492" spans="1:12" ht="16.5" thickBot="1">
      <c r="A2492" s="101"/>
      <c r="B2492" s="589" t="s">
        <v>94</v>
      </c>
      <c r="C2492" s="590"/>
      <c r="D2492" s="590"/>
      <c r="E2492" s="590"/>
      <c r="F2492" s="590"/>
      <c r="G2492" s="590"/>
      <c r="H2492" s="590"/>
      <c r="I2492" s="590"/>
      <c r="J2492" s="590"/>
      <c r="K2492" s="590"/>
      <c r="L2492" s="590"/>
    </row>
    <row r="2493" spans="1:12">
      <c r="A2493" s="101"/>
      <c r="B2493" s="71" t="s">
        <v>95</v>
      </c>
      <c r="C2493" s="559" t="s">
        <v>96</v>
      </c>
      <c r="D2493" s="559"/>
      <c r="E2493" s="559"/>
      <c r="F2493" s="559"/>
      <c r="G2493" s="559"/>
      <c r="H2493" s="559"/>
      <c r="I2493" s="559"/>
      <c r="J2493" s="559"/>
      <c r="K2493" s="559"/>
      <c r="L2493" s="560"/>
    </row>
    <row r="2494" spans="1:12">
      <c r="A2494" s="102" t="s">
        <v>215</v>
      </c>
      <c r="B2494" s="72" t="s">
        <v>98</v>
      </c>
      <c r="C2494" s="559" t="str">
        <f ca="1">OFFSET('Bateria indicadores proceso'!$F$3,(RIGHT(A2494,3)),1)</f>
        <v>Dirección Jurídica</v>
      </c>
      <c r="D2494" s="559"/>
      <c r="E2494" s="559"/>
      <c r="F2494" s="559"/>
      <c r="G2494" s="559"/>
      <c r="H2494" s="559"/>
      <c r="I2494" s="559"/>
      <c r="J2494" s="559"/>
      <c r="K2494" s="559"/>
      <c r="L2494" s="560"/>
    </row>
    <row r="2495" spans="1:12">
      <c r="A2495" s="101"/>
      <c r="B2495" s="72" t="s">
        <v>99</v>
      </c>
      <c r="C2495" s="559" t="str">
        <f ca="1">OFFSET('Bateria indicadores proceso'!$K$3,(RIGHT(A2494,3)),1)</f>
        <v>Informes enviados a los clientes internos y externos conforme a las funciones de la Dirección Jurídica</v>
      </c>
      <c r="D2495" s="559"/>
      <c r="E2495" s="559"/>
      <c r="F2495" s="559"/>
      <c r="G2495" s="559"/>
      <c r="H2495" s="559"/>
      <c r="I2495" s="559"/>
      <c r="J2495" s="559"/>
      <c r="K2495" s="559"/>
      <c r="L2495" s="560"/>
    </row>
    <row r="2496" spans="1:12">
      <c r="A2496" s="101"/>
      <c r="B2496" s="72" t="s">
        <v>100</v>
      </c>
      <c r="C2496" s="559" t="str">
        <f ca="1">OFFSET('Bateria indicadores proceso'!$I$3,(RIGHT(A2494,3)),1)</f>
        <v>Eficacia</v>
      </c>
      <c r="D2496" s="559"/>
      <c r="E2496" s="559"/>
      <c r="F2496" s="559"/>
      <c r="G2496" s="559"/>
      <c r="H2496" s="559"/>
      <c r="I2496" s="559"/>
      <c r="J2496" s="559"/>
      <c r="K2496" s="559"/>
      <c r="L2496" s="560"/>
    </row>
    <row r="2497" spans="1:12" ht="15.75" thickBot="1">
      <c r="A2497" s="103"/>
      <c r="B2497" s="73" t="s">
        <v>101</v>
      </c>
      <c r="C2497" s="559" t="str">
        <f ca="1">OFFSET('Bateria indicadores proceso'!$J$3,(RIGHT(A2494,3)),1)</f>
        <v>Brindar respuesta a los informes que le sean requeridos a la Dirección Jurídica en el marco de sus funciones.</v>
      </c>
      <c r="D2497" s="559"/>
      <c r="E2497" s="559"/>
      <c r="F2497" s="559"/>
      <c r="G2497" s="559"/>
      <c r="H2497" s="559"/>
      <c r="I2497" s="559"/>
      <c r="J2497" s="559"/>
      <c r="K2497" s="559"/>
      <c r="L2497" s="560"/>
    </row>
    <row r="2498" spans="1:12" ht="16.5" thickBot="1">
      <c r="A2498" s="103"/>
      <c r="B2498" s="572" t="s">
        <v>102</v>
      </c>
      <c r="C2498" s="573"/>
      <c r="D2498" s="573"/>
      <c r="E2498" s="573"/>
      <c r="F2498" s="573"/>
      <c r="G2498" s="573"/>
      <c r="H2498" s="573"/>
      <c r="I2498" s="573"/>
      <c r="J2498" s="573"/>
      <c r="K2498" s="573"/>
      <c r="L2498" s="574"/>
    </row>
    <row r="2499" spans="1:12">
      <c r="A2499" s="101"/>
      <c r="B2499" s="71" t="s">
        <v>103</v>
      </c>
      <c r="C2499" s="559" t="str">
        <f ca="1">OFFSET('Bateria indicadores proceso'!$O$3,(RIGHT(A2494,3)),1)</f>
        <v>Porcentaje</v>
      </c>
      <c r="D2499" s="559"/>
      <c r="E2499" s="559"/>
      <c r="F2499" s="559"/>
      <c r="G2499" s="559"/>
      <c r="H2499" s="559"/>
      <c r="I2499" s="559"/>
      <c r="J2499" s="559"/>
      <c r="K2499" s="559"/>
      <c r="L2499" s="560"/>
    </row>
    <row r="2500" spans="1:12" ht="24">
      <c r="A2500" s="101"/>
      <c r="B2500" s="72" t="s">
        <v>104</v>
      </c>
      <c r="C2500" s="559"/>
      <c r="D2500" s="559"/>
      <c r="E2500" s="559"/>
      <c r="F2500" s="559"/>
      <c r="G2500" s="559"/>
      <c r="H2500" s="559"/>
      <c r="I2500" s="559"/>
      <c r="J2500" s="559"/>
      <c r="K2500" s="559"/>
      <c r="L2500" s="560"/>
    </row>
    <row r="2501" spans="1:12">
      <c r="A2501" s="101"/>
      <c r="B2501" s="72" t="s">
        <v>105</v>
      </c>
      <c r="C2501" s="559" t="str">
        <f ca="1">OFFSET('Bateria indicadores proceso'!$L$3,(RIGHT(A2494,3)),1)</f>
        <v>(Número de informes enviados a los clientes internos y externos / Total de informes solicitados por los clientes internos y externos )*100</v>
      </c>
      <c r="D2501" s="559"/>
      <c r="E2501" s="559"/>
      <c r="F2501" s="559"/>
      <c r="G2501" s="559"/>
      <c r="H2501" s="559"/>
      <c r="I2501" s="559"/>
      <c r="J2501" s="559"/>
      <c r="K2501" s="559"/>
      <c r="L2501" s="560"/>
    </row>
    <row r="2502" spans="1:12">
      <c r="A2502" s="101"/>
      <c r="B2502" s="72" t="s">
        <v>106</v>
      </c>
      <c r="C2502" s="559" t="str">
        <f ca="1">OFFSET('Bateria indicadores proceso'!$Z$3,(RIGHT(A2494,3)),1)</f>
        <v>Trimestral</v>
      </c>
      <c r="D2502" s="559"/>
      <c r="E2502" s="559"/>
      <c r="F2502" s="559"/>
      <c r="G2502" s="559"/>
      <c r="H2502" s="559"/>
      <c r="I2502" s="559"/>
      <c r="J2502" s="559"/>
      <c r="K2502" s="559"/>
      <c r="L2502" s="560"/>
    </row>
    <row r="2503" spans="1:12">
      <c r="A2503" s="101"/>
      <c r="B2503" s="72" t="s">
        <v>107</v>
      </c>
      <c r="C2503" s="559" t="str">
        <f ca="1">OFFSET('Bateria indicadores proceso'!$X$3,(RIGHT(A2494,3)),1)</f>
        <v>Reporte sistema Control Doc</v>
      </c>
      <c r="D2503" s="559"/>
      <c r="E2503" s="559"/>
      <c r="F2503" s="559"/>
      <c r="G2503" s="559"/>
      <c r="H2503" s="559"/>
      <c r="I2503" s="559"/>
      <c r="J2503" s="559"/>
      <c r="K2503" s="559"/>
      <c r="L2503" s="560"/>
    </row>
    <row r="2504" spans="1:12">
      <c r="A2504" s="101"/>
      <c r="B2504" s="72" t="s">
        <v>108</v>
      </c>
      <c r="C2504" s="561">
        <f ca="1">OFFSET('Bateria indicadores proceso'!$P$3,(RIGHT(A2494,3)),1)</f>
        <v>2024</v>
      </c>
      <c r="D2504" s="561"/>
      <c r="E2504" s="561"/>
      <c r="F2504" s="561"/>
      <c r="G2504" s="561"/>
      <c r="H2504" s="561"/>
      <c r="I2504" s="561"/>
      <c r="J2504" s="561"/>
      <c r="K2504" s="561"/>
      <c r="L2504" s="566"/>
    </row>
    <row r="2505" spans="1:12">
      <c r="A2505" s="101"/>
      <c r="B2505" s="72" t="s">
        <v>109</v>
      </c>
      <c r="C2505" s="561" t="str">
        <f ca="1">IF(C2499="Número",TEXT(OFFSET('Bateria indicadores proceso'!$Q$3,(RIGHT(A2494,3)),1),"######"),TEXT(OFFSET('Bateria indicadores proceso'!$Q$3,(RIGHT(A2494,3)),1),"0.0%"))</f>
        <v>100%</v>
      </c>
      <c r="D2505" s="561"/>
      <c r="E2505" s="561"/>
      <c r="F2505" s="561"/>
      <c r="G2505" s="561"/>
      <c r="H2505" s="561"/>
      <c r="I2505" s="561"/>
      <c r="J2505" s="561"/>
      <c r="K2505" s="561"/>
      <c r="L2505" s="566"/>
    </row>
    <row r="2506" spans="1:12">
      <c r="A2506" s="101"/>
      <c r="B2506" s="72" t="s">
        <v>110</v>
      </c>
      <c r="C2506" s="593">
        <f ca="1">+OFFSET('Bateria indicadores proceso'!$R$3,(RIGHT(A2494,3)),1)</f>
        <v>46022</v>
      </c>
      <c r="D2506" s="593"/>
      <c r="E2506" s="593"/>
      <c r="F2506" s="593"/>
      <c r="G2506" s="593"/>
      <c r="H2506" s="593"/>
      <c r="I2506" s="593"/>
      <c r="J2506" s="593"/>
      <c r="K2506" s="593"/>
      <c r="L2506" s="594"/>
    </row>
    <row r="2507" spans="1:12">
      <c r="A2507" s="101"/>
      <c r="B2507" s="72" t="s">
        <v>111</v>
      </c>
      <c r="C2507" s="561" t="str">
        <f ca="1">OFFSET('Bateria indicadores proceso'!$M$3,(RIGHT(A2494,3)),1)</f>
        <v>Mantener</v>
      </c>
      <c r="D2507" s="561"/>
      <c r="E2507" s="561"/>
      <c r="F2507" s="561"/>
      <c r="G2507" s="561"/>
      <c r="H2507" s="561"/>
      <c r="I2507" s="561"/>
      <c r="J2507" s="561"/>
      <c r="K2507" s="561"/>
      <c r="L2507" s="566"/>
    </row>
    <row r="2508" spans="1:12">
      <c r="A2508" s="101"/>
      <c r="B2508" s="72" t="s">
        <v>112</v>
      </c>
      <c r="C2508" s="561" t="str">
        <f ca="1">OFFSET('Bateria indicadores proceso'!$N$3,(RIGHT(A2494,3)),1)</f>
        <v>Acumulado</v>
      </c>
      <c r="D2508" s="561"/>
      <c r="E2508" s="561"/>
      <c r="F2508" s="561"/>
      <c r="G2508" s="561"/>
      <c r="H2508" s="561"/>
      <c r="I2508" s="561"/>
      <c r="J2508" s="561"/>
      <c r="K2508" s="561"/>
      <c r="L2508" s="566"/>
    </row>
    <row r="2509" spans="1:12">
      <c r="A2509" s="101"/>
      <c r="B2509" s="72" t="s">
        <v>113</v>
      </c>
      <c r="C2509" s="561" t="str">
        <f ca="1">IF(C2499="Número",TEXT(OFFSET('Bateria indicadores proceso'!$W$3,(RIGHT(A2494,3)),1),"######"),TEXT(OFFSET('Bateria indicadores proceso'!$W$3,(RIGHT(A2494,3)),1),"0.0%"))</f>
        <v>100%</v>
      </c>
      <c r="D2509" s="561"/>
      <c r="E2509" s="561"/>
      <c r="F2509" s="561"/>
      <c r="G2509" s="561"/>
      <c r="H2509" s="561"/>
      <c r="I2509" s="561"/>
      <c r="J2509" s="561"/>
      <c r="K2509" s="561"/>
      <c r="L2509" s="566"/>
    </row>
    <row r="2510" spans="1:12">
      <c r="A2510" s="101"/>
      <c r="B2510" s="595" t="s">
        <v>114</v>
      </c>
      <c r="C2510" s="70" t="s">
        <v>115</v>
      </c>
      <c r="D2510" s="70" t="s">
        <v>116</v>
      </c>
      <c r="E2510" s="70" t="s">
        <v>117</v>
      </c>
      <c r="F2510" s="70" t="s">
        <v>118</v>
      </c>
      <c r="J2510" s="75"/>
      <c r="K2510" s="75"/>
      <c r="L2510" s="76"/>
    </row>
    <row r="2511" spans="1:12">
      <c r="A2511" s="101"/>
      <c r="B2511" s="595"/>
      <c r="C2511" s="70" t="str">
        <f ca="1">IF(C2499="Número",TEXT(OFFSET('Bateria indicadores proceso'!$S$3,(RIGHT(A2494,3)),1),"######"),TEXT(OFFSET('Bateria indicadores proceso'!$S$3,(RIGHT(A2494,3)),1),"0.0%"))</f>
        <v>100%</v>
      </c>
      <c r="D2511" s="70" t="str">
        <f ca="1">IF(C2499="Número",TEXT(OFFSET('Bateria indicadores proceso'!$T$3,(RIGHT(A2494,3)),1),"######"),TEXT(OFFSET('Bateria indicadores proceso'!$T$3,(RIGHT(A2494,3)),1),"0.0%"))</f>
        <v>100%</v>
      </c>
      <c r="E2511" s="70" t="str">
        <f ca="1">IF(C2499="Número",TEXT(OFFSET('Bateria indicadores proceso'!$U$3,(RIGHT(A2494,3)),1),"######"),TEXT(OFFSET('Bateria indicadores proceso'!$U$3,(RIGHT(A2494,3)),1),"0.0%"))</f>
        <v>100%</v>
      </c>
      <c r="F2511" s="70" t="str">
        <f ca="1">IF(C2499="Número",TEXT(OFFSET('Bateria indicadores proceso'!$V$3,(RIGHT(A2494,3)),1),"######"),TEXT(OFFSET('Bateria indicadores proceso'!$V$3,(RIGHT(A2494,3)),1),"0.0%"))</f>
        <v>100%</v>
      </c>
      <c r="J2511" s="77"/>
      <c r="K2511" s="77"/>
      <c r="L2511" s="78"/>
    </row>
    <row r="2512" spans="1:12">
      <c r="A2512" s="101"/>
      <c r="B2512" s="600" t="s">
        <v>119</v>
      </c>
      <c r="C2512" s="567" t="s">
        <v>120</v>
      </c>
      <c r="D2512" s="568"/>
      <c r="E2512" s="567" t="s">
        <v>121</v>
      </c>
      <c r="F2512" s="568"/>
      <c r="G2512" s="567" t="s">
        <v>122</v>
      </c>
      <c r="H2512" s="568"/>
      <c r="I2512" s="567" t="s">
        <v>123</v>
      </c>
      <c r="J2512" s="568"/>
      <c r="K2512" s="567" t="s">
        <v>124</v>
      </c>
      <c r="L2512" s="569"/>
    </row>
    <row r="2513" spans="1:12">
      <c r="A2513" s="101"/>
      <c r="B2513" s="601"/>
      <c r="C2513" s="570" t="s">
        <v>125</v>
      </c>
      <c r="D2513" s="571"/>
      <c r="E2513" s="577" t="s">
        <v>126</v>
      </c>
      <c r="F2513" s="578"/>
      <c r="G2513" s="579" t="s">
        <v>127</v>
      </c>
      <c r="H2513" s="580"/>
      <c r="I2513" s="581" t="s">
        <v>128</v>
      </c>
      <c r="J2513" s="582"/>
      <c r="K2513" s="583" t="s">
        <v>129</v>
      </c>
      <c r="L2513" s="584"/>
    </row>
    <row r="2514" spans="1:12">
      <c r="A2514" s="101"/>
      <c r="B2514" s="602"/>
      <c r="C2514" s="567" t="s">
        <v>130</v>
      </c>
      <c r="D2514" s="568"/>
      <c r="E2514" s="567" t="s">
        <v>131</v>
      </c>
      <c r="F2514" s="568"/>
      <c r="G2514" s="585" t="s">
        <v>132</v>
      </c>
      <c r="H2514" s="568"/>
      <c r="I2514" s="567" t="s">
        <v>133</v>
      </c>
      <c r="J2514" s="568"/>
      <c r="K2514" s="567" t="s">
        <v>134</v>
      </c>
      <c r="L2514" s="569"/>
    </row>
    <row r="2515" spans="1:12">
      <c r="A2515" s="101"/>
      <c r="B2515" s="72" t="s">
        <v>135</v>
      </c>
      <c r="C2515" s="559" t="str">
        <f ca="1">OFFSET('Bateria indicadores proceso'!$Y$3,(RIGHT(A2494,3)),1)</f>
        <v>Reporte sistema Control Doc</v>
      </c>
      <c r="D2515" s="559"/>
      <c r="E2515" s="559"/>
      <c r="F2515" s="559"/>
      <c r="G2515" s="559"/>
      <c r="H2515" s="559"/>
      <c r="I2515" s="559"/>
      <c r="J2515" s="559"/>
      <c r="K2515" s="559"/>
      <c r="L2515" s="560"/>
    </row>
    <row r="2516" spans="1:12">
      <c r="A2516" s="101"/>
      <c r="B2516" s="591" t="s">
        <v>136</v>
      </c>
      <c r="C2516" s="561" t="s">
        <v>137</v>
      </c>
      <c r="D2516" s="561"/>
      <c r="E2516" s="561"/>
      <c r="F2516" s="562" t="str">
        <f ca="1">OFFSET('Bateria indicadores proceso'!$B$3,(RIGHT(A2494,3)),1)</f>
        <v>GESTIÓN JURÍDICA</v>
      </c>
      <c r="G2516" s="562"/>
      <c r="H2516" s="562"/>
      <c r="I2516" s="562"/>
      <c r="J2516" s="562"/>
      <c r="K2516" s="562"/>
      <c r="L2516" s="563"/>
    </row>
    <row r="2517" spans="1:12">
      <c r="A2517" s="101"/>
      <c r="B2517" s="592"/>
      <c r="C2517" s="561" t="s">
        <v>138</v>
      </c>
      <c r="D2517" s="561"/>
      <c r="E2517" s="561"/>
      <c r="F2517" s="564">
        <f ca="1">OFFSET('Bateria indicadores proceso'!$C$3,(RIGHT(A2494,3)),1)</f>
        <v>1</v>
      </c>
      <c r="G2517" s="564"/>
      <c r="H2517" s="564"/>
      <c r="I2517" s="564"/>
      <c r="J2517" s="564"/>
      <c r="K2517" s="564"/>
      <c r="L2517" s="565"/>
    </row>
    <row r="2518" spans="1:12" ht="15.75" thickBot="1">
      <c r="A2518" s="101"/>
      <c r="B2518" s="592"/>
      <c r="C2518" s="561" t="s">
        <v>139</v>
      </c>
      <c r="D2518" s="561"/>
      <c r="E2518" s="561"/>
      <c r="F2518" s="564">
        <f ca="1">OFFSET('Bateria indicadores proceso'!$E$3,(RIGHT(A2494,3)),1)</f>
        <v>0.12</v>
      </c>
      <c r="G2518" s="564"/>
      <c r="H2518" s="564"/>
      <c r="I2518" s="564"/>
      <c r="J2518" s="564"/>
      <c r="K2518" s="564"/>
      <c r="L2518" s="565"/>
    </row>
    <row r="2519" spans="1:12" ht="16.5" thickBot="1">
      <c r="A2519" s="101"/>
      <c r="B2519" s="572" t="s">
        <v>140</v>
      </c>
      <c r="C2519" s="573"/>
      <c r="D2519" s="573"/>
      <c r="E2519" s="573"/>
      <c r="F2519" s="573"/>
      <c r="G2519" s="573"/>
      <c r="H2519" s="573"/>
      <c r="I2519" s="573"/>
      <c r="J2519" s="573"/>
      <c r="K2519" s="573"/>
      <c r="L2519" s="574"/>
    </row>
    <row r="2520" spans="1:12">
      <c r="A2520" s="101"/>
      <c r="B2520" s="72" t="s">
        <v>142</v>
      </c>
      <c r="C2520" s="561" t="str">
        <f ca="1">OFFSET('Bateria indicadores proceso'!$G$3,(RIGHT(A2494,3)),1)</f>
        <v>Director</v>
      </c>
      <c r="D2520" s="561"/>
      <c r="E2520" s="561"/>
      <c r="F2520" s="561"/>
      <c r="G2520" s="561"/>
      <c r="H2520" s="561"/>
      <c r="I2520" s="561"/>
      <c r="J2520" s="561"/>
      <c r="K2520" s="561"/>
      <c r="L2520" s="566"/>
    </row>
    <row r="2521" spans="1:12">
      <c r="A2521" s="101"/>
      <c r="B2521" s="72" t="s">
        <v>143</v>
      </c>
      <c r="C2521" s="561" t="str">
        <f ca="1">OFFSET('Bateria indicadores proceso'!$F$3,(RIGHT(A2494,3)),1)</f>
        <v>Dirección Jurídica</v>
      </c>
      <c r="D2521" s="561"/>
      <c r="E2521" s="561"/>
      <c r="F2521" s="561"/>
      <c r="G2521" s="561"/>
      <c r="H2521" s="561"/>
      <c r="I2521" s="561"/>
      <c r="J2521" s="561"/>
      <c r="K2521" s="561"/>
      <c r="L2521" s="566"/>
    </row>
    <row r="2522" spans="1:12">
      <c r="A2522" s="101"/>
      <c r="B2522" s="72" t="s">
        <v>144</v>
      </c>
      <c r="C2522" s="598" t="str">
        <f ca="1">OFFSET('Bateria indicadores proceso'!$H$3,(RIGHT(A2494,3)),1)</f>
        <v>juan.duran@mininterior.gov.co.</v>
      </c>
      <c r="D2522" s="598"/>
      <c r="E2522" s="598"/>
      <c r="F2522" s="598"/>
      <c r="G2522" s="598"/>
      <c r="H2522" s="598"/>
      <c r="I2522" s="598"/>
      <c r="J2522" s="598"/>
      <c r="K2522" s="598"/>
      <c r="L2522" s="599"/>
    </row>
    <row r="2523" spans="1:12" ht="15.75" thickBot="1">
      <c r="A2523" s="104"/>
      <c r="B2523" s="74" t="s">
        <v>145</v>
      </c>
      <c r="C2523" s="596" t="s">
        <v>146</v>
      </c>
      <c r="D2523" s="596"/>
      <c r="E2523" s="596"/>
      <c r="F2523" s="596"/>
      <c r="G2523" s="596"/>
      <c r="H2523" s="596"/>
      <c r="I2523" s="596"/>
      <c r="J2523" s="596"/>
      <c r="K2523" s="596"/>
      <c r="L2523" s="597"/>
    </row>
    <row r="2524" spans="1:12" ht="15.75" thickBot="1"/>
    <row r="2525" spans="1:12" ht="21.75" thickBot="1">
      <c r="A2525" s="586" t="s">
        <v>89</v>
      </c>
      <c r="B2525" s="587"/>
      <c r="C2525" s="587"/>
      <c r="D2525" s="587"/>
      <c r="E2525" s="587"/>
      <c r="F2525" s="587"/>
      <c r="G2525" s="587"/>
      <c r="H2525" s="587"/>
      <c r="I2525" s="587"/>
      <c r="J2525" s="587"/>
      <c r="K2525" s="587"/>
      <c r="L2525" s="588"/>
    </row>
    <row r="2526" spans="1:12" ht="32.25" thickBot="1">
      <c r="A2526" s="69" t="s">
        <v>90</v>
      </c>
      <c r="B2526" s="589" t="s">
        <v>91</v>
      </c>
      <c r="C2526" s="589"/>
      <c r="D2526" s="589"/>
      <c r="E2526" s="589"/>
      <c r="F2526" s="589"/>
      <c r="G2526" s="589"/>
      <c r="H2526" s="589"/>
      <c r="I2526" s="589"/>
      <c r="J2526" s="589"/>
      <c r="K2526" s="589"/>
      <c r="L2526" s="589"/>
    </row>
    <row r="2527" spans="1:12" ht="16.5" thickBot="1">
      <c r="A2527" s="100"/>
      <c r="B2527" s="71" t="s">
        <v>92</v>
      </c>
      <c r="C2527" s="575" t="s">
        <v>93</v>
      </c>
      <c r="D2527" s="575"/>
      <c r="E2527" s="575"/>
      <c r="F2527" s="575"/>
      <c r="G2527" s="575"/>
      <c r="H2527" s="575"/>
      <c r="I2527" s="575"/>
      <c r="J2527" s="575"/>
      <c r="K2527" s="575"/>
      <c r="L2527" s="576"/>
    </row>
    <row r="2528" spans="1:12" ht="16.5" thickBot="1">
      <c r="A2528" s="101"/>
      <c r="B2528" s="589" t="s">
        <v>94</v>
      </c>
      <c r="C2528" s="590"/>
      <c r="D2528" s="590"/>
      <c r="E2528" s="590"/>
      <c r="F2528" s="590"/>
      <c r="G2528" s="590"/>
      <c r="H2528" s="590"/>
      <c r="I2528" s="590"/>
      <c r="J2528" s="590"/>
      <c r="K2528" s="590"/>
      <c r="L2528" s="590"/>
    </row>
    <row r="2529" spans="1:12">
      <c r="A2529" s="101"/>
      <c r="B2529" s="71" t="s">
        <v>95</v>
      </c>
      <c r="C2529" s="559" t="s">
        <v>96</v>
      </c>
      <c r="D2529" s="559"/>
      <c r="E2529" s="559"/>
      <c r="F2529" s="559"/>
      <c r="G2529" s="559"/>
      <c r="H2529" s="559"/>
      <c r="I2529" s="559"/>
      <c r="J2529" s="559"/>
      <c r="K2529" s="559"/>
      <c r="L2529" s="560"/>
    </row>
    <row r="2530" spans="1:12">
      <c r="A2530" s="102" t="s">
        <v>216</v>
      </c>
      <c r="B2530" s="72" t="s">
        <v>98</v>
      </c>
      <c r="C2530" s="559" t="str">
        <f ca="1">OFFSET('Bateria indicadores proceso'!$F$3,(RIGHT(A2530,3)),1)</f>
        <v>Oficina de Información Pública del Interior</v>
      </c>
      <c r="D2530" s="559"/>
      <c r="E2530" s="559"/>
      <c r="F2530" s="559"/>
      <c r="G2530" s="559"/>
      <c r="H2530" s="559"/>
      <c r="I2530" s="559"/>
      <c r="J2530" s="559"/>
      <c r="K2530" s="559"/>
      <c r="L2530" s="560"/>
    </row>
    <row r="2531" spans="1:12">
      <c r="A2531" s="101"/>
      <c r="B2531" s="72" t="s">
        <v>99</v>
      </c>
      <c r="C2531" s="559" t="str">
        <f ca="1">OFFSET('Bateria indicadores proceso'!$K$3,(RIGHT(A2530,3)),1)</f>
        <v xml:space="preserve">PQRSDF ATENDIDAS DENTRO DE LOS TERMINOS DE LEY											</v>
      </c>
      <c r="D2531" s="559"/>
      <c r="E2531" s="559"/>
      <c r="F2531" s="559"/>
      <c r="G2531" s="559"/>
      <c r="H2531" s="559"/>
      <c r="I2531" s="559"/>
      <c r="J2531" s="559"/>
      <c r="K2531" s="559"/>
      <c r="L2531" s="560"/>
    </row>
    <row r="2532" spans="1:12">
      <c r="A2532" s="101"/>
      <c r="B2532" s="72" t="s">
        <v>100</v>
      </c>
      <c r="C2532" s="559" t="str">
        <f ca="1">OFFSET('Bateria indicadores proceso'!$I$3,(RIGHT(A2530,3)),1)</f>
        <v>Eficiencia</v>
      </c>
      <c r="D2532" s="559"/>
      <c r="E2532" s="559"/>
      <c r="F2532" s="559"/>
      <c r="G2532" s="559"/>
      <c r="H2532" s="559"/>
      <c r="I2532" s="559"/>
      <c r="J2532" s="559"/>
      <c r="K2532" s="559"/>
      <c r="L2532" s="560"/>
    </row>
    <row r="2533" spans="1:12" ht="15.75" thickBot="1">
      <c r="A2533" s="103"/>
      <c r="B2533" s="73" t="s">
        <v>101</v>
      </c>
      <c r="C2533" s="559" t="str">
        <f ca="1">OFFSET('Bateria indicadores proceso'!$J$3,(RIGHT(A2530,3)),1)</f>
        <v xml:space="preserve">Este indicador mide los tiempos de respuesta de las PQRSDF mediante la data que arroja el sistema donde se gestionan, acorde con la tipología PQRSDF. Calcula si fue respondido o no, dentro o fuera de los tiempos de ley,asi mismo evalua la gestión frente a la respuesta institucional de todo el ministerio del interior, segregado por dependencias.Su orientación es aumentar.
Nota Aclaratoria: El grupo de Servicio al Ciudadano (OIP) solo se encarga de la medición y la presentación de los datos; las acciones correctivas -de llegarse a necesitarse- están a cargo de cada una de las dependencias de acuerdo con la normatividad vigente en la materia. "									</v>
      </c>
      <c r="D2533" s="559"/>
      <c r="E2533" s="559"/>
      <c r="F2533" s="559"/>
      <c r="G2533" s="559"/>
      <c r="H2533" s="559"/>
      <c r="I2533" s="559"/>
      <c r="J2533" s="559"/>
      <c r="K2533" s="559"/>
      <c r="L2533" s="560"/>
    </row>
    <row r="2534" spans="1:12" ht="16.5" thickBot="1">
      <c r="A2534" s="103"/>
      <c r="B2534" s="572" t="s">
        <v>102</v>
      </c>
      <c r="C2534" s="573"/>
      <c r="D2534" s="573"/>
      <c r="E2534" s="573"/>
      <c r="F2534" s="573"/>
      <c r="G2534" s="573"/>
      <c r="H2534" s="573"/>
      <c r="I2534" s="573"/>
      <c r="J2534" s="573"/>
      <c r="K2534" s="573"/>
      <c r="L2534" s="574"/>
    </row>
    <row r="2535" spans="1:12">
      <c r="A2535" s="101"/>
      <c r="B2535" s="71" t="s">
        <v>103</v>
      </c>
      <c r="C2535" s="559" t="str">
        <f ca="1">OFFSET('Bateria indicadores proceso'!$O$3,(RIGHT(A2530,3)),1)</f>
        <v>Porcentaje</v>
      </c>
      <c r="D2535" s="559"/>
      <c r="E2535" s="559"/>
      <c r="F2535" s="559"/>
      <c r="G2535" s="559"/>
      <c r="H2535" s="559"/>
      <c r="I2535" s="559"/>
      <c r="J2535" s="559"/>
      <c r="K2535" s="559"/>
      <c r="L2535" s="560"/>
    </row>
    <row r="2536" spans="1:12" ht="24">
      <c r="A2536" s="101"/>
      <c r="B2536" s="72" t="s">
        <v>104</v>
      </c>
      <c r="C2536" s="559"/>
      <c r="D2536" s="559"/>
      <c r="E2536" s="559"/>
      <c r="F2536" s="559"/>
      <c r="G2536" s="559"/>
      <c r="H2536" s="559"/>
      <c r="I2536" s="559"/>
      <c r="J2536" s="559"/>
      <c r="K2536" s="559"/>
      <c r="L2536" s="560"/>
    </row>
    <row r="2537" spans="1:12">
      <c r="A2537" s="101"/>
      <c r="B2537" s="72" t="s">
        <v>105</v>
      </c>
      <c r="C2537" s="559" t="str">
        <f ca="1">OFFSET('Bateria indicadores proceso'!$L$3,(RIGHT(A2530,3)),1)</f>
        <v xml:space="preserve">(Número de PQRSDF respondidas dentro de tiempo / Total de PQRSDF recibidas en el periodo de tiempo)*100									</v>
      </c>
      <c r="D2537" s="559"/>
      <c r="E2537" s="559"/>
      <c r="F2537" s="559"/>
      <c r="G2537" s="559"/>
      <c r="H2537" s="559"/>
      <c r="I2537" s="559"/>
      <c r="J2537" s="559"/>
      <c r="K2537" s="559"/>
      <c r="L2537" s="560"/>
    </row>
    <row r="2538" spans="1:12">
      <c r="A2538" s="101"/>
      <c r="B2538" s="72" t="s">
        <v>106</v>
      </c>
      <c r="C2538" s="559" t="str">
        <f ca="1">OFFSET('Bateria indicadores proceso'!$Z$3,(RIGHT(A2530,3)),1)</f>
        <v>Trimestral</v>
      </c>
      <c r="D2538" s="559"/>
      <c r="E2538" s="559"/>
      <c r="F2538" s="559"/>
      <c r="G2538" s="559"/>
      <c r="H2538" s="559"/>
      <c r="I2538" s="559"/>
      <c r="J2538" s="559"/>
      <c r="K2538" s="559"/>
      <c r="L2538" s="560"/>
    </row>
    <row r="2539" spans="1:12">
      <c r="A2539" s="101"/>
      <c r="B2539" s="72" t="s">
        <v>107</v>
      </c>
      <c r="C2539" s="559" t="str">
        <f ca="1">OFFSET('Bateria indicadores proceso'!$X$3,(RIGHT(A2530,3)),1)</f>
        <v xml:space="preserve">Sistemas de información donde se gestionen las PQRSDF									</v>
      </c>
      <c r="D2539" s="559"/>
      <c r="E2539" s="559"/>
      <c r="F2539" s="559"/>
      <c r="G2539" s="559"/>
      <c r="H2539" s="559"/>
      <c r="I2539" s="559"/>
      <c r="J2539" s="559"/>
      <c r="K2539" s="559"/>
      <c r="L2539" s="560"/>
    </row>
    <row r="2540" spans="1:12">
      <c r="A2540" s="101"/>
      <c r="B2540" s="72" t="s">
        <v>108</v>
      </c>
      <c r="C2540" s="561">
        <f ca="1">OFFSET('Bateria indicadores proceso'!$P$3,(RIGHT(A2530,3)),1)</f>
        <v>2025</v>
      </c>
      <c r="D2540" s="561"/>
      <c r="E2540" s="561"/>
      <c r="F2540" s="561"/>
      <c r="G2540" s="561"/>
      <c r="H2540" s="561"/>
      <c r="I2540" s="561"/>
      <c r="J2540" s="561"/>
      <c r="K2540" s="561"/>
      <c r="L2540" s="566"/>
    </row>
    <row r="2541" spans="1:12">
      <c r="A2541" s="101"/>
      <c r="B2541" s="72" t="s">
        <v>109</v>
      </c>
      <c r="C2541" s="561" t="str">
        <f ca="1">IF(C2535="Número",TEXT(OFFSET('Bateria indicadores proceso'!$Q$3,(RIGHT(A2530,3)),1),"######"),TEXT(OFFSET('Bateria indicadores proceso'!$Q$3,(RIGHT(A2530,3)),1),"0.0%"))</f>
        <v>37%</v>
      </c>
      <c r="D2541" s="561"/>
      <c r="E2541" s="561"/>
      <c r="F2541" s="561"/>
      <c r="G2541" s="561"/>
      <c r="H2541" s="561"/>
      <c r="I2541" s="561"/>
      <c r="J2541" s="561"/>
      <c r="K2541" s="561"/>
      <c r="L2541" s="566"/>
    </row>
    <row r="2542" spans="1:12">
      <c r="A2542" s="101"/>
      <c r="B2542" s="72" t="s">
        <v>110</v>
      </c>
      <c r="C2542" s="593">
        <f ca="1">+OFFSET('Bateria indicadores proceso'!$R$3,(RIGHT(A2530,3)),1)</f>
        <v>46022</v>
      </c>
      <c r="D2542" s="593"/>
      <c r="E2542" s="593"/>
      <c r="F2542" s="593"/>
      <c r="G2542" s="593"/>
      <c r="H2542" s="593"/>
      <c r="I2542" s="593"/>
      <c r="J2542" s="593"/>
      <c r="K2542" s="593"/>
      <c r="L2542" s="594"/>
    </row>
    <row r="2543" spans="1:12">
      <c r="A2543" s="101"/>
      <c r="B2543" s="72" t="s">
        <v>111</v>
      </c>
      <c r="C2543" s="561" t="str">
        <f ca="1">OFFSET('Bateria indicadores proceso'!$M$3,(RIGHT(A2530,3)),1)</f>
        <v>Incrementar</v>
      </c>
      <c r="D2543" s="561"/>
      <c r="E2543" s="561"/>
      <c r="F2543" s="561"/>
      <c r="G2543" s="561"/>
      <c r="H2543" s="561"/>
      <c r="I2543" s="561"/>
      <c r="J2543" s="561"/>
      <c r="K2543" s="561"/>
      <c r="L2543" s="566"/>
    </row>
    <row r="2544" spans="1:12">
      <c r="A2544" s="101"/>
      <c r="B2544" s="72" t="s">
        <v>112</v>
      </c>
      <c r="C2544" s="561" t="str">
        <f ca="1">OFFSET('Bateria indicadores proceso'!$N$3,(RIGHT(A2530,3)),1)</f>
        <v>Flujo</v>
      </c>
      <c r="D2544" s="561"/>
      <c r="E2544" s="561"/>
      <c r="F2544" s="561"/>
      <c r="G2544" s="561"/>
      <c r="H2544" s="561"/>
      <c r="I2544" s="561"/>
      <c r="J2544" s="561"/>
      <c r="K2544" s="561"/>
      <c r="L2544" s="566"/>
    </row>
    <row r="2545" spans="1:12">
      <c r="A2545" s="101"/>
      <c r="B2545" s="72" t="s">
        <v>113</v>
      </c>
      <c r="C2545" s="561" t="str">
        <f ca="1">IF(C2535="Número",TEXT(OFFSET('Bateria indicadores proceso'!$W$3,(RIGHT(A2530,3)),1),"######"),TEXT(OFFSET('Bateria indicadores proceso'!$W$3,(RIGHT(A2530,3)),1),"0.0%"))</f>
        <v>40%</v>
      </c>
      <c r="D2545" s="561"/>
      <c r="E2545" s="561"/>
      <c r="F2545" s="561"/>
      <c r="G2545" s="561"/>
      <c r="H2545" s="561"/>
      <c r="I2545" s="561"/>
      <c r="J2545" s="561"/>
      <c r="K2545" s="561"/>
      <c r="L2545" s="566"/>
    </row>
    <row r="2546" spans="1:12">
      <c r="A2546" s="101"/>
      <c r="B2546" s="595" t="s">
        <v>114</v>
      </c>
      <c r="C2546" s="70" t="s">
        <v>115</v>
      </c>
      <c r="D2546" s="70" t="s">
        <v>116</v>
      </c>
      <c r="E2546" s="70" t="s">
        <v>117</v>
      </c>
      <c r="F2546" s="70" t="s">
        <v>118</v>
      </c>
      <c r="J2546" s="75"/>
      <c r="K2546" s="75"/>
      <c r="L2546" s="76"/>
    </row>
    <row r="2547" spans="1:12">
      <c r="A2547" s="101"/>
      <c r="B2547" s="595"/>
      <c r="C2547" s="70" t="str">
        <f ca="1">IF(C2535="Número",TEXT(OFFSET('Bateria indicadores proceso'!$S$3,(RIGHT(A2530,3)),1),"######"),TEXT(OFFSET('Bateria indicadores proceso'!$S$3,(RIGHT(A2530,3)),1),"0.0%"))</f>
        <v>37%</v>
      </c>
      <c r="D2547" s="70" t="str">
        <f ca="1">IF(C2535="Número",TEXT(OFFSET('Bateria indicadores proceso'!$T$3,(RIGHT(A2530,3)),1),"######"),TEXT(OFFSET('Bateria indicadores proceso'!$T$3,(RIGHT(A2530,3)),1),"0.0%"))</f>
        <v>38%</v>
      </c>
      <c r="E2547" s="70" t="str">
        <f ca="1">IF(C2535="Número",TEXT(OFFSET('Bateria indicadores proceso'!$U$3,(RIGHT(A2530,3)),1),"######"),TEXT(OFFSET('Bateria indicadores proceso'!$U$3,(RIGHT(A2530,3)),1),"0.0%"))</f>
        <v>39%</v>
      </c>
      <c r="F2547" s="70" t="str">
        <f ca="1">IF(C2535="Número",TEXT(OFFSET('Bateria indicadores proceso'!$V$3,(RIGHT(A2530,3)),1),"######"),TEXT(OFFSET('Bateria indicadores proceso'!$V$3,(RIGHT(A2530,3)),1),"0.0%"))</f>
        <v>40%</v>
      </c>
      <c r="J2547" s="77"/>
      <c r="K2547" s="77"/>
      <c r="L2547" s="78"/>
    </row>
    <row r="2548" spans="1:12">
      <c r="A2548" s="101"/>
      <c r="B2548" s="600" t="s">
        <v>119</v>
      </c>
      <c r="C2548" s="567" t="s">
        <v>120</v>
      </c>
      <c r="D2548" s="568"/>
      <c r="E2548" s="567" t="s">
        <v>121</v>
      </c>
      <c r="F2548" s="568"/>
      <c r="G2548" s="567" t="s">
        <v>122</v>
      </c>
      <c r="H2548" s="568"/>
      <c r="I2548" s="567" t="s">
        <v>123</v>
      </c>
      <c r="J2548" s="568"/>
      <c r="K2548" s="567" t="s">
        <v>124</v>
      </c>
      <c r="L2548" s="569"/>
    </row>
    <row r="2549" spans="1:12">
      <c r="A2549" s="101"/>
      <c r="B2549" s="601"/>
      <c r="C2549" s="570" t="s">
        <v>125</v>
      </c>
      <c r="D2549" s="571"/>
      <c r="E2549" s="577" t="s">
        <v>126</v>
      </c>
      <c r="F2549" s="578"/>
      <c r="G2549" s="579" t="s">
        <v>127</v>
      </c>
      <c r="H2549" s="580"/>
      <c r="I2549" s="581" t="s">
        <v>128</v>
      </c>
      <c r="J2549" s="582"/>
      <c r="K2549" s="583" t="s">
        <v>129</v>
      </c>
      <c r="L2549" s="584"/>
    </row>
    <row r="2550" spans="1:12">
      <c r="A2550" s="101"/>
      <c r="B2550" s="602"/>
      <c r="C2550" s="567" t="s">
        <v>130</v>
      </c>
      <c r="D2550" s="568"/>
      <c r="E2550" s="567" t="s">
        <v>131</v>
      </c>
      <c r="F2550" s="568"/>
      <c r="G2550" s="585" t="s">
        <v>132</v>
      </c>
      <c r="H2550" s="568"/>
      <c r="I2550" s="567" t="s">
        <v>133</v>
      </c>
      <c r="J2550" s="568"/>
      <c r="K2550" s="567" t="s">
        <v>134</v>
      </c>
      <c r="L2550" s="569"/>
    </row>
    <row r="2551" spans="1:12">
      <c r="A2551" s="101"/>
      <c r="B2551" s="72" t="s">
        <v>135</v>
      </c>
      <c r="C2551" s="559" t="str">
        <f ca="1">OFFSET('Bateria indicadores proceso'!$Y$3,(RIGHT(A2530,3)),1)</f>
        <v xml:space="preserve">Reporte donde se evidencia los tiempos de respuesta y gestión de las PQRSDF extraido del Sistema de Gestión de Archivos electronicos SGDEA, con la  respectiva formulación que evidencie el porcentaje (%) obtenido.									</v>
      </c>
      <c r="D2551" s="559"/>
      <c r="E2551" s="559"/>
      <c r="F2551" s="559"/>
      <c r="G2551" s="559"/>
      <c r="H2551" s="559"/>
      <c r="I2551" s="559"/>
      <c r="J2551" s="559"/>
      <c r="K2551" s="559"/>
      <c r="L2551" s="560"/>
    </row>
    <row r="2552" spans="1:12">
      <c r="A2552" s="101"/>
      <c r="B2552" s="591" t="s">
        <v>136</v>
      </c>
      <c r="C2552" s="561" t="s">
        <v>137</v>
      </c>
      <c r="D2552" s="561"/>
      <c r="E2552" s="561"/>
      <c r="F2552" s="562" t="str">
        <f ca="1">OFFSET('Bateria indicadores proceso'!$B$3,(RIGHT(A2530,3)),1)</f>
        <v>SERVICIO AL CIUDADANO</v>
      </c>
      <c r="G2552" s="562"/>
      <c r="H2552" s="562"/>
      <c r="I2552" s="562"/>
      <c r="J2552" s="562"/>
      <c r="K2552" s="562"/>
      <c r="L2552" s="563"/>
    </row>
    <row r="2553" spans="1:12">
      <c r="A2553" s="101"/>
      <c r="B2553" s="592"/>
      <c r="C2553" s="561" t="s">
        <v>138</v>
      </c>
      <c r="D2553" s="561"/>
      <c r="E2553" s="561"/>
      <c r="F2553" s="564">
        <f ca="1">OFFSET('Bateria indicadores proceso'!$C$3,(RIGHT(A2530,3)),1)</f>
        <v>1</v>
      </c>
      <c r="G2553" s="564"/>
      <c r="H2553" s="564"/>
      <c r="I2553" s="564"/>
      <c r="J2553" s="564"/>
      <c r="K2553" s="564"/>
      <c r="L2553" s="565"/>
    </row>
    <row r="2554" spans="1:12" ht="15.75" thickBot="1">
      <c r="A2554" s="101"/>
      <c r="B2554" s="592"/>
      <c r="C2554" s="561" t="s">
        <v>139</v>
      </c>
      <c r="D2554" s="561"/>
      <c r="E2554" s="561"/>
      <c r="F2554" s="564">
        <f ca="1">OFFSET('Bateria indicadores proceso'!$E$3,(RIGHT(A2530,3)),1)</f>
        <v>1</v>
      </c>
      <c r="G2554" s="564"/>
      <c r="H2554" s="564"/>
      <c r="I2554" s="564"/>
      <c r="J2554" s="564"/>
      <c r="K2554" s="564"/>
      <c r="L2554" s="565"/>
    </row>
    <row r="2555" spans="1:12" ht="16.5" thickBot="1">
      <c r="A2555" s="101"/>
      <c r="B2555" s="572" t="s">
        <v>140</v>
      </c>
      <c r="C2555" s="573"/>
      <c r="D2555" s="573"/>
      <c r="E2555" s="573"/>
      <c r="F2555" s="573"/>
      <c r="G2555" s="573"/>
      <c r="H2555" s="573"/>
      <c r="I2555" s="573"/>
      <c r="J2555" s="573"/>
      <c r="K2555" s="573"/>
      <c r="L2555" s="574"/>
    </row>
    <row r="2556" spans="1:12">
      <c r="A2556" s="101"/>
      <c r="B2556" s="72" t="s">
        <v>142</v>
      </c>
      <c r="C2556" s="561" t="str">
        <f ca="1">OFFSET('Bateria indicadores proceso'!$G$3,(RIGHT(A2530,3)),1)</f>
        <v xml:space="preserve">Jefe de Oficina </v>
      </c>
      <c r="D2556" s="561"/>
      <c r="E2556" s="561"/>
      <c r="F2556" s="561"/>
      <c r="G2556" s="561"/>
      <c r="H2556" s="561"/>
      <c r="I2556" s="561"/>
      <c r="J2556" s="561"/>
      <c r="K2556" s="561"/>
      <c r="L2556" s="566"/>
    </row>
    <row r="2557" spans="1:12">
      <c r="A2557" s="101"/>
      <c r="B2557" s="72" t="s">
        <v>143</v>
      </c>
      <c r="C2557" s="561" t="str">
        <f ca="1">OFFSET('Bateria indicadores proceso'!$F$3,(RIGHT(A2530,3)),1)</f>
        <v>Oficina de Información Pública del Interior</v>
      </c>
      <c r="D2557" s="561"/>
      <c r="E2557" s="561"/>
      <c r="F2557" s="561"/>
      <c r="G2557" s="561"/>
      <c r="H2557" s="561"/>
      <c r="I2557" s="561"/>
      <c r="J2557" s="561"/>
      <c r="K2557" s="561"/>
      <c r="L2557" s="566"/>
    </row>
    <row r="2558" spans="1:12">
      <c r="A2558" s="101"/>
      <c r="B2558" s="72" t="s">
        <v>144</v>
      </c>
      <c r="C2558" s="598" t="str">
        <f ca="1">OFFSET('Bateria indicadores proceso'!$H$3,(RIGHT(A2494,3)),1)</f>
        <v>juan.duran@mininterior.gov.co.</v>
      </c>
      <c r="D2558" s="598"/>
      <c r="E2558" s="598"/>
      <c r="F2558" s="598"/>
      <c r="G2558" s="598"/>
      <c r="H2558" s="598"/>
      <c r="I2558" s="598"/>
      <c r="J2558" s="598"/>
      <c r="K2558" s="598"/>
      <c r="L2558" s="599"/>
    </row>
    <row r="2559" spans="1:12" ht="15.75" thickBot="1">
      <c r="A2559" s="104"/>
      <c r="B2559" s="74" t="s">
        <v>145</v>
      </c>
      <c r="C2559" s="596" t="s">
        <v>146</v>
      </c>
      <c r="D2559" s="596"/>
      <c r="E2559" s="596"/>
      <c r="F2559" s="596"/>
      <c r="G2559" s="596"/>
      <c r="H2559" s="596"/>
      <c r="I2559" s="596"/>
      <c r="J2559" s="596"/>
      <c r="K2559" s="596"/>
      <c r="L2559" s="597"/>
    </row>
    <row r="2560" spans="1:12" ht="15.75" thickBot="1"/>
    <row r="2561" spans="1:12" ht="21.75" thickBot="1">
      <c r="A2561" s="586" t="s">
        <v>89</v>
      </c>
      <c r="B2561" s="587"/>
      <c r="C2561" s="587"/>
      <c r="D2561" s="587"/>
      <c r="E2561" s="587"/>
      <c r="F2561" s="587"/>
      <c r="G2561" s="587"/>
      <c r="H2561" s="587"/>
      <c r="I2561" s="587"/>
      <c r="J2561" s="587"/>
      <c r="K2561" s="587"/>
      <c r="L2561" s="588"/>
    </row>
    <row r="2562" spans="1:12" ht="32.25" thickBot="1">
      <c r="A2562" s="69" t="s">
        <v>90</v>
      </c>
      <c r="B2562" s="589" t="s">
        <v>91</v>
      </c>
      <c r="C2562" s="589"/>
      <c r="D2562" s="589"/>
      <c r="E2562" s="589"/>
      <c r="F2562" s="589"/>
      <c r="G2562" s="589"/>
      <c r="H2562" s="589"/>
      <c r="I2562" s="589"/>
      <c r="J2562" s="589"/>
      <c r="K2562" s="589"/>
      <c r="L2562" s="589"/>
    </row>
    <row r="2563" spans="1:12" ht="16.5" thickBot="1">
      <c r="A2563" s="100"/>
      <c r="B2563" s="71" t="s">
        <v>92</v>
      </c>
      <c r="C2563" s="575" t="s">
        <v>93</v>
      </c>
      <c r="D2563" s="575"/>
      <c r="E2563" s="575"/>
      <c r="F2563" s="575"/>
      <c r="G2563" s="575"/>
      <c r="H2563" s="575"/>
      <c r="I2563" s="575"/>
      <c r="J2563" s="575"/>
      <c r="K2563" s="575"/>
      <c r="L2563" s="576"/>
    </row>
    <row r="2564" spans="1:12" ht="16.5" thickBot="1">
      <c r="A2564" s="101"/>
      <c r="B2564" s="589" t="s">
        <v>94</v>
      </c>
      <c r="C2564" s="590"/>
      <c r="D2564" s="590"/>
      <c r="E2564" s="590"/>
      <c r="F2564" s="590"/>
      <c r="G2564" s="590"/>
      <c r="H2564" s="590"/>
      <c r="I2564" s="590"/>
      <c r="J2564" s="590"/>
      <c r="K2564" s="590"/>
      <c r="L2564" s="590"/>
    </row>
    <row r="2565" spans="1:12">
      <c r="A2565" s="101"/>
      <c r="B2565" s="71" t="s">
        <v>95</v>
      </c>
      <c r="C2565" s="559" t="s">
        <v>96</v>
      </c>
      <c r="D2565" s="559"/>
      <c r="E2565" s="559"/>
      <c r="F2565" s="559"/>
      <c r="G2565" s="559"/>
      <c r="H2565" s="559"/>
      <c r="I2565" s="559"/>
      <c r="J2565" s="559"/>
      <c r="K2565" s="559"/>
      <c r="L2565" s="560"/>
    </row>
    <row r="2566" spans="1:12">
      <c r="A2566" s="102" t="s">
        <v>217</v>
      </c>
      <c r="B2566" s="72" t="s">
        <v>98</v>
      </c>
      <c r="C2566" s="559" t="str">
        <f ca="1">OFFSET('Bateria indicadores proceso'!$F$3,(RIGHT(A2566,3)),1)</f>
        <v>Oficina de Información Pública del Interior</v>
      </c>
      <c r="D2566" s="559"/>
      <c r="E2566" s="559"/>
      <c r="F2566" s="559"/>
      <c r="G2566" s="559"/>
      <c r="H2566" s="559"/>
      <c r="I2566" s="559"/>
      <c r="J2566" s="559"/>
      <c r="K2566" s="559"/>
      <c r="L2566" s="560"/>
    </row>
    <row r="2567" spans="1:12">
      <c r="A2567" s="101"/>
      <c r="B2567" s="72" t="s">
        <v>99</v>
      </c>
      <c r="C2567" s="559" t="str">
        <f ca="1">OFFSET('Bateria indicadores proceso'!$K$3,(RIGHT(A2566,3)),1)</f>
        <v xml:space="preserve">Acciones de políticas de Gobierno Digital gestionadas									</v>
      </c>
      <c r="D2567" s="559"/>
      <c r="E2567" s="559"/>
      <c r="F2567" s="559"/>
      <c r="G2567" s="559"/>
      <c r="H2567" s="559"/>
      <c r="I2567" s="559"/>
      <c r="J2567" s="559"/>
      <c r="K2567" s="559"/>
      <c r="L2567" s="560"/>
    </row>
    <row r="2568" spans="1:12">
      <c r="A2568" s="101"/>
      <c r="B2568" s="72" t="s">
        <v>100</v>
      </c>
      <c r="C2568" s="559" t="str">
        <f ca="1">OFFSET('Bateria indicadores proceso'!$I$3,(RIGHT(A2566,3)),1)</f>
        <v>Eficiencia</v>
      </c>
      <c r="D2568" s="559"/>
      <c r="E2568" s="559"/>
      <c r="F2568" s="559"/>
      <c r="G2568" s="559"/>
      <c r="H2568" s="559"/>
      <c r="I2568" s="559"/>
      <c r="J2568" s="559"/>
      <c r="K2568" s="559"/>
      <c r="L2568" s="560"/>
    </row>
    <row r="2569" spans="1:12" ht="15.75" thickBot="1">
      <c r="A2569" s="103"/>
      <c r="B2569" s="73" t="s">
        <v>101</v>
      </c>
      <c r="C2569" s="559" t="str">
        <f ca="1">OFFSET('Bateria indicadores proceso'!$J$3,(RIGHT(A2566,3)),1)</f>
        <v xml:space="preserve">Gestionar el cumplimiento de las directrices de Gobierno Digital, integrando principios de transparencia, accesibilidad y colaboración. Su medición permite verificar el avance y la consistencia de la entidad en la implementación de la Política de Gobierno Digital. El indicador está orientado a mantener, asegurando la continuidad y estabilidad de las acciones gestionadas en cada periodo.									</v>
      </c>
      <c r="D2569" s="559"/>
      <c r="E2569" s="559"/>
      <c r="F2569" s="559"/>
      <c r="G2569" s="559"/>
      <c r="H2569" s="559"/>
      <c r="I2569" s="559"/>
      <c r="J2569" s="559"/>
      <c r="K2569" s="559"/>
      <c r="L2569" s="560"/>
    </row>
    <row r="2570" spans="1:12" ht="16.5" thickBot="1">
      <c r="A2570" s="103"/>
      <c r="B2570" s="572" t="s">
        <v>102</v>
      </c>
      <c r="C2570" s="573"/>
      <c r="D2570" s="573"/>
      <c r="E2570" s="573"/>
      <c r="F2570" s="573"/>
      <c r="G2570" s="573"/>
      <c r="H2570" s="573"/>
      <c r="I2570" s="573"/>
      <c r="J2570" s="573"/>
      <c r="K2570" s="573"/>
      <c r="L2570" s="574"/>
    </row>
    <row r="2571" spans="1:12">
      <c r="A2571" s="101"/>
      <c r="B2571" s="71" t="s">
        <v>103</v>
      </c>
      <c r="C2571" s="559" t="str">
        <f ca="1">OFFSET('Bateria indicadores proceso'!$O$3,(RIGHT(A2566,3)),1)</f>
        <v>Porcentaje</v>
      </c>
      <c r="D2571" s="559"/>
      <c r="E2571" s="559"/>
      <c r="F2571" s="559"/>
      <c r="G2571" s="559"/>
      <c r="H2571" s="559"/>
      <c r="I2571" s="559"/>
      <c r="J2571" s="559"/>
      <c r="K2571" s="559"/>
      <c r="L2571" s="560"/>
    </row>
    <row r="2572" spans="1:12" ht="24">
      <c r="A2572" s="101"/>
      <c r="B2572" s="72" t="s">
        <v>104</v>
      </c>
      <c r="C2572" s="559"/>
      <c r="D2572" s="559"/>
      <c r="E2572" s="559"/>
      <c r="F2572" s="559"/>
      <c r="G2572" s="559"/>
      <c r="H2572" s="559"/>
      <c r="I2572" s="559"/>
      <c r="J2572" s="559"/>
      <c r="K2572" s="559"/>
      <c r="L2572" s="560"/>
    </row>
    <row r="2573" spans="1:12">
      <c r="A2573" s="101"/>
      <c r="B2573" s="72" t="s">
        <v>105</v>
      </c>
      <c r="C2573" s="559" t="str">
        <f ca="1">OFFSET('Bateria indicadores proceso'!$L$3,(RIGHT(A2566,3)),1)</f>
        <v xml:space="preserve">(Solicitudes de publicación en la sede electrónica atendidas / Solicitudes de publicación en la sede electrónica recibidas)*100									</v>
      </c>
      <c r="D2573" s="559"/>
      <c r="E2573" s="559"/>
      <c r="F2573" s="559"/>
      <c r="G2573" s="559"/>
      <c r="H2573" s="559"/>
      <c r="I2573" s="559"/>
      <c r="J2573" s="559"/>
      <c r="K2573" s="559"/>
      <c r="L2573" s="560"/>
    </row>
    <row r="2574" spans="1:12">
      <c r="A2574" s="101"/>
      <c r="B2574" s="72" t="s">
        <v>106</v>
      </c>
      <c r="C2574" s="559" t="str">
        <f ca="1">OFFSET('Bateria indicadores proceso'!$Z$3,(RIGHT(A2566,3)),1)</f>
        <v>Trimestral</v>
      </c>
      <c r="D2574" s="559"/>
      <c r="E2574" s="559"/>
      <c r="F2574" s="559"/>
      <c r="G2574" s="559"/>
      <c r="H2574" s="559"/>
      <c r="I2574" s="559"/>
      <c r="J2574" s="559"/>
      <c r="K2574" s="559"/>
      <c r="L2574" s="560"/>
    </row>
    <row r="2575" spans="1:12">
      <c r="A2575" s="101"/>
      <c r="B2575" s="72" t="s">
        <v>107</v>
      </c>
      <c r="C2575" s="559" t="str">
        <f ca="1">OFFSET('Bateria indicadores proceso'!$X$3,(RIGHT(A2566,3)),1)</f>
        <v>Solicitudes de cargue de la Sede Electrónica.</v>
      </c>
      <c r="D2575" s="559"/>
      <c r="E2575" s="559"/>
      <c r="F2575" s="559"/>
      <c r="G2575" s="559"/>
      <c r="H2575" s="559"/>
      <c r="I2575" s="559"/>
      <c r="J2575" s="559"/>
      <c r="K2575" s="559"/>
      <c r="L2575" s="560"/>
    </row>
    <row r="2576" spans="1:12">
      <c r="A2576" s="101"/>
      <c r="B2576" s="72" t="s">
        <v>108</v>
      </c>
      <c r="C2576" s="561">
        <f ca="1">OFFSET('Bateria indicadores proceso'!$P$3,(RIGHT(A2566,3)),1)</f>
        <v>2022</v>
      </c>
      <c r="D2576" s="561"/>
      <c r="E2576" s="561"/>
      <c r="F2576" s="561"/>
      <c r="G2576" s="561"/>
      <c r="H2576" s="561"/>
      <c r="I2576" s="561"/>
      <c r="J2576" s="561"/>
      <c r="K2576" s="561"/>
      <c r="L2576" s="566"/>
    </row>
    <row r="2577" spans="1:12">
      <c r="A2577" s="101"/>
      <c r="B2577" s="72" t="s">
        <v>109</v>
      </c>
      <c r="C2577" s="561" t="str">
        <f ca="1">IF(C2571="Número",TEXT(OFFSET('Bateria indicadores proceso'!$Q$3,(RIGHT(A2566,3)),1),"######"),TEXT(OFFSET('Bateria indicadores proceso'!$Q$3,(RIGHT(A2566,3)),1),"0.0%"))</f>
        <v>100%</v>
      </c>
      <c r="D2577" s="561"/>
      <c r="E2577" s="561"/>
      <c r="F2577" s="561"/>
      <c r="G2577" s="561"/>
      <c r="H2577" s="561"/>
      <c r="I2577" s="561"/>
      <c r="J2577" s="561"/>
      <c r="K2577" s="561"/>
      <c r="L2577" s="566"/>
    </row>
    <row r="2578" spans="1:12">
      <c r="A2578" s="101"/>
      <c r="B2578" s="72" t="s">
        <v>110</v>
      </c>
      <c r="C2578" s="593">
        <f ca="1">+OFFSET('Bateria indicadores proceso'!$R$3,(RIGHT(A2566,3)),1)</f>
        <v>46022</v>
      </c>
      <c r="D2578" s="593"/>
      <c r="E2578" s="593"/>
      <c r="F2578" s="593"/>
      <c r="G2578" s="593"/>
      <c r="H2578" s="593"/>
      <c r="I2578" s="593"/>
      <c r="J2578" s="593"/>
      <c r="K2578" s="593"/>
      <c r="L2578" s="594"/>
    </row>
    <row r="2579" spans="1:12">
      <c r="A2579" s="101"/>
      <c r="B2579" s="72" t="s">
        <v>111</v>
      </c>
      <c r="C2579" s="561" t="str">
        <f ca="1">OFFSET('Bateria indicadores proceso'!$M$3,(RIGHT(A2566,3)),1)</f>
        <v>Mantener</v>
      </c>
      <c r="D2579" s="561"/>
      <c r="E2579" s="561"/>
      <c r="F2579" s="561"/>
      <c r="G2579" s="561"/>
      <c r="H2579" s="561"/>
      <c r="I2579" s="561"/>
      <c r="J2579" s="561"/>
      <c r="K2579" s="561"/>
      <c r="L2579" s="566"/>
    </row>
    <row r="2580" spans="1:12">
      <c r="A2580" s="101"/>
      <c r="B2580" s="72" t="s">
        <v>112</v>
      </c>
      <c r="C2580" s="561" t="str">
        <f ca="1">OFFSET('Bateria indicadores proceso'!$N$3,(RIGHT(A2566,3)),1)</f>
        <v>Flujo</v>
      </c>
      <c r="D2580" s="561"/>
      <c r="E2580" s="561"/>
      <c r="F2580" s="561"/>
      <c r="G2580" s="561"/>
      <c r="H2580" s="561"/>
      <c r="I2580" s="561"/>
      <c r="J2580" s="561"/>
      <c r="K2580" s="561"/>
      <c r="L2580" s="566"/>
    </row>
    <row r="2581" spans="1:12">
      <c r="A2581" s="101"/>
      <c r="B2581" s="72" t="s">
        <v>113</v>
      </c>
      <c r="C2581" s="561" t="str">
        <f ca="1">IF(C2571="Número",TEXT(OFFSET('Bateria indicadores proceso'!$W$3,(RIGHT(A2566,3)),1),"######"),TEXT(OFFSET('Bateria indicadores proceso'!$W$3,(RIGHT(A2566,3)),1),"0.0%"))</f>
        <v>100%</v>
      </c>
      <c r="D2581" s="561"/>
      <c r="E2581" s="561"/>
      <c r="F2581" s="561"/>
      <c r="G2581" s="561"/>
      <c r="H2581" s="561"/>
      <c r="I2581" s="561"/>
      <c r="J2581" s="561"/>
      <c r="K2581" s="561"/>
      <c r="L2581" s="566"/>
    </row>
    <row r="2582" spans="1:12">
      <c r="A2582" s="101"/>
      <c r="B2582" s="595" t="s">
        <v>114</v>
      </c>
      <c r="C2582" s="70" t="s">
        <v>115</v>
      </c>
      <c r="D2582" s="70" t="s">
        <v>116</v>
      </c>
      <c r="E2582" s="70" t="s">
        <v>117</v>
      </c>
      <c r="F2582" s="70" t="s">
        <v>118</v>
      </c>
      <c r="J2582" s="75"/>
      <c r="K2582" s="75"/>
      <c r="L2582" s="76"/>
    </row>
    <row r="2583" spans="1:12">
      <c r="A2583" s="101"/>
      <c r="B2583" s="595"/>
      <c r="C2583" s="70" t="str">
        <f ca="1">IF(C2571="Número",TEXT(OFFSET('Bateria indicadores proceso'!$S$3,(RIGHT(A2566,3)),1),"######"),TEXT(OFFSET('Bateria indicadores proceso'!$S$3,(RIGHT(A2566,3)),1),"0.0%"))</f>
        <v>100%</v>
      </c>
      <c r="D2583" s="70" t="str">
        <f ca="1">IF(C2571="Número",TEXT(OFFSET('Bateria indicadores proceso'!$T$3,(RIGHT(A2566,3)),1),"######"),TEXT(OFFSET('Bateria indicadores proceso'!$T$3,(RIGHT(A2566,3)),1),"0.0%"))</f>
        <v>100%</v>
      </c>
      <c r="E2583" s="70" t="str">
        <f ca="1">IF(C2571="Número",TEXT(OFFSET('Bateria indicadores proceso'!$U$3,(RIGHT(A2566,3)),1),"######"),TEXT(OFFSET('Bateria indicadores proceso'!$U$3,(RIGHT(A2566,3)),1),"0.0%"))</f>
        <v>100%</v>
      </c>
      <c r="F2583" s="70" t="str">
        <f ca="1">IF(C2571="Número",TEXT(OFFSET('Bateria indicadores proceso'!$V$3,(RIGHT(A2566,3)),1),"######"),TEXT(OFFSET('Bateria indicadores proceso'!$V$3,(RIGHT(A2566,3)),1),"0.0%"))</f>
        <v>100%</v>
      </c>
      <c r="J2583" s="77"/>
      <c r="K2583" s="77"/>
      <c r="L2583" s="78"/>
    </row>
    <row r="2584" spans="1:12">
      <c r="A2584" s="101"/>
      <c r="B2584" s="600" t="s">
        <v>119</v>
      </c>
      <c r="C2584" s="567" t="s">
        <v>120</v>
      </c>
      <c r="D2584" s="568"/>
      <c r="E2584" s="567" t="s">
        <v>121</v>
      </c>
      <c r="F2584" s="568"/>
      <c r="G2584" s="567" t="s">
        <v>122</v>
      </c>
      <c r="H2584" s="568"/>
      <c r="I2584" s="567" t="s">
        <v>123</v>
      </c>
      <c r="J2584" s="568"/>
      <c r="K2584" s="567" t="s">
        <v>124</v>
      </c>
      <c r="L2584" s="569"/>
    </row>
    <row r="2585" spans="1:12">
      <c r="A2585" s="101"/>
      <c r="B2585" s="601"/>
      <c r="C2585" s="570" t="s">
        <v>125</v>
      </c>
      <c r="D2585" s="571"/>
      <c r="E2585" s="577" t="s">
        <v>126</v>
      </c>
      <c r="F2585" s="578"/>
      <c r="G2585" s="579" t="s">
        <v>127</v>
      </c>
      <c r="H2585" s="580"/>
      <c r="I2585" s="581" t="s">
        <v>128</v>
      </c>
      <c r="J2585" s="582"/>
      <c r="K2585" s="583" t="s">
        <v>129</v>
      </c>
      <c r="L2585" s="584"/>
    </row>
    <row r="2586" spans="1:12">
      <c r="A2586" s="101"/>
      <c r="B2586" s="602"/>
      <c r="C2586" s="567" t="s">
        <v>130</v>
      </c>
      <c r="D2586" s="568"/>
      <c r="E2586" s="567" t="s">
        <v>131</v>
      </c>
      <c r="F2586" s="568"/>
      <c r="G2586" s="585" t="s">
        <v>132</v>
      </c>
      <c r="H2586" s="568"/>
      <c r="I2586" s="567" t="s">
        <v>133</v>
      </c>
      <c r="J2586" s="568"/>
      <c r="K2586" s="567" t="s">
        <v>134</v>
      </c>
      <c r="L2586" s="569"/>
    </row>
    <row r="2587" spans="1:12">
      <c r="A2587" s="101"/>
      <c r="B2587" s="72" t="s">
        <v>135</v>
      </c>
      <c r="C2587" s="559" t="str">
        <f ca="1">OFFSET('Bateria indicadores proceso'!$Y$3,(RIGHT(A2566,3)),1)</f>
        <v>Informe solicitudes sede electrónica atendidas</v>
      </c>
      <c r="D2587" s="559"/>
      <c r="E2587" s="559"/>
      <c r="F2587" s="559"/>
      <c r="G2587" s="559"/>
      <c r="H2587" s="559"/>
      <c r="I2587" s="559"/>
      <c r="J2587" s="559"/>
      <c r="K2587" s="559"/>
      <c r="L2587" s="560"/>
    </row>
    <row r="2588" spans="1:12">
      <c r="A2588" s="101"/>
      <c r="B2588" s="591" t="s">
        <v>136</v>
      </c>
      <c r="C2588" s="561" t="s">
        <v>137</v>
      </c>
      <c r="D2588" s="561"/>
      <c r="E2588" s="561"/>
      <c r="F2588" s="562" t="str">
        <f ca="1">OFFSET('Bateria indicadores proceso'!$B$3,(RIGHT(A2566,3)),1)</f>
        <v>GESTIÓN TECNOLÓGICA</v>
      </c>
      <c r="G2588" s="562"/>
      <c r="H2588" s="562"/>
      <c r="I2588" s="562"/>
      <c r="J2588" s="562"/>
      <c r="K2588" s="562"/>
      <c r="L2588" s="563"/>
    </row>
    <row r="2589" spans="1:12">
      <c r="A2589" s="101"/>
      <c r="B2589" s="592"/>
      <c r="C2589" s="561" t="s">
        <v>138</v>
      </c>
      <c r="D2589" s="561"/>
      <c r="E2589" s="561"/>
      <c r="F2589" s="564">
        <f ca="1">OFFSET('Bateria indicadores proceso'!$C$3,(RIGHT(A2566,3)),1)</f>
        <v>1</v>
      </c>
      <c r="G2589" s="564"/>
      <c r="H2589" s="564"/>
      <c r="I2589" s="564"/>
      <c r="J2589" s="564"/>
      <c r="K2589" s="564"/>
      <c r="L2589" s="565"/>
    </row>
    <row r="2590" spans="1:12" ht="15.75" thickBot="1">
      <c r="A2590" s="101"/>
      <c r="B2590" s="592"/>
      <c r="C2590" s="561" t="s">
        <v>139</v>
      </c>
      <c r="D2590" s="561"/>
      <c r="E2590" s="561"/>
      <c r="F2590" s="564">
        <f ca="1">OFFSET('Bateria indicadores proceso'!$E$3,(RIGHT(A2566,3)),1)</f>
        <v>0.25</v>
      </c>
      <c r="G2590" s="564"/>
      <c r="H2590" s="564"/>
      <c r="I2590" s="564"/>
      <c r="J2590" s="564"/>
      <c r="K2590" s="564"/>
      <c r="L2590" s="565"/>
    </row>
    <row r="2591" spans="1:12" ht="16.5" thickBot="1">
      <c r="A2591" s="101"/>
      <c r="B2591" s="572" t="s">
        <v>140</v>
      </c>
      <c r="C2591" s="573"/>
      <c r="D2591" s="573"/>
      <c r="E2591" s="573"/>
      <c r="F2591" s="573"/>
      <c r="G2591" s="573"/>
      <c r="H2591" s="573"/>
      <c r="I2591" s="573"/>
      <c r="J2591" s="573"/>
      <c r="K2591" s="573"/>
      <c r="L2591" s="574"/>
    </row>
    <row r="2592" spans="1:12">
      <c r="A2592" s="101"/>
      <c r="B2592" s="72" t="s">
        <v>142</v>
      </c>
      <c r="C2592" s="561" t="str">
        <f ca="1">OFFSET('Bateria indicadores proceso'!$G$3,(RIGHT(A2566,3)),1)</f>
        <v xml:space="preserve">Jefe de Oficina </v>
      </c>
      <c r="D2592" s="561"/>
      <c r="E2592" s="561"/>
      <c r="F2592" s="561"/>
      <c r="G2592" s="561"/>
      <c r="H2592" s="561"/>
      <c r="I2592" s="561"/>
      <c r="J2592" s="561"/>
      <c r="K2592" s="561"/>
      <c r="L2592" s="566"/>
    </row>
    <row r="2593" spans="1:12">
      <c r="A2593" s="101"/>
      <c r="B2593" s="72" t="s">
        <v>143</v>
      </c>
      <c r="C2593" s="561" t="str">
        <f ca="1">OFFSET('Bateria indicadores proceso'!$F$3,(RIGHT(A2566,3)),1)</f>
        <v>Oficina de Información Pública del Interior</v>
      </c>
      <c r="D2593" s="561"/>
      <c r="E2593" s="561"/>
      <c r="F2593" s="561"/>
      <c r="G2593" s="561"/>
      <c r="H2593" s="561"/>
      <c r="I2593" s="561"/>
      <c r="J2593" s="561"/>
      <c r="K2593" s="561"/>
      <c r="L2593" s="566"/>
    </row>
    <row r="2594" spans="1:12">
      <c r="A2594" s="101"/>
      <c r="B2594" s="72" t="s">
        <v>144</v>
      </c>
      <c r="C2594" s="598" t="str">
        <f ca="1">OFFSET('Bateria indicadores proceso'!$H$3,(RIGHT(A2566,3)),1)</f>
        <v>yitcy.becerra@mininterior.gov.co</v>
      </c>
      <c r="D2594" s="598"/>
      <c r="E2594" s="598"/>
      <c r="F2594" s="598"/>
      <c r="G2594" s="598"/>
      <c r="H2594" s="598"/>
      <c r="I2594" s="598"/>
      <c r="J2594" s="598"/>
      <c r="K2594" s="598"/>
      <c r="L2594" s="599"/>
    </row>
    <row r="2595" spans="1:12" ht="15.75" thickBot="1">
      <c r="A2595" s="104"/>
      <c r="B2595" s="74" t="s">
        <v>145</v>
      </c>
      <c r="C2595" s="596" t="s">
        <v>146</v>
      </c>
      <c r="D2595" s="596"/>
      <c r="E2595" s="596"/>
      <c r="F2595" s="596"/>
      <c r="G2595" s="596"/>
      <c r="H2595" s="596"/>
      <c r="I2595" s="596"/>
      <c r="J2595" s="596"/>
      <c r="K2595" s="596"/>
      <c r="L2595" s="597"/>
    </row>
    <row r="2596" spans="1:12" ht="15.75" thickBot="1"/>
    <row r="2597" spans="1:12" ht="21.75" thickBot="1">
      <c r="A2597" s="586" t="s">
        <v>89</v>
      </c>
      <c r="B2597" s="587"/>
      <c r="C2597" s="587"/>
      <c r="D2597" s="587"/>
      <c r="E2597" s="587"/>
      <c r="F2597" s="587"/>
      <c r="G2597" s="587"/>
      <c r="H2597" s="587"/>
      <c r="I2597" s="587"/>
      <c r="J2597" s="587"/>
      <c r="K2597" s="587"/>
      <c r="L2597" s="588"/>
    </row>
    <row r="2598" spans="1:12" ht="32.25" thickBot="1">
      <c r="A2598" s="69" t="s">
        <v>90</v>
      </c>
      <c r="B2598" s="589" t="s">
        <v>91</v>
      </c>
      <c r="C2598" s="589"/>
      <c r="D2598" s="589"/>
      <c r="E2598" s="589"/>
      <c r="F2598" s="589"/>
      <c r="G2598" s="589"/>
      <c r="H2598" s="589"/>
      <c r="I2598" s="589"/>
      <c r="J2598" s="589"/>
      <c r="K2598" s="589"/>
      <c r="L2598" s="589"/>
    </row>
    <row r="2599" spans="1:12" ht="16.5" thickBot="1">
      <c r="A2599" s="100"/>
      <c r="B2599" s="71" t="s">
        <v>92</v>
      </c>
      <c r="C2599" s="575" t="s">
        <v>93</v>
      </c>
      <c r="D2599" s="575"/>
      <c r="E2599" s="575"/>
      <c r="F2599" s="575"/>
      <c r="G2599" s="575"/>
      <c r="H2599" s="575"/>
      <c r="I2599" s="575"/>
      <c r="J2599" s="575"/>
      <c r="K2599" s="575"/>
      <c r="L2599" s="576"/>
    </row>
    <row r="2600" spans="1:12" ht="16.5" thickBot="1">
      <c r="A2600" s="101"/>
      <c r="B2600" s="589" t="s">
        <v>94</v>
      </c>
      <c r="C2600" s="590"/>
      <c r="D2600" s="590"/>
      <c r="E2600" s="590"/>
      <c r="F2600" s="590"/>
      <c r="G2600" s="590"/>
      <c r="H2600" s="590"/>
      <c r="I2600" s="590"/>
      <c r="J2600" s="590"/>
      <c r="K2600" s="590"/>
      <c r="L2600" s="590"/>
    </row>
    <row r="2601" spans="1:12">
      <c r="A2601" s="101"/>
      <c r="B2601" s="71" t="s">
        <v>95</v>
      </c>
      <c r="C2601" s="559" t="s">
        <v>96</v>
      </c>
      <c r="D2601" s="559"/>
      <c r="E2601" s="559"/>
      <c r="F2601" s="559"/>
      <c r="G2601" s="559"/>
      <c r="H2601" s="559"/>
      <c r="I2601" s="559"/>
      <c r="J2601" s="559"/>
      <c r="K2601" s="559"/>
      <c r="L2601" s="560"/>
    </row>
    <row r="2602" spans="1:12">
      <c r="A2602" s="102" t="s">
        <v>218</v>
      </c>
      <c r="B2602" s="72" t="s">
        <v>98</v>
      </c>
      <c r="C2602" s="559" t="str">
        <f ca="1">OFFSET('Bateria indicadores proceso'!$F$3,(RIGHT(A2602,3)),1)</f>
        <v>Oficina de Información Pública del Interior</v>
      </c>
      <c r="D2602" s="559"/>
      <c r="E2602" s="559"/>
      <c r="F2602" s="559"/>
      <c r="G2602" s="559"/>
      <c r="H2602" s="559"/>
      <c r="I2602" s="559"/>
      <c r="J2602" s="559"/>
      <c r="K2602" s="559"/>
      <c r="L2602" s="560"/>
    </row>
    <row r="2603" spans="1:12">
      <c r="A2603" s="101"/>
      <c r="B2603" s="72" t="s">
        <v>99</v>
      </c>
      <c r="C2603" s="559" t="str">
        <f ca="1">OFFSET('Bateria indicadores proceso'!$K$3,(RIGHT(A2602,3)),1)</f>
        <v>Índice de capacidad en la prestación de servicios</v>
      </c>
      <c r="D2603" s="559"/>
      <c r="E2603" s="559"/>
      <c r="F2603" s="559"/>
      <c r="G2603" s="559"/>
      <c r="H2603" s="559"/>
      <c r="I2603" s="559"/>
      <c r="J2603" s="559"/>
      <c r="K2603" s="559"/>
      <c r="L2603" s="560"/>
    </row>
    <row r="2604" spans="1:12">
      <c r="A2604" s="101"/>
      <c r="B2604" s="72" t="s">
        <v>100</v>
      </c>
      <c r="C2604" s="559" t="str">
        <f ca="1">OFFSET('Bateria indicadores proceso'!$I$3,(RIGHT(A2602,3)),1)</f>
        <v>Eficiencia</v>
      </c>
      <c r="D2604" s="559"/>
      <c r="E2604" s="559"/>
      <c r="F2604" s="559"/>
      <c r="G2604" s="559"/>
      <c r="H2604" s="559"/>
      <c r="I2604" s="559"/>
      <c r="J2604" s="559"/>
      <c r="K2604" s="559"/>
      <c r="L2604" s="560"/>
    </row>
    <row r="2605" spans="1:12" ht="15.75" thickBot="1">
      <c r="A2605" s="103"/>
      <c r="B2605" s="73" t="s">
        <v>101</v>
      </c>
      <c r="C2605" s="559" t="str">
        <f ca="1">OFFSET('Bateria indicadores proceso'!$J$3,(RIGHT(A2602,3)),1)</f>
        <v>Garantizar y mantener en óptimas condiciones de funcionamiento la infraestructura tecnológica del Ministerio, incluyendo hardware, software, red LAN, seguridad informática, procesamiento, almacenamiento y bases de datos. Es importante medirlo porque permite asegurar la continuidad operativa, minimizar fallas y garantizar la disponibilidad de los servicios tecnológicos. El indicador está orientado a mantener, garantizando la estabilidad y desempeño adecuado de la infraestructura.</v>
      </c>
      <c r="D2605" s="559"/>
      <c r="E2605" s="559"/>
      <c r="F2605" s="559"/>
      <c r="G2605" s="559"/>
      <c r="H2605" s="559"/>
      <c r="I2605" s="559"/>
      <c r="J2605" s="559"/>
      <c r="K2605" s="559"/>
      <c r="L2605" s="560"/>
    </row>
    <row r="2606" spans="1:12" ht="16.5" thickBot="1">
      <c r="A2606" s="103"/>
      <c r="B2606" s="572" t="s">
        <v>102</v>
      </c>
      <c r="C2606" s="573"/>
      <c r="D2606" s="573"/>
      <c r="E2606" s="573"/>
      <c r="F2606" s="573"/>
      <c r="G2606" s="573"/>
      <c r="H2606" s="573"/>
      <c r="I2606" s="573"/>
      <c r="J2606" s="573"/>
      <c r="K2606" s="573"/>
      <c r="L2606" s="574"/>
    </row>
    <row r="2607" spans="1:12">
      <c r="A2607" s="101"/>
      <c r="B2607" s="71" t="s">
        <v>103</v>
      </c>
      <c r="C2607" s="559" t="str">
        <f ca="1">OFFSET('Bateria indicadores proceso'!$O$3,(RIGHT(A2602,3)),1)</f>
        <v>Porcentaje</v>
      </c>
      <c r="D2607" s="559"/>
      <c r="E2607" s="559"/>
      <c r="F2607" s="559"/>
      <c r="G2607" s="559"/>
      <c r="H2607" s="559"/>
      <c r="I2607" s="559"/>
      <c r="J2607" s="559"/>
      <c r="K2607" s="559"/>
      <c r="L2607" s="560"/>
    </row>
    <row r="2608" spans="1:12" ht="24">
      <c r="A2608" s="101"/>
      <c r="B2608" s="72" t="s">
        <v>104</v>
      </c>
      <c r="C2608" s="559"/>
      <c r="D2608" s="559"/>
      <c r="E2608" s="559"/>
      <c r="F2608" s="559"/>
      <c r="G2608" s="559"/>
      <c r="H2608" s="559"/>
      <c r="I2608" s="559"/>
      <c r="J2608" s="559"/>
      <c r="K2608" s="559"/>
      <c r="L2608" s="560"/>
    </row>
    <row r="2609" spans="1:12">
      <c r="A2609" s="101"/>
      <c r="B2609" s="72" t="s">
        <v>105</v>
      </c>
      <c r="C2609" s="559" t="str">
        <f ca="1">OFFSET('Bateria indicadores proceso'!$L$3,(RIGHT(A2602,3)),1)</f>
        <v>(Solicitudes de servicio de soporte técnico resueltas / Servicios de servicio técnico recibidas) * 100</v>
      </c>
      <c r="D2609" s="559"/>
      <c r="E2609" s="559"/>
      <c r="F2609" s="559"/>
      <c r="G2609" s="559"/>
      <c r="H2609" s="559"/>
      <c r="I2609" s="559"/>
      <c r="J2609" s="559"/>
      <c r="K2609" s="559"/>
      <c r="L2609" s="560"/>
    </row>
    <row r="2610" spans="1:12">
      <c r="A2610" s="101"/>
      <c r="B2610" s="72" t="s">
        <v>106</v>
      </c>
      <c r="C2610" s="559" t="str">
        <f ca="1">OFFSET('Bateria indicadores proceso'!$Z$3,(RIGHT(A2602,3)),1)</f>
        <v>Trimestral</v>
      </c>
      <c r="D2610" s="559"/>
      <c r="E2610" s="559"/>
      <c r="F2610" s="559"/>
      <c r="G2610" s="559"/>
      <c r="H2610" s="559"/>
      <c r="I2610" s="559"/>
      <c r="J2610" s="559"/>
      <c r="K2610" s="559"/>
      <c r="L2610" s="560"/>
    </row>
    <row r="2611" spans="1:12">
      <c r="A2611" s="101"/>
      <c r="B2611" s="72" t="s">
        <v>107</v>
      </c>
      <c r="C2611" s="559" t="str">
        <f ca="1">OFFSET('Bateria indicadores proceso'!$X$3,(RIGHT(A2602,3)),1)</f>
        <v>Solicitudes de servicio de soporte técnico resueltas.</v>
      </c>
      <c r="D2611" s="559"/>
      <c r="E2611" s="559"/>
      <c r="F2611" s="559"/>
      <c r="G2611" s="559"/>
      <c r="H2611" s="559"/>
      <c r="I2611" s="559"/>
      <c r="J2611" s="559"/>
      <c r="K2611" s="559"/>
      <c r="L2611" s="560"/>
    </row>
    <row r="2612" spans="1:12">
      <c r="A2612" s="101"/>
      <c r="B2612" s="72" t="s">
        <v>108</v>
      </c>
      <c r="C2612" s="561">
        <f ca="1">OFFSET('Bateria indicadores proceso'!$P$3,(RIGHT(A2602,3)),1)</f>
        <v>2022</v>
      </c>
      <c r="D2612" s="561"/>
      <c r="E2612" s="561"/>
      <c r="F2612" s="561"/>
      <c r="G2612" s="561"/>
      <c r="H2612" s="561"/>
      <c r="I2612" s="561"/>
      <c r="J2612" s="561"/>
      <c r="K2612" s="561"/>
      <c r="L2612" s="566"/>
    </row>
    <row r="2613" spans="1:12">
      <c r="A2613" s="101"/>
      <c r="B2613" s="72" t="s">
        <v>109</v>
      </c>
      <c r="C2613" s="561" t="str">
        <f ca="1">IF(C2607="Número",TEXT(OFFSET('Bateria indicadores proceso'!$Q$3,(RIGHT(A2602,3)),1),"######"),TEXT(OFFSET('Bateria indicadores proceso'!$Q$3,(RIGHT(A2602,3)),1),"0.0%"))</f>
        <v>100%</v>
      </c>
      <c r="D2613" s="561"/>
      <c r="E2613" s="561"/>
      <c r="F2613" s="561"/>
      <c r="G2613" s="561"/>
      <c r="H2613" s="561"/>
      <c r="I2613" s="561"/>
      <c r="J2613" s="561"/>
      <c r="K2613" s="561"/>
      <c r="L2613" s="566"/>
    </row>
    <row r="2614" spans="1:12">
      <c r="A2614" s="101"/>
      <c r="B2614" s="72" t="s">
        <v>110</v>
      </c>
      <c r="C2614" s="593">
        <f ca="1">+OFFSET('Bateria indicadores proceso'!$R$3,(RIGHT(A2602,3)),1)</f>
        <v>46022</v>
      </c>
      <c r="D2614" s="593"/>
      <c r="E2614" s="593"/>
      <c r="F2614" s="593"/>
      <c r="G2614" s="593"/>
      <c r="H2614" s="593"/>
      <c r="I2614" s="593"/>
      <c r="J2614" s="593"/>
      <c r="K2614" s="593"/>
      <c r="L2614" s="594"/>
    </row>
    <row r="2615" spans="1:12">
      <c r="A2615" s="101"/>
      <c r="B2615" s="72" t="s">
        <v>111</v>
      </c>
      <c r="C2615" s="561" t="str">
        <f ca="1">OFFSET('Bateria indicadores proceso'!$M$3,(RIGHT(A2602,3)),1)</f>
        <v>Mantener</v>
      </c>
      <c r="D2615" s="561"/>
      <c r="E2615" s="561"/>
      <c r="F2615" s="561"/>
      <c r="G2615" s="561"/>
      <c r="H2615" s="561"/>
      <c r="I2615" s="561"/>
      <c r="J2615" s="561"/>
      <c r="K2615" s="561"/>
      <c r="L2615" s="566"/>
    </row>
    <row r="2616" spans="1:12">
      <c r="A2616" s="101"/>
      <c r="B2616" s="72" t="s">
        <v>112</v>
      </c>
      <c r="C2616" s="561" t="str">
        <f ca="1">OFFSET('Bateria indicadores proceso'!$N$3,(RIGHT(A2602,3)),1)</f>
        <v>Flujo</v>
      </c>
      <c r="D2616" s="561"/>
      <c r="E2616" s="561"/>
      <c r="F2616" s="561"/>
      <c r="G2616" s="561"/>
      <c r="H2616" s="561"/>
      <c r="I2616" s="561"/>
      <c r="J2616" s="561"/>
      <c r="K2616" s="561"/>
      <c r="L2616" s="566"/>
    </row>
    <row r="2617" spans="1:12">
      <c r="A2617" s="101"/>
      <c r="B2617" s="72" t="s">
        <v>113</v>
      </c>
      <c r="C2617" s="561" t="str">
        <f ca="1">IF(C2607="Número",TEXT(OFFSET('Bateria indicadores proceso'!$W$3,(RIGHT(A2602,3)),1),"######"),TEXT(OFFSET('Bateria indicadores proceso'!$W$3,(RIGHT(A2602,3)),1),"0.0%"))</f>
        <v>100%</v>
      </c>
      <c r="D2617" s="561"/>
      <c r="E2617" s="561"/>
      <c r="F2617" s="561"/>
      <c r="G2617" s="561"/>
      <c r="H2617" s="561"/>
      <c r="I2617" s="561"/>
      <c r="J2617" s="561"/>
      <c r="K2617" s="561"/>
      <c r="L2617" s="566"/>
    </row>
    <row r="2618" spans="1:12">
      <c r="A2618" s="101"/>
      <c r="B2618" s="595" t="s">
        <v>114</v>
      </c>
      <c r="C2618" s="70" t="s">
        <v>115</v>
      </c>
      <c r="D2618" s="70" t="s">
        <v>116</v>
      </c>
      <c r="E2618" s="70" t="s">
        <v>117</v>
      </c>
      <c r="F2618" s="70" t="s">
        <v>118</v>
      </c>
      <c r="J2618" s="75"/>
      <c r="K2618" s="75"/>
      <c r="L2618" s="76"/>
    </row>
    <row r="2619" spans="1:12">
      <c r="A2619" s="101"/>
      <c r="B2619" s="595"/>
      <c r="C2619" s="70" t="str">
        <f ca="1">IF(C2607="Número",TEXT(OFFSET('Bateria indicadores proceso'!$S$3,(RIGHT(A2602,3)),1),"######"),TEXT(OFFSET('Bateria indicadores proceso'!$S$3,(RIGHT(A2602,3)),1),"0.0%"))</f>
        <v>100%</v>
      </c>
      <c r="D2619" s="70" t="str">
        <f ca="1">IF(C2607="Número",TEXT(OFFSET('Bateria indicadores proceso'!$T$3,(RIGHT(A2602,3)),1),"######"),TEXT(OFFSET('Bateria indicadores proceso'!$T$3,(RIGHT(A2602,3)),1),"0.0%"))</f>
        <v>100%</v>
      </c>
      <c r="E2619" s="70" t="str">
        <f ca="1">IF(C2607="Número",TEXT(OFFSET('Bateria indicadores proceso'!$U$3,(RIGHT(A2602,3)),1),"######"),TEXT(OFFSET('Bateria indicadores proceso'!$U$3,(RIGHT(A2602,3)),1),"0.0%"))</f>
        <v>100%</v>
      </c>
      <c r="F2619" s="70" t="str">
        <f ca="1">IF(C2607="Número",TEXT(OFFSET('Bateria indicadores proceso'!$V$3,(RIGHT(A2602,3)),1),"######"),TEXT(OFFSET('Bateria indicadores proceso'!$V$3,(RIGHT(A2602,3)),1),"0.0%"))</f>
        <v>100%</v>
      </c>
      <c r="J2619" s="77"/>
      <c r="K2619" s="77"/>
      <c r="L2619" s="78"/>
    </row>
    <row r="2620" spans="1:12">
      <c r="A2620" s="101"/>
      <c r="B2620" s="600" t="s">
        <v>119</v>
      </c>
      <c r="C2620" s="567" t="s">
        <v>120</v>
      </c>
      <c r="D2620" s="568"/>
      <c r="E2620" s="567" t="s">
        <v>121</v>
      </c>
      <c r="F2620" s="568"/>
      <c r="G2620" s="567" t="s">
        <v>122</v>
      </c>
      <c r="H2620" s="568"/>
      <c r="I2620" s="567" t="s">
        <v>123</v>
      </c>
      <c r="J2620" s="568"/>
      <c r="K2620" s="567" t="s">
        <v>124</v>
      </c>
      <c r="L2620" s="569"/>
    </row>
    <row r="2621" spans="1:12">
      <c r="A2621" s="101"/>
      <c r="B2621" s="601"/>
      <c r="C2621" s="570" t="s">
        <v>125</v>
      </c>
      <c r="D2621" s="571"/>
      <c r="E2621" s="577" t="s">
        <v>126</v>
      </c>
      <c r="F2621" s="578"/>
      <c r="G2621" s="579" t="s">
        <v>127</v>
      </c>
      <c r="H2621" s="580"/>
      <c r="I2621" s="581" t="s">
        <v>128</v>
      </c>
      <c r="J2621" s="582"/>
      <c r="K2621" s="583" t="s">
        <v>129</v>
      </c>
      <c r="L2621" s="584"/>
    </row>
    <row r="2622" spans="1:12">
      <c r="A2622" s="101"/>
      <c r="B2622" s="602"/>
      <c r="C2622" s="567" t="s">
        <v>130</v>
      </c>
      <c r="D2622" s="568"/>
      <c r="E2622" s="567" t="s">
        <v>131</v>
      </c>
      <c r="F2622" s="568"/>
      <c r="G2622" s="585" t="s">
        <v>132</v>
      </c>
      <c r="H2622" s="568"/>
      <c r="I2622" s="567" t="s">
        <v>133</v>
      </c>
      <c r="J2622" s="568"/>
      <c r="K2622" s="567" t="s">
        <v>134</v>
      </c>
      <c r="L2622" s="569"/>
    </row>
    <row r="2623" spans="1:12">
      <c r="A2623" s="101"/>
      <c r="B2623" s="72" t="s">
        <v>135</v>
      </c>
      <c r="C2623" s="559" t="str">
        <f ca="1">OFFSET('Bateria indicadores proceso'!$Y$3,(RIGHT(A2602,3)),1)</f>
        <v>Reportes Mesa de Ayuda</v>
      </c>
      <c r="D2623" s="559"/>
      <c r="E2623" s="559"/>
      <c r="F2623" s="559"/>
      <c r="G2623" s="559"/>
      <c r="H2623" s="559"/>
      <c r="I2623" s="559"/>
      <c r="J2623" s="559"/>
      <c r="K2623" s="559"/>
      <c r="L2623" s="560"/>
    </row>
    <row r="2624" spans="1:12">
      <c r="A2624" s="101"/>
      <c r="B2624" s="591" t="s">
        <v>136</v>
      </c>
      <c r="C2624" s="561" t="s">
        <v>137</v>
      </c>
      <c r="D2624" s="561"/>
      <c r="E2624" s="561"/>
      <c r="F2624" s="562" t="str">
        <f ca="1">OFFSET('Bateria indicadores proceso'!$B$3,(RIGHT(A2602,3)),1)</f>
        <v>GESTIÓN TECNOLÓGICA</v>
      </c>
      <c r="G2624" s="562"/>
      <c r="H2624" s="562"/>
      <c r="I2624" s="562"/>
      <c r="J2624" s="562"/>
      <c r="K2624" s="562"/>
      <c r="L2624" s="563"/>
    </row>
    <row r="2625" spans="1:12">
      <c r="A2625" s="101"/>
      <c r="B2625" s="592"/>
      <c r="C2625" s="561" t="s">
        <v>138</v>
      </c>
      <c r="D2625" s="561"/>
      <c r="E2625" s="561"/>
      <c r="F2625" s="564">
        <f ca="1">OFFSET('Bateria indicadores proceso'!$C$3,(RIGHT(A2602,3)),1)</f>
        <v>1</v>
      </c>
      <c r="G2625" s="564"/>
      <c r="H2625" s="564"/>
      <c r="I2625" s="564"/>
      <c r="J2625" s="564"/>
      <c r="K2625" s="564"/>
      <c r="L2625" s="565"/>
    </row>
    <row r="2626" spans="1:12" ht="15.75" thickBot="1">
      <c r="A2626" s="101"/>
      <c r="B2626" s="592"/>
      <c r="C2626" s="561" t="s">
        <v>139</v>
      </c>
      <c r="D2626" s="561"/>
      <c r="E2626" s="561"/>
      <c r="F2626" s="564">
        <f ca="1">OFFSET('Bateria indicadores proceso'!$E$3,(RIGHT(A2602,3)),1)</f>
        <v>0.25</v>
      </c>
      <c r="G2626" s="564"/>
      <c r="H2626" s="564"/>
      <c r="I2626" s="564"/>
      <c r="J2626" s="564"/>
      <c r="K2626" s="564"/>
      <c r="L2626" s="565"/>
    </row>
    <row r="2627" spans="1:12" ht="16.5" thickBot="1">
      <c r="A2627" s="101"/>
      <c r="B2627" s="572" t="s">
        <v>140</v>
      </c>
      <c r="C2627" s="573"/>
      <c r="D2627" s="573"/>
      <c r="E2627" s="573"/>
      <c r="F2627" s="573"/>
      <c r="G2627" s="573"/>
      <c r="H2627" s="573"/>
      <c r="I2627" s="573"/>
      <c r="J2627" s="573"/>
      <c r="K2627" s="573"/>
      <c r="L2627" s="574"/>
    </row>
    <row r="2628" spans="1:12">
      <c r="A2628" s="101"/>
      <c r="B2628" s="72" t="s">
        <v>142</v>
      </c>
      <c r="C2628" s="561" t="str">
        <f ca="1">OFFSET('Bateria indicadores proceso'!$G$3,(RIGHT(A2602,3)),1)</f>
        <v xml:space="preserve">Jefe de Oficina </v>
      </c>
      <c r="D2628" s="561"/>
      <c r="E2628" s="561"/>
      <c r="F2628" s="561"/>
      <c r="G2628" s="561"/>
      <c r="H2628" s="561"/>
      <c r="I2628" s="561"/>
      <c r="J2628" s="561"/>
      <c r="K2628" s="561"/>
      <c r="L2628" s="566"/>
    </row>
    <row r="2629" spans="1:12">
      <c r="A2629" s="101"/>
      <c r="B2629" s="72" t="s">
        <v>143</v>
      </c>
      <c r="C2629" s="561" t="str">
        <f ca="1">OFFSET('Bateria indicadores proceso'!$F$3,(RIGHT(A2602,3)),1)</f>
        <v>Oficina de Información Pública del Interior</v>
      </c>
      <c r="D2629" s="561"/>
      <c r="E2629" s="561"/>
      <c r="F2629" s="561"/>
      <c r="G2629" s="561"/>
      <c r="H2629" s="561"/>
      <c r="I2629" s="561"/>
      <c r="J2629" s="561"/>
      <c r="K2629" s="561"/>
      <c r="L2629" s="566"/>
    </row>
    <row r="2630" spans="1:12">
      <c r="A2630" s="101"/>
      <c r="B2630" s="72" t="s">
        <v>144</v>
      </c>
      <c r="C2630" s="598" t="str">
        <f ca="1">OFFSET('Bateria indicadores proceso'!$H$3,(RIGHT(A2566,3)),1)</f>
        <v>yitcy.becerra@mininterior.gov.co</v>
      </c>
      <c r="D2630" s="598"/>
      <c r="E2630" s="598"/>
      <c r="F2630" s="598"/>
      <c r="G2630" s="598"/>
      <c r="H2630" s="598"/>
      <c r="I2630" s="598"/>
      <c r="J2630" s="598"/>
      <c r="K2630" s="598"/>
      <c r="L2630" s="599"/>
    </row>
    <row r="2631" spans="1:12" ht="15.75" thickBot="1">
      <c r="A2631" s="104"/>
      <c r="B2631" s="74" t="s">
        <v>145</v>
      </c>
      <c r="C2631" s="596" t="s">
        <v>146</v>
      </c>
      <c r="D2631" s="596"/>
      <c r="E2631" s="596"/>
      <c r="F2631" s="596"/>
      <c r="G2631" s="596"/>
      <c r="H2631" s="596"/>
      <c r="I2631" s="596"/>
      <c r="J2631" s="596"/>
      <c r="K2631" s="596"/>
      <c r="L2631" s="597"/>
    </row>
    <row r="2632" spans="1:12" ht="15.75" thickBot="1"/>
    <row r="2633" spans="1:12" ht="21.75" thickBot="1">
      <c r="A2633" s="586" t="s">
        <v>89</v>
      </c>
      <c r="B2633" s="587"/>
      <c r="C2633" s="587"/>
      <c r="D2633" s="587"/>
      <c r="E2633" s="587"/>
      <c r="F2633" s="587"/>
      <c r="G2633" s="587"/>
      <c r="H2633" s="587"/>
      <c r="I2633" s="587"/>
      <c r="J2633" s="587"/>
      <c r="K2633" s="587"/>
      <c r="L2633" s="588"/>
    </row>
    <row r="2634" spans="1:12" ht="32.25" thickBot="1">
      <c r="A2634" s="69" t="s">
        <v>90</v>
      </c>
      <c r="B2634" s="589" t="s">
        <v>91</v>
      </c>
      <c r="C2634" s="589"/>
      <c r="D2634" s="589"/>
      <c r="E2634" s="589"/>
      <c r="F2634" s="589"/>
      <c r="G2634" s="589"/>
      <c r="H2634" s="589"/>
      <c r="I2634" s="589"/>
      <c r="J2634" s="589"/>
      <c r="K2634" s="589"/>
      <c r="L2634" s="589"/>
    </row>
    <row r="2635" spans="1:12" ht="16.5" thickBot="1">
      <c r="A2635" s="100"/>
      <c r="B2635" s="71" t="s">
        <v>92</v>
      </c>
      <c r="C2635" s="575" t="s">
        <v>93</v>
      </c>
      <c r="D2635" s="575"/>
      <c r="E2635" s="575"/>
      <c r="F2635" s="575"/>
      <c r="G2635" s="575"/>
      <c r="H2635" s="575"/>
      <c r="I2635" s="575"/>
      <c r="J2635" s="575"/>
      <c r="K2635" s="575"/>
      <c r="L2635" s="576"/>
    </row>
    <row r="2636" spans="1:12" ht="16.5" thickBot="1">
      <c r="A2636" s="101"/>
      <c r="B2636" s="589" t="s">
        <v>94</v>
      </c>
      <c r="C2636" s="590"/>
      <c r="D2636" s="590"/>
      <c r="E2636" s="590"/>
      <c r="F2636" s="590"/>
      <c r="G2636" s="590"/>
      <c r="H2636" s="590"/>
      <c r="I2636" s="590"/>
      <c r="J2636" s="590"/>
      <c r="K2636" s="590"/>
      <c r="L2636" s="590"/>
    </row>
    <row r="2637" spans="1:12">
      <c r="A2637" s="101"/>
      <c r="B2637" s="71" t="s">
        <v>95</v>
      </c>
      <c r="C2637" s="559" t="s">
        <v>96</v>
      </c>
      <c r="D2637" s="559"/>
      <c r="E2637" s="559"/>
      <c r="F2637" s="559"/>
      <c r="G2637" s="559"/>
      <c r="H2637" s="559"/>
      <c r="I2637" s="559"/>
      <c r="J2637" s="559"/>
      <c r="K2637" s="559"/>
      <c r="L2637" s="560"/>
    </row>
    <row r="2638" spans="1:12">
      <c r="A2638" s="102" t="s">
        <v>219</v>
      </c>
      <c r="B2638" s="72" t="s">
        <v>98</v>
      </c>
      <c r="C2638" s="559" t="str">
        <f ca="1">OFFSET('Bateria indicadores proceso'!$F$3,(RIGHT(A2638,3)),1)</f>
        <v>Oficina de Información Pública del Interior</v>
      </c>
      <c r="D2638" s="559"/>
      <c r="E2638" s="559"/>
      <c r="F2638" s="559"/>
      <c r="G2638" s="559"/>
      <c r="H2638" s="559"/>
      <c r="I2638" s="559"/>
      <c r="J2638" s="559"/>
      <c r="K2638" s="559"/>
      <c r="L2638" s="560"/>
    </row>
    <row r="2639" spans="1:12">
      <c r="A2639" s="101"/>
      <c r="B2639" s="72" t="s">
        <v>99</v>
      </c>
      <c r="C2639" s="559" t="str">
        <f ca="1">OFFSET('Bateria indicadores proceso'!$K$3,(RIGHT(A2638,3)),1)</f>
        <v>Servicios de Conectividad y Colocación contratados en el Ministerio del Interior.</v>
      </c>
      <c r="D2639" s="559"/>
      <c r="E2639" s="559"/>
      <c r="F2639" s="559"/>
      <c r="G2639" s="559"/>
      <c r="H2639" s="559"/>
      <c r="I2639" s="559"/>
      <c r="J2639" s="559"/>
      <c r="K2639" s="559"/>
      <c r="L2639" s="560"/>
    </row>
    <row r="2640" spans="1:12">
      <c r="A2640" s="101"/>
      <c r="B2640" s="72" t="s">
        <v>100</v>
      </c>
      <c r="C2640" s="559" t="str">
        <f ca="1">OFFSET('Bateria indicadores proceso'!$I$3,(RIGHT(A2638,3)),1)</f>
        <v>Eficacia</v>
      </c>
      <c r="D2640" s="559"/>
      <c r="E2640" s="559"/>
      <c r="F2640" s="559"/>
      <c r="G2640" s="559"/>
      <c r="H2640" s="559"/>
      <c r="I2640" s="559"/>
      <c r="J2640" s="559"/>
      <c r="K2640" s="559"/>
      <c r="L2640" s="560"/>
    </row>
    <row r="2641" spans="1:12" ht="15.75" thickBot="1">
      <c r="A2641" s="103"/>
      <c r="B2641" s="73" t="s">
        <v>101</v>
      </c>
      <c r="C2641" s="559" t="str">
        <f ca="1">OFFSET('Bateria indicadores proceso'!$J$3,(RIGHT(A2638,3)),1)</f>
        <v>Asegurar la continuidad de los servicios de conectividad y colocación del Ministerio. Es importante medirlo porque permite garantizar la disponibilidad de los servicios tecnológicos, evitar interrupciones y asegurar la operación institucional. El indicador está orientado a mantener, asegurando niveles óptimos y estables de servicio.</v>
      </c>
      <c r="D2641" s="559"/>
      <c r="E2641" s="559"/>
      <c r="F2641" s="559"/>
      <c r="G2641" s="559"/>
      <c r="H2641" s="559"/>
      <c r="I2641" s="559"/>
      <c r="J2641" s="559"/>
      <c r="K2641" s="559"/>
      <c r="L2641" s="560"/>
    </row>
    <row r="2642" spans="1:12" ht="16.5" thickBot="1">
      <c r="A2642" s="103"/>
      <c r="B2642" s="572" t="s">
        <v>102</v>
      </c>
      <c r="C2642" s="573"/>
      <c r="D2642" s="573"/>
      <c r="E2642" s="573"/>
      <c r="F2642" s="573"/>
      <c r="G2642" s="573"/>
      <c r="H2642" s="573"/>
      <c r="I2642" s="573"/>
      <c r="J2642" s="573"/>
      <c r="K2642" s="573"/>
      <c r="L2642" s="574"/>
    </row>
    <row r="2643" spans="1:12">
      <c r="A2643" s="101"/>
      <c r="B2643" s="71" t="s">
        <v>103</v>
      </c>
      <c r="C2643" s="559" t="str">
        <f ca="1">OFFSET('Bateria indicadores proceso'!$O$3,(RIGHT(A2638,3)),1)</f>
        <v>Porcentaje</v>
      </c>
      <c r="D2643" s="559"/>
      <c r="E2643" s="559"/>
      <c r="F2643" s="559"/>
      <c r="G2643" s="559"/>
      <c r="H2643" s="559"/>
      <c r="I2643" s="559"/>
      <c r="J2643" s="559"/>
      <c r="K2643" s="559"/>
      <c r="L2643" s="560"/>
    </row>
    <row r="2644" spans="1:12" ht="24">
      <c r="A2644" s="101"/>
      <c r="B2644" s="72" t="s">
        <v>104</v>
      </c>
      <c r="C2644" s="559"/>
      <c r="D2644" s="559"/>
      <c r="E2644" s="559"/>
      <c r="F2644" s="559"/>
      <c r="G2644" s="559"/>
      <c r="H2644" s="559"/>
      <c r="I2644" s="559"/>
      <c r="J2644" s="559"/>
      <c r="K2644" s="559"/>
      <c r="L2644" s="560"/>
    </row>
    <row r="2645" spans="1:12">
      <c r="A2645" s="101"/>
      <c r="B2645" s="72" t="s">
        <v>105</v>
      </c>
      <c r="C2645" s="559" t="str">
        <f ca="1">OFFSET('Bateria indicadores proceso'!$L$3,(RIGHT(A2638,3)),1)</f>
        <v xml:space="preserve">(Número de servicio de conectividad y colocación contratados/Número de servicio de conectividad y colocación requerido)*100									</v>
      </c>
      <c r="D2645" s="559"/>
      <c r="E2645" s="559"/>
      <c r="F2645" s="559"/>
      <c r="G2645" s="559"/>
      <c r="H2645" s="559"/>
      <c r="I2645" s="559"/>
      <c r="J2645" s="559"/>
      <c r="K2645" s="559"/>
      <c r="L2645" s="560"/>
    </row>
    <row r="2646" spans="1:12">
      <c r="A2646" s="101"/>
      <c r="B2646" s="72" t="s">
        <v>106</v>
      </c>
      <c r="C2646" s="559" t="str">
        <f ca="1">OFFSET('Bateria indicadores proceso'!$Z$3,(RIGHT(A2638,3)),1)</f>
        <v>Trimestral</v>
      </c>
      <c r="D2646" s="559"/>
      <c r="E2646" s="559"/>
      <c r="F2646" s="559"/>
      <c r="G2646" s="559"/>
      <c r="H2646" s="559"/>
      <c r="I2646" s="559"/>
      <c r="J2646" s="559"/>
      <c r="K2646" s="559"/>
      <c r="L2646" s="560"/>
    </row>
    <row r="2647" spans="1:12">
      <c r="A2647" s="101"/>
      <c r="B2647" s="72" t="s">
        <v>107</v>
      </c>
      <c r="C2647" s="559" t="str">
        <f ca="1">OFFSET('Bateria indicadores proceso'!$X$3,(RIGHT(A2638,3)),1)</f>
        <v>Contratos vigentes de Conectividad y Colocación.</v>
      </c>
      <c r="D2647" s="559"/>
      <c r="E2647" s="559"/>
      <c r="F2647" s="559"/>
      <c r="G2647" s="559"/>
      <c r="H2647" s="559"/>
      <c r="I2647" s="559"/>
      <c r="J2647" s="559"/>
      <c r="K2647" s="559"/>
      <c r="L2647" s="560"/>
    </row>
    <row r="2648" spans="1:12">
      <c r="A2648" s="101"/>
      <c r="B2648" s="72" t="s">
        <v>108</v>
      </c>
      <c r="C2648" s="561">
        <f ca="1">OFFSET('Bateria indicadores proceso'!$P$3,(RIGHT(A2638,3)),1)</f>
        <v>2025</v>
      </c>
      <c r="D2648" s="561"/>
      <c r="E2648" s="561"/>
      <c r="F2648" s="561"/>
      <c r="G2648" s="561"/>
      <c r="H2648" s="561"/>
      <c r="I2648" s="561"/>
      <c r="J2648" s="561"/>
      <c r="K2648" s="561"/>
      <c r="L2648" s="566"/>
    </row>
    <row r="2649" spans="1:12">
      <c r="A2649" s="101"/>
      <c r="B2649" s="72" t="s">
        <v>109</v>
      </c>
      <c r="C2649" s="561" t="str">
        <f ca="1">IF(C2643="Número",TEXT(OFFSET('Bateria indicadores proceso'!$Q$3,(RIGHT(A2638,3)),1),"######"),TEXT(OFFSET('Bateria indicadores proceso'!$Q$3,(RIGHT(A2638,3)),1),"0.0%"))</f>
        <v>100%</v>
      </c>
      <c r="D2649" s="561"/>
      <c r="E2649" s="561"/>
      <c r="F2649" s="561"/>
      <c r="G2649" s="561"/>
      <c r="H2649" s="561"/>
      <c r="I2649" s="561"/>
      <c r="J2649" s="561"/>
      <c r="K2649" s="561"/>
      <c r="L2649" s="566"/>
    </row>
    <row r="2650" spans="1:12">
      <c r="A2650" s="101"/>
      <c r="B2650" s="72" t="s">
        <v>110</v>
      </c>
      <c r="C2650" s="593">
        <f ca="1">+OFFSET('Bateria indicadores proceso'!$R$3,(RIGHT(A2638,3)),1)</f>
        <v>46022</v>
      </c>
      <c r="D2650" s="593"/>
      <c r="E2650" s="593"/>
      <c r="F2650" s="593"/>
      <c r="G2650" s="593"/>
      <c r="H2650" s="593"/>
      <c r="I2650" s="593"/>
      <c r="J2650" s="593"/>
      <c r="K2650" s="593"/>
      <c r="L2650" s="594"/>
    </row>
    <row r="2651" spans="1:12">
      <c r="A2651" s="101"/>
      <c r="B2651" s="72" t="s">
        <v>111</v>
      </c>
      <c r="C2651" s="561" t="str">
        <f ca="1">OFFSET('Bateria indicadores proceso'!$M$3,(RIGHT(A2638,3)),1)</f>
        <v>Mantener</v>
      </c>
      <c r="D2651" s="561"/>
      <c r="E2651" s="561"/>
      <c r="F2651" s="561"/>
      <c r="G2651" s="561"/>
      <c r="H2651" s="561"/>
      <c r="I2651" s="561"/>
      <c r="J2651" s="561"/>
      <c r="K2651" s="561"/>
      <c r="L2651" s="566"/>
    </row>
    <row r="2652" spans="1:12">
      <c r="A2652" s="101"/>
      <c r="B2652" s="72" t="s">
        <v>112</v>
      </c>
      <c r="C2652" s="561" t="str">
        <f ca="1">OFFSET('Bateria indicadores proceso'!$N$3,(RIGHT(A2638,3)),1)</f>
        <v>Flujo</v>
      </c>
      <c r="D2652" s="561"/>
      <c r="E2652" s="561"/>
      <c r="F2652" s="561"/>
      <c r="G2652" s="561"/>
      <c r="H2652" s="561"/>
      <c r="I2652" s="561"/>
      <c r="J2652" s="561"/>
      <c r="K2652" s="561"/>
      <c r="L2652" s="566"/>
    </row>
    <row r="2653" spans="1:12">
      <c r="A2653" s="101"/>
      <c r="B2653" s="72" t="s">
        <v>113</v>
      </c>
      <c r="C2653" s="561" t="str">
        <f ca="1">IF(C2643="Número",TEXT(OFFSET('Bateria indicadores proceso'!$W$3,(RIGHT(A2638,3)),1),"######"),TEXT(OFFSET('Bateria indicadores proceso'!$W$3,(RIGHT(A2638,3)),1),"0.0%"))</f>
        <v>100%</v>
      </c>
      <c r="D2653" s="561"/>
      <c r="E2653" s="561"/>
      <c r="F2653" s="561"/>
      <c r="G2653" s="561"/>
      <c r="H2653" s="561"/>
      <c r="I2653" s="561"/>
      <c r="J2653" s="561"/>
      <c r="K2653" s="561"/>
      <c r="L2653" s="566"/>
    </row>
    <row r="2654" spans="1:12">
      <c r="A2654" s="101"/>
      <c r="B2654" s="595" t="s">
        <v>114</v>
      </c>
      <c r="C2654" s="70" t="s">
        <v>115</v>
      </c>
      <c r="D2654" s="70" t="s">
        <v>116</v>
      </c>
      <c r="E2654" s="70" t="s">
        <v>117</v>
      </c>
      <c r="F2654" s="70" t="s">
        <v>118</v>
      </c>
      <c r="J2654" s="75"/>
      <c r="K2654" s="75"/>
      <c r="L2654" s="76"/>
    </row>
    <row r="2655" spans="1:12">
      <c r="A2655" s="101"/>
      <c r="B2655" s="595"/>
      <c r="C2655" s="70" t="str">
        <f ca="1">IF(C2643="Número",TEXT(OFFSET('Bateria indicadores proceso'!$S$3,(RIGHT(A2638,3)),1),"######"),TEXT(OFFSET('Bateria indicadores proceso'!$S$3,(RIGHT(A2638,3)),1),"0.0%"))</f>
        <v>100%</v>
      </c>
      <c r="D2655" s="70" t="str">
        <f ca="1">IF(C2643="Número",TEXT(OFFSET('Bateria indicadores proceso'!$T$3,(RIGHT(A2638,3)),1),"######"),TEXT(OFFSET('Bateria indicadores proceso'!$T$3,(RIGHT(A2638,3)),1),"0.0%"))</f>
        <v>100%</v>
      </c>
      <c r="E2655" s="70" t="str">
        <f ca="1">IF(C2643="Número",TEXT(OFFSET('Bateria indicadores proceso'!$U$3,(RIGHT(A2638,3)),1),"######"),TEXT(OFFSET('Bateria indicadores proceso'!$U$3,(RIGHT(A2638,3)),1),"0.0%"))</f>
        <v>100%</v>
      </c>
      <c r="F2655" s="70" t="str">
        <f ca="1">IF(C2643="Número",TEXT(OFFSET('Bateria indicadores proceso'!$V$3,(RIGHT(A2638,3)),1),"######"),TEXT(OFFSET('Bateria indicadores proceso'!$V$3,(RIGHT(A2638,3)),1),"0.0%"))</f>
        <v>100%</v>
      </c>
      <c r="J2655" s="77"/>
      <c r="K2655" s="77"/>
      <c r="L2655" s="78"/>
    </row>
    <row r="2656" spans="1:12">
      <c r="A2656" s="101"/>
      <c r="B2656" s="600" t="s">
        <v>119</v>
      </c>
      <c r="C2656" s="567" t="s">
        <v>120</v>
      </c>
      <c r="D2656" s="568"/>
      <c r="E2656" s="567" t="s">
        <v>121</v>
      </c>
      <c r="F2656" s="568"/>
      <c r="G2656" s="567" t="s">
        <v>122</v>
      </c>
      <c r="H2656" s="568"/>
      <c r="I2656" s="567" t="s">
        <v>123</v>
      </c>
      <c r="J2656" s="568"/>
      <c r="K2656" s="567" t="s">
        <v>124</v>
      </c>
      <c r="L2656" s="569"/>
    </row>
    <row r="2657" spans="1:12">
      <c r="A2657" s="101"/>
      <c r="B2657" s="601"/>
      <c r="C2657" s="570" t="s">
        <v>125</v>
      </c>
      <c r="D2657" s="571"/>
      <c r="E2657" s="577" t="s">
        <v>126</v>
      </c>
      <c r="F2657" s="578"/>
      <c r="G2657" s="579" t="s">
        <v>127</v>
      </c>
      <c r="H2657" s="580"/>
      <c r="I2657" s="581" t="s">
        <v>128</v>
      </c>
      <c r="J2657" s="582"/>
      <c r="K2657" s="583" t="s">
        <v>129</v>
      </c>
      <c r="L2657" s="584"/>
    </row>
    <row r="2658" spans="1:12">
      <c r="A2658" s="101"/>
      <c r="B2658" s="602"/>
      <c r="C2658" s="567" t="s">
        <v>130</v>
      </c>
      <c r="D2658" s="568"/>
      <c r="E2658" s="567" t="s">
        <v>131</v>
      </c>
      <c r="F2658" s="568"/>
      <c r="G2658" s="585" t="s">
        <v>132</v>
      </c>
      <c r="H2658" s="568"/>
      <c r="I2658" s="567" t="s">
        <v>133</v>
      </c>
      <c r="J2658" s="568"/>
      <c r="K2658" s="567" t="s">
        <v>134</v>
      </c>
      <c r="L2658" s="569"/>
    </row>
    <row r="2659" spans="1:12">
      <c r="A2659" s="101"/>
      <c r="B2659" s="72" t="s">
        <v>135</v>
      </c>
      <c r="C2659" s="559" t="str">
        <f ca="1">OFFSET('Bateria indicadores proceso'!$Y$3,(RIGHT(A2638,3)),1)</f>
        <v>Contratos de servicio tecnológico</v>
      </c>
      <c r="D2659" s="559"/>
      <c r="E2659" s="559"/>
      <c r="F2659" s="559"/>
      <c r="G2659" s="559"/>
      <c r="H2659" s="559"/>
      <c r="I2659" s="559"/>
      <c r="J2659" s="559"/>
      <c r="K2659" s="559"/>
      <c r="L2659" s="560"/>
    </row>
    <row r="2660" spans="1:12">
      <c r="A2660" s="101"/>
      <c r="B2660" s="591" t="s">
        <v>136</v>
      </c>
      <c r="C2660" s="561" t="s">
        <v>137</v>
      </c>
      <c r="D2660" s="561"/>
      <c r="E2660" s="561"/>
      <c r="F2660" s="562" t="str">
        <f ca="1">OFFSET('Bateria indicadores proceso'!$B$3,(RIGHT(A2638,3)),1)</f>
        <v>GESTIÓN TECNOLÓGICA</v>
      </c>
      <c r="G2660" s="562"/>
      <c r="H2660" s="562"/>
      <c r="I2660" s="562"/>
      <c r="J2660" s="562"/>
      <c r="K2660" s="562"/>
      <c r="L2660" s="563"/>
    </row>
    <row r="2661" spans="1:12">
      <c r="A2661" s="101"/>
      <c r="B2661" s="592"/>
      <c r="C2661" s="561" t="s">
        <v>138</v>
      </c>
      <c r="D2661" s="561"/>
      <c r="E2661" s="561"/>
      <c r="F2661" s="564">
        <f ca="1">OFFSET('Bateria indicadores proceso'!$C$3,(RIGHT(A2638,3)),1)</f>
        <v>1</v>
      </c>
      <c r="G2661" s="564"/>
      <c r="H2661" s="564"/>
      <c r="I2661" s="564"/>
      <c r="J2661" s="564"/>
      <c r="K2661" s="564"/>
      <c r="L2661" s="565"/>
    </row>
    <row r="2662" spans="1:12" ht="15.75" thickBot="1">
      <c r="A2662" s="101"/>
      <c r="B2662" s="592"/>
      <c r="C2662" s="561" t="s">
        <v>139</v>
      </c>
      <c r="D2662" s="561"/>
      <c r="E2662" s="561"/>
      <c r="F2662" s="564">
        <f ca="1">OFFSET('Bateria indicadores proceso'!$E$3,(RIGHT(A2638,3)),1)</f>
        <v>0.25</v>
      </c>
      <c r="G2662" s="564"/>
      <c r="H2662" s="564"/>
      <c r="I2662" s="564"/>
      <c r="J2662" s="564"/>
      <c r="K2662" s="564"/>
      <c r="L2662" s="565"/>
    </row>
    <row r="2663" spans="1:12" ht="16.5" thickBot="1">
      <c r="A2663" s="101"/>
      <c r="B2663" s="572" t="s">
        <v>140</v>
      </c>
      <c r="C2663" s="573"/>
      <c r="D2663" s="573"/>
      <c r="E2663" s="573"/>
      <c r="F2663" s="573"/>
      <c r="G2663" s="573"/>
      <c r="H2663" s="573"/>
      <c r="I2663" s="573"/>
      <c r="J2663" s="573"/>
      <c r="K2663" s="573"/>
      <c r="L2663" s="574"/>
    </row>
    <row r="2664" spans="1:12">
      <c r="A2664" s="101"/>
      <c r="B2664" s="72" t="s">
        <v>142</v>
      </c>
      <c r="C2664" s="561" t="str">
        <f ca="1">OFFSET('Bateria indicadores proceso'!$G$3,(RIGHT(A2638,3)),1)</f>
        <v xml:space="preserve">Jefe de Oficina </v>
      </c>
      <c r="D2664" s="561"/>
      <c r="E2664" s="561"/>
      <c r="F2664" s="561"/>
      <c r="G2664" s="561"/>
      <c r="H2664" s="561"/>
      <c r="I2664" s="561"/>
      <c r="J2664" s="561"/>
      <c r="K2664" s="561"/>
      <c r="L2664" s="566"/>
    </row>
    <row r="2665" spans="1:12">
      <c r="A2665" s="101"/>
      <c r="B2665" s="72" t="s">
        <v>143</v>
      </c>
      <c r="C2665" s="561" t="str">
        <f ca="1">OFFSET('Bateria indicadores proceso'!$F$3,(RIGHT(A2638,3)),1)</f>
        <v>Oficina de Información Pública del Interior</v>
      </c>
      <c r="D2665" s="561"/>
      <c r="E2665" s="561"/>
      <c r="F2665" s="561"/>
      <c r="G2665" s="561"/>
      <c r="H2665" s="561"/>
      <c r="I2665" s="561"/>
      <c r="J2665" s="561"/>
      <c r="K2665" s="561"/>
      <c r="L2665" s="566"/>
    </row>
    <row r="2666" spans="1:12">
      <c r="A2666" s="101"/>
      <c r="B2666" s="72" t="s">
        <v>144</v>
      </c>
      <c r="C2666" s="598" t="str">
        <f ca="1">OFFSET('Bateria indicadores proceso'!$H$3,(RIGHT(A2638,3)),1)</f>
        <v>yitcy.becerra@mininterior.gov.co</v>
      </c>
      <c r="D2666" s="598"/>
      <c r="E2666" s="598"/>
      <c r="F2666" s="598"/>
      <c r="G2666" s="598"/>
      <c r="H2666" s="598"/>
      <c r="I2666" s="598"/>
      <c r="J2666" s="598"/>
      <c r="K2666" s="598"/>
      <c r="L2666" s="599"/>
    </row>
    <row r="2667" spans="1:12" ht="15.75" thickBot="1">
      <c r="A2667" s="104"/>
      <c r="B2667" s="74" t="s">
        <v>145</v>
      </c>
      <c r="C2667" s="596" t="s">
        <v>146</v>
      </c>
      <c r="D2667" s="596"/>
      <c r="E2667" s="596"/>
      <c r="F2667" s="596"/>
      <c r="G2667" s="596"/>
      <c r="H2667" s="596"/>
      <c r="I2667" s="596"/>
      <c r="J2667" s="596"/>
      <c r="K2667" s="596"/>
      <c r="L2667" s="597"/>
    </row>
    <row r="2668" spans="1:12" ht="15.75" thickBot="1"/>
    <row r="2669" spans="1:12" ht="21.75" thickBot="1">
      <c r="A2669" s="586" t="s">
        <v>89</v>
      </c>
      <c r="B2669" s="587"/>
      <c r="C2669" s="587"/>
      <c r="D2669" s="587"/>
      <c r="E2669" s="587"/>
      <c r="F2669" s="587"/>
      <c r="G2669" s="587"/>
      <c r="H2669" s="587"/>
      <c r="I2669" s="587"/>
      <c r="J2669" s="587"/>
      <c r="K2669" s="587"/>
      <c r="L2669" s="588"/>
    </row>
    <row r="2670" spans="1:12" ht="32.25" thickBot="1">
      <c r="A2670" s="69" t="s">
        <v>90</v>
      </c>
      <c r="B2670" s="589" t="s">
        <v>91</v>
      </c>
      <c r="C2670" s="589"/>
      <c r="D2670" s="589"/>
      <c r="E2670" s="589"/>
      <c r="F2670" s="589"/>
      <c r="G2670" s="589"/>
      <c r="H2670" s="589"/>
      <c r="I2670" s="589"/>
      <c r="J2670" s="589"/>
      <c r="K2670" s="589"/>
      <c r="L2670" s="589"/>
    </row>
    <row r="2671" spans="1:12" ht="16.5" thickBot="1">
      <c r="A2671" s="100"/>
      <c r="B2671" s="71" t="s">
        <v>92</v>
      </c>
      <c r="C2671" s="575" t="s">
        <v>93</v>
      </c>
      <c r="D2671" s="575"/>
      <c r="E2671" s="575"/>
      <c r="F2671" s="575"/>
      <c r="G2671" s="575"/>
      <c r="H2671" s="575"/>
      <c r="I2671" s="575"/>
      <c r="J2671" s="575"/>
      <c r="K2671" s="575"/>
      <c r="L2671" s="576"/>
    </row>
    <row r="2672" spans="1:12" ht="16.5" thickBot="1">
      <c r="A2672" s="101"/>
      <c r="B2672" s="589" t="s">
        <v>94</v>
      </c>
      <c r="C2672" s="590"/>
      <c r="D2672" s="590"/>
      <c r="E2672" s="590"/>
      <c r="F2672" s="590"/>
      <c r="G2672" s="590"/>
      <c r="H2672" s="590"/>
      <c r="I2672" s="590"/>
      <c r="J2672" s="590"/>
      <c r="K2672" s="590"/>
      <c r="L2672" s="590"/>
    </row>
    <row r="2673" spans="1:12">
      <c r="A2673" s="101"/>
      <c r="B2673" s="71" t="s">
        <v>95</v>
      </c>
      <c r="C2673" s="559" t="s">
        <v>96</v>
      </c>
      <c r="D2673" s="559"/>
      <c r="E2673" s="559"/>
      <c r="F2673" s="559"/>
      <c r="G2673" s="559"/>
      <c r="H2673" s="559"/>
      <c r="I2673" s="559"/>
      <c r="J2673" s="559"/>
      <c r="K2673" s="559"/>
      <c r="L2673" s="560"/>
    </row>
    <row r="2674" spans="1:12">
      <c r="A2674" s="102" t="s">
        <v>220</v>
      </c>
      <c r="B2674" s="72" t="s">
        <v>98</v>
      </c>
      <c r="C2674" s="559" t="str">
        <f ca="1">OFFSET('Bateria indicadores proceso'!$F$3,(RIGHT(A2674,3)),1)</f>
        <v>Oficina de Información Pública del Interior</v>
      </c>
      <c r="D2674" s="559"/>
      <c r="E2674" s="559"/>
      <c r="F2674" s="559"/>
      <c r="G2674" s="559"/>
      <c r="H2674" s="559"/>
      <c r="I2674" s="559"/>
      <c r="J2674" s="559"/>
      <c r="K2674" s="559"/>
      <c r="L2674" s="560"/>
    </row>
    <row r="2675" spans="1:12">
      <c r="A2675" s="101"/>
      <c r="B2675" s="72" t="s">
        <v>99</v>
      </c>
      <c r="C2675" s="559" t="str">
        <f ca="1">OFFSET('Bateria indicadores proceso'!$K$3,(RIGHT(A2674,3)),1)</f>
        <v>Cantidad de incidentes de seguridad gestionados</v>
      </c>
      <c r="D2675" s="559"/>
      <c r="E2675" s="559"/>
      <c r="F2675" s="559"/>
      <c r="G2675" s="559"/>
      <c r="H2675" s="559"/>
      <c r="I2675" s="559"/>
      <c r="J2675" s="559"/>
      <c r="K2675" s="559"/>
      <c r="L2675" s="560"/>
    </row>
    <row r="2676" spans="1:12">
      <c r="A2676" s="101"/>
      <c r="B2676" s="72" t="s">
        <v>100</v>
      </c>
      <c r="C2676" s="559" t="str">
        <f ca="1">OFFSET('Bateria indicadores proceso'!$I$3,(RIGHT(A2674,3)),1)</f>
        <v>Eficacia</v>
      </c>
      <c r="D2676" s="559"/>
      <c r="E2676" s="559"/>
      <c r="F2676" s="559"/>
      <c r="G2676" s="559"/>
      <c r="H2676" s="559"/>
      <c r="I2676" s="559"/>
      <c r="J2676" s="559"/>
      <c r="K2676" s="559"/>
      <c r="L2676" s="560"/>
    </row>
    <row r="2677" spans="1:12" ht="15.75" thickBot="1">
      <c r="A2677" s="103"/>
      <c r="B2677" s="73" t="s">
        <v>101</v>
      </c>
      <c r="C2677" s="559" t="str">
        <f ca="1">OFFSET('Bateria indicadores proceso'!$J$3,(RIGHT(A2674,3)),1)</f>
        <v xml:space="preserve">Identificar y mitigar los riesgos de seguridad informática, como virus, troyanos, gusanos y demás tipos de malware reportados por Kaspersky Endpoint Security en los equipos de usuario final del Ministerio del Interior. Es importante medirlo porque permite evaluar la capacidad de respuesta frente a amenazas y garantizar la protección de la información institucional. El indicador está orientado a mantener, asegurando un nivel estable y continuo de gestión y control de los incidentes de malware.									</v>
      </c>
      <c r="D2677" s="559"/>
      <c r="E2677" s="559"/>
      <c r="F2677" s="559"/>
      <c r="G2677" s="559"/>
      <c r="H2677" s="559"/>
      <c r="I2677" s="559"/>
      <c r="J2677" s="559"/>
      <c r="K2677" s="559"/>
      <c r="L2677" s="560"/>
    </row>
    <row r="2678" spans="1:12" ht="16.5" thickBot="1">
      <c r="A2678" s="103"/>
      <c r="B2678" s="572" t="s">
        <v>102</v>
      </c>
      <c r="C2678" s="573"/>
      <c r="D2678" s="573"/>
      <c r="E2678" s="573"/>
      <c r="F2678" s="573"/>
      <c r="G2678" s="573"/>
      <c r="H2678" s="573"/>
      <c r="I2678" s="573"/>
      <c r="J2678" s="573"/>
      <c r="K2678" s="573"/>
      <c r="L2678" s="574"/>
    </row>
    <row r="2679" spans="1:12">
      <c r="A2679" s="101"/>
      <c r="B2679" s="71" t="s">
        <v>103</v>
      </c>
      <c r="C2679" s="559" t="str">
        <f ca="1">OFFSET('Bateria indicadores proceso'!$O$3,(RIGHT(A2674,3)),1)</f>
        <v>Porcentaje</v>
      </c>
      <c r="D2679" s="559"/>
      <c r="E2679" s="559"/>
      <c r="F2679" s="559"/>
      <c r="G2679" s="559"/>
      <c r="H2679" s="559"/>
      <c r="I2679" s="559"/>
      <c r="J2679" s="559"/>
      <c r="K2679" s="559"/>
      <c r="L2679" s="560"/>
    </row>
    <row r="2680" spans="1:12" ht="24">
      <c r="A2680" s="101"/>
      <c r="B2680" s="72" t="s">
        <v>104</v>
      </c>
      <c r="C2680" s="559"/>
      <c r="D2680" s="559"/>
      <c r="E2680" s="559"/>
      <c r="F2680" s="559"/>
      <c r="G2680" s="559"/>
      <c r="H2680" s="559"/>
      <c r="I2680" s="559"/>
      <c r="J2680" s="559"/>
      <c r="K2680" s="559"/>
      <c r="L2680" s="560"/>
    </row>
    <row r="2681" spans="1:12">
      <c r="A2681" s="101"/>
      <c r="B2681" s="72" t="s">
        <v>105</v>
      </c>
      <c r="C2681" s="559" t="str">
        <f ca="1">OFFSET('Bateria indicadores proceso'!$L$3,(RIGHT(A2674,3)),1)</f>
        <v xml:space="preserve">(Número de amenazas de seguridad controladas / Número de amenazas de seguridad identificadas por la herramienta)*100									</v>
      </c>
      <c r="D2681" s="559"/>
      <c r="E2681" s="559"/>
      <c r="F2681" s="559"/>
      <c r="G2681" s="559"/>
      <c r="H2681" s="559"/>
      <c r="I2681" s="559"/>
      <c r="J2681" s="559"/>
      <c r="K2681" s="559"/>
      <c r="L2681" s="560"/>
    </row>
    <row r="2682" spans="1:12">
      <c r="A2682" s="101"/>
      <c r="B2682" s="72" t="s">
        <v>106</v>
      </c>
      <c r="C2682" s="559" t="str">
        <f ca="1">OFFSET('Bateria indicadores proceso'!$Z$3,(RIGHT(A2674,3)),1)</f>
        <v>Trimestral</v>
      </c>
      <c r="D2682" s="559"/>
      <c r="E2682" s="559"/>
      <c r="F2682" s="559"/>
      <c r="G2682" s="559"/>
      <c r="H2682" s="559"/>
      <c r="I2682" s="559"/>
      <c r="J2682" s="559"/>
      <c r="K2682" s="559"/>
      <c r="L2682" s="560"/>
    </row>
    <row r="2683" spans="1:12">
      <c r="A2683" s="101"/>
      <c r="B2683" s="72" t="s">
        <v>107</v>
      </c>
      <c r="C2683" s="559" t="str">
        <f ca="1">OFFSET('Bateria indicadores proceso'!$X$3,(RIGHT(A2674,3)),1)</f>
        <v xml:space="preserve">Reporte de seguridad del antivirus Kaspersky									</v>
      </c>
      <c r="D2683" s="559"/>
      <c r="E2683" s="559"/>
      <c r="F2683" s="559"/>
      <c r="G2683" s="559"/>
      <c r="H2683" s="559"/>
      <c r="I2683" s="559"/>
      <c r="J2683" s="559"/>
      <c r="K2683" s="559"/>
      <c r="L2683" s="560"/>
    </row>
    <row r="2684" spans="1:12">
      <c r="A2684" s="101"/>
      <c r="B2684" s="72" t="s">
        <v>108</v>
      </c>
      <c r="C2684" s="561">
        <f ca="1">OFFSET('Bateria indicadores proceso'!$P$3,(RIGHT(A2674,3)),1)</f>
        <v>2025</v>
      </c>
      <c r="D2684" s="561"/>
      <c r="E2684" s="561"/>
      <c r="F2684" s="561"/>
      <c r="G2684" s="561"/>
      <c r="H2684" s="561"/>
      <c r="I2684" s="561"/>
      <c r="J2684" s="561"/>
      <c r="K2684" s="561"/>
      <c r="L2684" s="566"/>
    </row>
    <row r="2685" spans="1:12">
      <c r="A2685" s="101"/>
      <c r="B2685" s="72" t="s">
        <v>109</v>
      </c>
      <c r="C2685" s="561" t="str">
        <f ca="1">IF(C2679="Número",TEXT(OFFSET('Bateria indicadores proceso'!$Q$3,(RIGHT(A2674,3)),1),"######"),TEXT(OFFSET('Bateria indicadores proceso'!$Q$3,(RIGHT(A2674,3)),1),"0.0%"))</f>
        <v>95%</v>
      </c>
      <c r="D2685" s="561"/>
      <c r="E2685" s="561"/>
      <c r="F2685" s="561"/>
      <c r="G2685" s="561"/>
      <c r="H2685" s="561"/>
      <c r="I2685" s="561"/>
      <c r="J2685" s="561"/>
      <c r="K2685" s="561"/>
      <c r="L2685" s="566"/>
    </row>
    <row r="2686" spans="1:12">
      <c r="A2686" s="101"/>
      <c r="B2686" s="72" t="s">
        <v>110</v>
      </c>
      <c r="C2686" s="593">
        <f ca="1">+OFFSET('Bateria indicadores proceso'!$R$3,(RIGHT(A2674,3)),1)</f>
        <v>46022</v>
      </c>
      <c r="D2686" s="593"/>
      <c r="E2686" s="593"/>
      <c r="F2686" s="593"/>
      <c r="G2686" s="593"/>
      <c r="H2686" s="593"/>
      <c r="I2686" s="593"/>
      <c r="J2686" s="593"/>
      <c r="K2686" s="593"/>
      <c r="L2686" s="594"/>
    </row>
    <row r="2687" spans="1:12">
      <c r="A2687" s="101"/>
      <c r="B2687" s="72" t="s">
        <v>111</v>
      </c>
      <c r="C2687" s="561" t="str">
        <f ca="1">OFFSET('Bateria indicadores proceso'!$M$3,(RIGHT(A2674,3)),1)</f>
        <v>Mantener</v>
      </c>
      <c r="D2687" s="561"/>
      <c r="E2687" s="561"/>
      <c r="F2687" s="561"/>
      <c r="G2687" s="561"/>
      <c r="H2687" s="561"/>
      <c r="I2687" s="561"/>
      <c r="J2687" s="561"/>
      <c r="K2687" s="561"/>
      <c r="L2687" s="566"/>
    </row>
    <row r="2688" spans="1:12">
      <c r="A2688" s="101"/>
      <c r="B2688" s="72" t="s">
        <v>112</v>
      </c>
      <c r="C2688" s="561" t="str">
        <f ca="1">OFFSET('Bateria indicadores proceso'!$N$3,(RIGHT(A2674,3)),1)</f>
        <v>Flujo</v>
      </c>
      <c r="D2688" s="561"/>
      <c r="E2688" s="561"/>
      <c r="F2688" s="561"/>
      <c r="G2688" s="561"/>
      <c r="H2688" s="561"/>
      <c r="I2688" s="561"/>
      <c r="J2688" s="561"/>
      <c r="K2688" s="561"/>
      <c r="L2688" s="566"/>
    </row>
    <row r="2689" spans="1:12">
      <c r="A2689" s="101"/>
      <c r="B2689" s="72" t="s">
        <v>113</v>
      </c>
      <c r="C2689" s="561" t="str">
        <f ca="1">IF(C2679="Número",TEXT(OFFSET('Bateria indicadores proceso'!$W$3,(RIGHT(A2674,3)),1),"######"),TEXT(OFFSET('Bateria indicadores proceso'!$W$3,(RIGHT(A2674,3)),1),"0.0%"))</f>
        <v>95%</v>
      </c>
      <c r="D2689" s="561"/>
      <c r="E2689" s="561"/>
      <c r="F2689" s="561"/>
      <c r="G2689" s="561"/>
      <c r="H2689" s="561"/>
      <c r="I2689" s="561"/>
      <c r="J2689" s="561"/>
      <c r="K2689" s="561"/>
      <c r="L2689" s="566"/>
    </row>
    <row r="2690" spans="1:12">
      <c r="A2690" s="101"/>
      <c r="B2690" s="595" t="s">
        <v>114</v>
      </c>
      <c r="C2690" s="70" t="s">
        <v>115</v>
      </c>
      <c r="D2690" s="70" t="s">
        <v>116</v>
      </c>
      <c r="E2690" s="70" t="s">
        <v>117</v>
      </c>
      <c r="F2690" s="70" t="s">
        <v>118</v>
      </c>
      <c r="J2690" s="75"/>
      <c r="K2690" s="75"/>
      <c r="L2690" s="76"/>
    </row>
    <row r="2691" spans="1:12">
      <c r="A2691" s="101"/>
      <c r="B2691" s="595"/>
      <c r="C2691" s="70" t="str">
        <f ca="1">IF(C2679="Número",TEXT(OFFSET('Bateria indicadores proceso'!$S$3,(RIGHT(A2674,3)),1),"######"),TEXT(OFFSET('Bateria indicadores proceso'!$S$3,(RIGHT(A2674,3)),1),"0.0%"))</f>
        <v>95%</v>
      </c>
      <c r="D2691" s="70" t="str">
        <f ca="1">IF(C2679="Número",TEXT(OFFSET('Bateria indicadores proceso'!$T$3,(RIGHT(A2674,3)),1),"######"),TEXT(OFFSET('Bateria indicadores proceso'!$T$3,(RIGHT(A2674,3)),1),"0.0%"))</f>
        <v>95%</v>
      </c>
      <c r="E2691" s="70" t="str">
        <f ca="1">IF(C2679="Número",TEXT(OFFSET('Bateria indicadores proceso'!$U$3,(RIGHT(A2674,3)),1),"######"),TEXT(OFFSET('Bateria indicadores proceso'!$U$3,(RIGHT(A2674,3)),1),"0.0%"))</f>
        <v>95%</v>
      </c>
      <c r="F2691" s="70" t="str">
        <f ca="1">IF(C2679="Número",TEXT(OFFSET('Bateria indicadores proceso'!$V$3,(RIGHT(A2674,3)),1),"######"),TEXT(OFFSET('Bateria indicadores proceso'!$V$3,(RIGHT(A2674,3)),1),"0.0%"))</f>
        <v>95%</v>
      </c>
      <c r="J2691" s="77"/>
      <c r="K2691" s="77"/>
      <c r="L2691" s="78"/>
    </row>
    <row r="2692" spans="1:12">
      <c r="A2692" s="101"/>
      <c r="B2692" s="600" t="s">
        <v>119</v>
      </c>
      <c r="C2692" s="567" t="s">
        <v>120</v>
      </c>
      <c r="D2692" s="568"/>
      <c r="E2692" s="567" t="s">
        <v>121</v>
      </c>
      <c r="F2692" s="568"/>
      <c r="G2692" s="567" t="s">
        <v>122</v>
      </c>
      <c r="H2692" s="568"/>
      <c r="I2692" s="567" t="s">
        <v>123</v>
      </c>
      <c r="J2692" s="568"/>
      <c r="K2692" s="567" t="s">
        <v>124</v>
      </c>
      <c r="L2692" s="569"/>
    </row>
    <row r="2693" spans="1:12">
      <c r="A2693" s="101"/>
      <c r="B2693" s="601"/>
      <c r="C2693" s="570" t="s">
        <v>125</v>
      </c>
      <c r="D2693" s="571"/>
      <c r="E2693" s="577" t="s">
        <v>126</v>
      </c>
      <c r="F2693" s="578"/>
      <c r="G2693" s="579" t="s">
        <v>127</v>
      </c>
      <c r="H2693" s="580"/>
      <c r="I2693" s="581" t="s">
        <v>128</v>
      </c>
      <c r="J2693" s="582"/>
      <c r="K2693" s="583" t="s">
        <v>129</v>
      </c>
      <c r="L2693" s="584"/>
    </row>
    <row r="2694" spans="1:12">
      <c r="A2694" s="101"/>
      <c r="B2694" s="602"/>
      <c r="C2694" s="567" t="s">
        <v>130</v>
      </c>
      <c r="D2694" s="568"/>
      <c r="E2694" s="567" t="s">
        <v>131</v>
      </c>
      <c r="F2694" s="568"/>
      <c r="G2694" s="585" t="s">
        <v>132</v>
      </c>
      <c r="H2694" s="568"/>
      <c r="I2694" s="567" t="s">
        <v>133</v>
      </c>
      <c r="J2694" s="568"/>
      <c r="K2694" s="567" t="s">
        <v>134</v>
      </c>
      <c r="L2694" s="569"/>
    </row>
    <row r="2695" spans="1:12">
      <c r="A2695" s="101"/>
      <c r="B2695" s="72" t="s">
        <v>135</v>
      </c>
      <c r="C2695" s="559" t="str">
        <f ca="1">OFFSET('Bateria indicadores proceso'!$Y$3,(RIGHT(A2674,3)),1)</f>
        <v>Reporte de seguridad del antivirus Kaspersky</v>
      </c>
      <c r="D2695" s="559"/>
      <c r="E2695" s="559"/>
      <c r="F2695" s="559"/>
      <c r="G2695" s="559"/>
      <c r="H2695" s="559"/>
      <c r="I2695" s="559"/>
      <c r="J2695" s="559"/>
      <c r="K2695" s="559"/>
      <c r="L2695" s="560"/>
    </row>
    <row r="2696" spans="1:12">
      <c r="A2696" s="101"/>
      <c r="B2696" s="591" t="s">
        <v>136</v>
      </c>
      <c r="C2696" s="561" t="s">
        <v>137</v>
      </c>
      <c r="D2696" s="561"/>
      <c r="E2696" s="561"/>
      <c r="F2696" s="562" t="str">
        <f ca="1">OFFSET('Bateria indicadores proceso'!$B$3,(RIGHT(A2674,3)),1)</f>
        <v>GESTIÓN TECNOLÓGICA</v>
      </c>
      <c r="G2696" s="562"/>
      <c r="H2696" s="562"/>
      <c r="I2696" s="562"/>
      <c r="J2696" s="562"/>
      <c r="K2696" s="562"/>
      <c r="L2696" s="563"/>
    </row>
    <row r="2697" spans="1:12">
      <c r="A2697" s="101"/>
      <c r="B2697" s="592"/>
      <c r="C2697" s="561" t="s">
        <v>138</v>
      </c>
      <c r="D2697" s="561"/>
      <c r="E2697" s="561"/>
      <c r="F2697" s="564">
        <f ca="1">OFFSET('Bateria indicadores proceso'!$C$3,(RIGHT(A2674,3)),1)</f>
        <v>1</v>
      </c>
      <c r="G2697" s="564"/>
      <c r="H2697" s="564"/>
      <c r="I2697" s="564"/>
      <c r="J2697" s="564"/>
      <c r="K2697" s="564"/>
      <c r="L2697" s="565"/>
    </row>
    <row r="2698" spans="1:12" ht="15.75" thickBot="1">
      <c r="A2698" s="101"/>
      <c r="B2698" s="592"/>
      <c r="C2698" s="561" t="s">
        <v>139</v>
      </c>
      <c r="D2698" s="561"/>
      <c r="E2698" s="561"/>
      <c r="F2698" s="564">
        <f ca="1">OFFSET('Bateria indicadores proceso'!$E$3,(RIGHT(A2674,3)),1)</f>
        <v>0.25</v>
      </c>
      <c r="G2698" s="564"/>
      <c r="H2698" s="564"/>
      <c r="I2698" s="564"/>
      <c r="J2698" s="564"/>
      <c r="K2698" s="564"/>
      <c r="L2698" s="565"/>
    </row>
    <row r="2699" spans="1:12" ht="16.5" thickBot="1">
      <c r="A2699" s="101"/>
      <c r="B2699" s="572" t="s">
        <v>140</v>
      </c>
      <c r="C2699" s="573"/>
      <c r="D2699" s="573"/>
      <c r="E2699" s="573"/>
      <c r="F2699" s="573"/>
      <c r="G2699" s="573"/>
      <c r="H2699" s="573"/>
      <c r="I2699" s="573"/>
      <c r="J2699" s="573"/>
      <c r="K2699" s="573"/>
      <c r="L2699" s="574"/>
    </row>
    <row r="2700" spans="1:12">
      <c r="A2700" s="101"/>
      <c r="B2700" s="72" t="s">
        <v>142</v>
      </c>
      <c r="C2700" s="561" t="str">
        <f ca="1">OFFSET('Bateria indicadores proceso'!$G$3,(RIGHT(A2674,3)),1)</f>
        <v xml:space="preserve">Jefe de Oficina </v>
      </c>
      <c r="D2700" s="561"/>
      <c r="E2700" s="561"/>
      <c r="F2700" s="561"/>
      <c r="G2700" s="561"/>
      <c r="H2700" s="561"/>
      <c r="I2700" s="561"/>
      <c r="J2700" s="561"/>
      <c r="K2700" s="561"/>
      <c r="L2700" s="566"/>
    </row>
    <row r="2701" spans="1:12">
      <c r="A2701" s="101"/>
      <c r="B2701" s="72" t="s">
        <v>143</v>
      </c>
      <c r="C2701" s="561" t="str">
        <f ca="1">OFFSET('Bateria indicadores proceso'!$F$3,(RIGHT(A2674,3)),1)</f>
        <v>Oficina de Información Pública del Interior</v>
      </c>
      <c r="D2701" s="561"/>
      <c r="E2701" s="561"/>
      <c r="F2701" s="561"/>
      <c r="G2701" s="561"/>
      <c r="H2701" s="561"/>
      <c r="I2701" s="561"/>
      <c r="J2701" s="561"/>
      <c r="K2701" s="561"/>
      <c r="L2701" s="566"/>
    </row>
    <row r="2702" spans="1:12">
      <c r="A2702" s="101"/>
      <c r="B2702" s="72" t="s">
        <v>144</v>
      </c>
      <c r="C2702" s="598" t="str">
        <f ca="1">OFFSET('Bateria indicadores proceso'!$H$3,(RIGHT(A2638,3)),1)</f>
        <v>yitcy.becerra@mininterior.gov.co</v>
      </c>
      <c r="D2702" s="598"/>
      <c r="E2702" s="598"/>
      <c r="F2702" s="598"/>
      <c r="G2702" s="598"/>
      <c r="H2702" s="598"/>
      <c r="I2702" s="598"/>
      <c r="J2702" s="598"/>
      <c r="K2702" s="598"/>
      <c r="L2702" s="599"/>
    </row>
    <row r="2703" spans="1:12" ht="15.75" thickBot="1">
      <c r="A2703" s="104"/>
      <c r="B2703" s="74" t="s">
        <v>145</v>
      </c>
      <c r="C2703" s="596" t="s">
        <v>146</v>
      </c>
      <c r="D2703" s="596"/>
      <c r="E2703" s="596"/>
      <c r="F2703" s="596"/>
      <c r="G2703" s="596"/>
      <c r="H2703" s="596"/>
      <c r="I2703" s="596"/>
      <c r="J2703" s="596"/>
      <c r="K2703" s="596"/>
      <c r="L2703" s="597"/>
    </row>
    <row r="2704" spans="1:12" ht="15.75" thickBot="1"/>
    <row r="2705" spans="1:12" ht="21.75" thickBot="1">
      <c r="A2705" s="586" t="s">
        <v>89</v>
      </c>
      <c r="B2705" s="587"/>
      <c r="C2705" s="587"/>
      <c r="D2705" s="587"/>
      <c r="E2705" s="587"/>
      <c r="F2705" s="587"/>
      <c r="G2705" s="587"/>
      <c r="H2705" s="587"/>
      <c r="I2705" s="587"/>
      <c r="J2705" s="587"/>
      <c r="K2705" s="587"/>
      <c r="L2705" s="588"/>
    </row>
    <row r="2706" spans="1:12" ht="32.25" thickBot="1">
      <c r="A2706" s="69" t="s">
        <v>90</v>
      </c>
      <c r="B2706" s="589" t="s">
        <v>91</v>
      </c>
      <c r="C2706" s="589"/>
      <c r="D2706" s="589"/>
      <c r="E2706" s="589"/>
      <c r="F2706" s="589"/>
      <c r="G2706" s="589"/>
      <c r="H2706" s="589"/>
      <c r="I2706" s="589"/>
      <c r="J2706" s="589"/>
      <c r="K2706" s="589"/>
      <c r="L2706" s="589"/>
    </row>
    <row r="2707" spans="1:12" ht="16.5" thickBot="1">
      <c r="A2707" s="100"/>
      <c r="B2707" s="71" t="s">
        <v>92</v>
      </c>
      <c r="C2707" s="575" t="s">
        <v>93</v>
      </c>
      <c r="D2707" s="575"/>
      <c r="E2707" s="575"/>
      <c r="F2707" s="575"/>
      <c r="G2707" s="575"/>
      <c r="H2707" s="575"/>
      <c r="I2707" s="575"/>
      <c r="J2707" s="575"/>
      <c r="K2707" s="575"/>
      <c r="L2707" s="576"/>
    </row>
    <row r="2708" spans="1:12" ht="16.5" thickBot="1">
      <c r="A2708" s="101"/>
      <c r="B2708" s="589" t="s">
        <v>94</v>
      </c>
      <c r="C2708" s="590"/>
      <c r="D2708" s="590"/>
      <c r="E2708" s="590"/>
      <c r="F2708" s="590"/>
      <c r="G2708" s="590"/>
      <c r="H2708" s="590"/>
      <c r="I2708" s="590"/>
      <c r="J2708" s="590"/>
      <c r="K2708" s="590"/>
      <c r="L2708" s="590"/>
    </row>
    <row r="2709" spans="1:12">
      <c r="A2709" s="101"/>
      <c r="B2709" s="71" t="s">
        <v>95</v>
      </c>
      <c r="C2709" s="559" t="s">
        <v>96</v>
      </c>
      <c r="D2709" s="559"/>
      <c r="E2709" s="559"/>
      <c r="F2709" s="559"/>
      <c r="G2709" s="559"/>
      <c r="H2709" s="559"/>
      <c r="I2709" s="559"/>
      <c r="J2709" s="559"/>
      <c r="K2709" s="559"/>
      <c r="L2709" s="560"/>
    </row>
    <row r="2710" spans="1:12">
      <c r="A2710" s="102" t="s">
        <v>221</v>
      </c>
      <c r="B2710" s="72" t="s">
        <v>98</v>
      </c>
      <c r="C2710" s="559" t="str">
        <f ca="1">OFFSET('Bateria indicadores proceso'!$F$3,(RIGHT(A2710,3)),1)</f>
        <v>Subdirección Administrativa y Financiera</v>
      </c>
      <c r="D2710" s="559"/>
      <c r="E2710" s="559"/>
      <c r="F2710" s="559"/>
      <c r="G2710" s="559"/>
      <c r="H2710" s="559"/>
      <c r="I2710" s="559"/>
      <c r="J2710" s="559"/>
      <c r="K2710" s="559"/>
      <c r="L2710" s="560"/>
    </row>
    <row r="2711" spans="1:12">
      <c r="A2711" s="101"/>
      <c r="B2711" s="72" t="s">
        <v>99</v>
      </c>
      <c r="C2711" s="559" t="str">
        <f ca="1">OFFSET('Bateria indicadores proceso'!$K$3,(RIGHT(A2710,3)),1)</f>
        <v xml:space="preserve">Instrumentos archivísticos implementados en el Ministerio </v>
      </c>
      <c r="D2711" s="559"/>
      <c r="E2711" s="559"/>
      <c r="F2711" s="559"/>
      <c r="G2711" s="559"/>
      <c r="H2711" s="559"/>
      <c r="I2711" s="559"/>
      <c r="J2711" s="559"/>
      <c r="K2711" s="559"/>
      <c r="L2711" s="560"/>
    </row>
    <row r="2712" spans="1:12">
      <c r="A2712" s="101"/>
      <c r="B2712" s="72" t="s">
        <v>100</v>
      </c>
      <c r="C2712" s="559" t="str">
        <f ca="1">OFFSET('Bateria indicadores proceso'!$I$3,(RIGHT(A2710,3)),1)</f>
        <v>Eficacia</v>
      </c>
      <c r="D2712" s="559"/>
      <c r="E2712" s="559"/>
      <c r="F2712" s="559"/>
      <c r="G2712" s="559"/>
      <c r="H2712" s="559"/>
      <c r="I2712" s="559"/>
      <c r="J2712" s="559"/>
      <c r="K2712" s="559"/>
      <c r="L2712" s="560"/>
    </row>
    <row r="2713" spans="1:12" ht="15.75" thickBot="1">
      <c r="A2713" s="103"/>
      <c r="B2713" s="73" t="s">
        <v>101</v>
      </c>
      <c r="C2713" s="559" t="str">
        <f ca="1">OFFSET('Bateria indicadores proceso'!$J$3,(RIGHT(A2710,3)),1)</f>
        <v>Hacer seguimiento a la implementación de los procesos, instrumentos y técnicas archivísticas en el Ministerio del interior, el número debe aumentar durante la vigencia.</v>
      </c>
      <c r="D2713" s="559"/>
      <c r="E2713" s="559"/>
      <c r="F2713" s="559"/>
      <c r="G2713" s="559"/>
      <c r="H2713" s="559"/>
      <c r="I2713" s="559"/>
      <c r="J2713" s="559"/>
      <c r="K2713" s="559"/>
      <c r="L2713" s="560"/>
    </row>
    <row r="2714" spans="1:12" ht="16.5" thickBot="1">
      <c r="A2714" s="103"/>
      <c r="B2714" s="572" t="s">
        <v>102</v>
      </c>
      <c r="C2714" s="573"/>
      <c r="D2714" s="573"/>
      <c r="E2714" s="573"/>
      <c r="F2714" s="573"/>
      <c r="G2714" s="573"/>
      <c r="H2714" s="573"/>
      <c r="I2714" s="573"/>
      <c r="J2714" s="573"/>
      <c r="K2714" s="573"/>
      <c r="L2714" s="574"/>
    </row>
    <row r="2715" spans="1:12">
      <c r="A2715" s="101"/>
      <c r="B2715" s="71" t="s">
        <v>103</v>
      </c>
      <c r="C2715" s="559" t="str">
        <f ca="1">OFFSET('Bateria indicadores proceso'!$O$3,(RIGHT(A2710,3)),1)</f>
        <v>Número</v>
      </c>
      <c r="D2715" s="559"/>
      <c r="E2715" s="559"/>
      <c r="F2715" s="559"/>
      <c r="G2715" s="559"/>
      <c r="H2715" s="559"/>
      <c r="I2715" s="559"/>
      <c r="J2715" s="559"/>
      <c r="K2715" s="559"/>
      <c r="L2715" s="560"/>
    </row>
    <row r="2716" spans="1:12" ht="24">
      <c r="A2716" s="101"/>
      <c r="B2716" s="72" t="s">
        <v>104</v>
      </c>
      <c r="C2716" s="559"/>
      <c r="D2716" s="559"/>
      <c r="E2716" s="559"/>
      <c r="F2716" s="559"/>
      <c r="G2716" s="559"/>
      <c r="H2716" s="559"/>
      <c r="I2716" s="559"/>
      <c r="J2716" s="559"/>
      <c r="K2716" s="559"/>
      <c r="L2716" s="560"/>
    </row>
    <row r="2717" spans="1:12">
      <c r="A2717" s="101"/>
      <c r="B2717" s="72" t="s">
        <v>105</v>
      </c>
      <c r="C2717" s="559" t="str">
        <f ca="1">OFFSET('Bateria indicadores proceso'!$L$3,(RIGHT(A2710,3)),1)</f>
        <v>Sumatoria de instrumentos archivísticos implementados</v>
      </c>
      <c r="D2717" s="559"/>
      <c r="E2717" s="559"/>
      <c r="F2717" s="559"/>
      <c r="G2717" s="559"/>
      <c r="H2717" s="559"/>
      <c r="I2717" s="559"/>
      <c r="J2717" s="559"/>
      <c r="K2717" s="559"/>
      <c r="L2717" s="560"/>
    </row>
    <row r="2718" spans="1:12">
      <c r="A2718" s="101"/>
      <c r="B2718" s="72" t="s">
        <v>106</v>
      </c>
      <c r="C2718" s="559" t="str">
        <f ca="1">OFFSET('Bateria indicadores proceso'!$Z$3,(RIGHT(A2710,3)),1)</f>
        <v>Trimestral</v>
      </c>
      <c r="D2718" s="559"/>
      <c r="E2718" s="559"/>
      <c r="F2718" s="559"/>
      <c r="G2718" s="559"/>
      <c r="H2718" s="559"/>
      <c r="I2718" s="559"/>
      <c r="J2718" s="559"/>
      <c r="K2718" s="559"/>
      <c r="L2718" s="560"/>
    </row>
    <row r="2719" spans="1:12">
      <c r="A2719" s="101"/>
      <c r="B2719" s="72" t="s">
        <v>107</v>
      </c>
      <c r="C2719" s="559" t="str">
        <f ca="1">OFFSET('Bateria indicadores proceso'!$X$3,(RIGHT(A2710,3)),1)</f>
        <v>Información estadística consolidada por el Grupo de Conservación Documenta del Ministerio</v>
      </c>
      <c r="D2719" s="559"/>
      <c r="E2719" s="559"/>
      <c r="F2719" s="559"/>
      <c r="G2719" s="559"/>
      <c r="H2719" s="559"/>
      <c r="I2719" s="559"/>
      <c r="J2719" s="559"/>
      <c r="K2719" s="559"/>
      <c r="L2719" s="560"/>
    </row>
    <row r="2720" spans="1:12">
      <c r="A2720" s="101"/>
      <c r="B2720" s="72" t="s">
        <v>108</v>
      </c>
      <c r="C2720" s="561">
        <f ca="1">OFFSET('Bateria indicadores proceso'!$P$3,(RIGHT(A2710,3)),1)</f>
        <v>2024</v>
      </c>
      <c r="D2720" s="561"/>
      <c r="E2720" s="561"/>
      <c r="F2720" s="561"/>
      <c r="G2720" s="561"/>
      <c r="H2720" s="561"/>
      <c r="I2720" s="561"/>
      <c r="J2720" s="561"/>
      <c r="K2720" s="561"/>
      <c r="L2720" s="566"/>
    </row>
    <row r="2721" spans="1:12">
      <c r="A2721" s="101"/>
      <c r="B2721" s="72" t="s">
        <v>109</v>
      </c>
      <c r="C2721" s="561" t="str">
        <f ca="1">IF(C2715="Número",TEXT(OFFSET('Bateria indicadores proceso'!$Q$3,(RIGHT(A2710,3)),1),"######"),TEXT(OFFSET('Bateria indicadores proceso'!$Q$3,(RIGHT(A2710,3)),1),"0.0%"))</f>
        <v>2</v>
      </c>
      <c r="D2721" s="561"/>
      <c r="E2721" s="561"/>
      <c r="F2721" s="561"/>
      <c r="G2721" s="561"/>
      <c r="H2721" s="561"/>
      <c r="I2721" s="561"/>
      <c r="J2721" s="561"/>
      <c r="K2721" s="561"/>
      <c r="L2721" s="566"/>
    </row>
    <row r="2722" spans="1:12">
      <c r="A2722" s="101"/>
      <c r="B2722" s="72" t="s">
        <v>110</v>
      </c>
      <c r="C2722" s="593">
        <f ca="1">+OFFSET('Bateria indicadores proceso'!$R$3,(RIGHT(A2710,3)),1)</f>
        <v>46022</v>
      </c>
      <c r="D2722" s="593"/>
      <c r="E2722" s="593"/>
      <c r="F2722" s="593"/>
      <c r="G2722" s="593"/>
      <c r="H2722" s="593"/>
      <c r="I2722" s="593"/>
      <c r="J2722" s="593"/>
      <c r="K2722" s="593"/>
      <c r="L2722" s="594"/>
    </row>
    <row r="2723" spans="1:12">
      <c r="A2723" s="101"/>
      <c r="B2723" s="72" t="s">
        <v>111</v>
      </c>
      <c r="C2723" s="561" t="str">
        <f ca="1">OFFSET('Bateria indicadores proceso'!$M$3,(RIGHT(A2710,3)),1)</f>
        <v>Incrementar</v>
      </c>
      <c r="D2723" s="561"/>
      <c r="E2723" s="561"/>
      <c r="F2723" s="561"/>
      <c r="G2723" s="561"/>
      <c r="H2723" s="561"/>
      <c r="I2723" s="561"/>
      <c r="J2723" s="561"/>
      <c r="K2723" s="561"/>
      <c r="L2723" s="566"/>
    </row>
    <row r="2724" spans="1:12">
      <c r="A2724" s="101"/>
      <c r="B2724" s="72" t="s">
        <v>112</v>
      </c>
      <c r="C2724" s="561" t="str">
        <f ca="1">OFFSET('Bateria indicadores proceso'!$N$3,(RIGHT(A2710,3)),1)</f>
        <v>Acumulado</v>
      </c>
      <c r="D2724" s="561"/>
      <c r="E2724" s="561"/>
      <c r="F2724" s="561"/>
      <c r="G2724" s="561"/>
      <c r="H2724" s="561"/>
      <c r="I2724" s="561"/>
      <c r="J2724" s="561"/>
      <c r="K2724" s="561"/>
      <c r="L2724" s="566"/>
    </row>
    <row r="2725" spans="1:12">
      <c r="A2725" s="101"/>
      <c r="B2725" s="72" t="s">
        <v>113</v>
      </c>
      <c r="C2725" s="561" t="str">
        <f ca="1">IF(C2715="Número",TEXT(OFFSET('Bateria indicadores proceso'!$W$3,(RIGHT(A2710,3)),1),"######"),TEXT(OFFSET('Bateria indicadores proceso'!$W$3,(RIGHT(A2710,3)),1),"0.0%"))</f>
        <v>4</v>
      </c>
      <c r="D2725" s="561"/>
      <c r="E2725" s="561"/>
      <c r="F2725" s="561"/>
      <c r="G2725" s="561"/>
      <c r="H2725" s="561"/>
      <c r="I2725" s="561"/>
      <c r="J2725" s="561"/>
      <c r="K2725" s="561"/>
      <c r="L2725" s="566"/>
    </row>
    <row r="2726" spans="1:12">
      <c r="A2726" s="101"/>
      <c r="B2726" s="595" t="s">
        <v>114</v>
      </c>
      <c r="C2726" s="70" t="s">
        <v>115</v>
      </c>
      <c r="D2726" s="70" t="s">
        <v>116</v>
      </c>
      <c r="E2726" s="70" t="s">
        <v>117</v>
      </c>
      <c r="F2726" s="70" t="s">
        <v>118</v>
      </c>
      <c r="J2726" s="75"/>
      <c r="K2726" s="75"/>
      <c r="L2726" s="76"/>
    </row>
    <row r="2727" spans="1:12">
      <c r="A2727" s="101"/>
      <c r="B2727" s="595"/>
      <c r="C2727" s="70" t="str">
        <f ca="1">IF(C2715="Número",TEXT(OFFSET('Bateria indicadores proceso'!$S$3,(RIGHT(A2710,3)),1),"######"),TEXT(OFFSET('Bateria indicadores proceso'!$S$3,(RIGHT(A2710,3)),1),"0.0%"))</f>
        <v>2</v>
      </c>
      <c r="D2727" s="70" t="str">
        <f ca="1">IF(C2715="Número",TEXT(OFFSET('Bateria indicadores proceso'!$T$3,(RIGHT(A2710,3)),1),"######"),TEXT(OFFSET('Bateria indicadores proceso'!$T$3,(RIGHT(A2710,3)),1),"0.0%"))</f>
        <v>1</v>
      </c>
      <c r="E2727" s="70" t="str">
        <f ca="1">IF(C2715="Número",TEXT(OFFSET('Bateria indicadores proceso'!$U$3,(RIGHT(A2710,3)),1),"######"),TEXT(OFFSET('Bateria indicadores proceso'!$U$3,(RIGHT(A2710,3)),1),"0.0%"))</f>
        <v/>
      </c>
      <c r="F2727" s="70" t="str">
        <f ca="1">IF(C2715="Número",TEXT(OFFSET('Bateria indicadores proceso'!$V$3,(RIGHT(A2710,3)),1),"######"),TEXT(OFFSET('Bateria indicadores proceso'!$V$3,(RIGHT(A2710,3)),1),"0.0%"))</f>
        <v>1</v>
      </c>
      <c r="J2727" s="77"/>
      <c r="K2727" s="77"/>
      <c r="L2727" s="78"/>
    </row>
    <row r="2728" spans="1:12">
      <c r="A2728" s="101"/>
      <c r="B2728" s="600" t="s">
        <v>119</v>
      </c>
      <c r="C2728" s="567" t="s">
        <v>120</v>
      </c>
      <c r="D2728" s="568"/>
      <c r="E2728" s="567" t="s">
        <v>121</v>
      </c>
      <c r="F2728" s="568"/>
      <c r="G2728" s="567" t="s">
        <v>122</v>
      </c>
      <c r="H2728" s="568"/>
      <c r="I2728" s="567" t="s">
        <v>123</v>
      </c>
      <c r="J2728" s="568"/>
      <c r="K2728" s="567" t="s">
        <v>124</v>
      </c>
      <c r="L2728" s="569"/>
    </row>
    <row r="2729" spans="1:12">
      <c r="A2729" s="101"/>
      <c r="B2729" s="601"/>
      <c r="C2729" s="570" t="s">
        <v>125</v>
      </c>
      <c r="D2729" s="571"/>
      <c r="E2729" s="577" t="s">
        <v>126</v>
      </c>
      <c r="F2729" s="578"/>
      <c r="G2729" s="579" t="s">
        <v>127</v>
      </c>
      <c r="H2729" s="580"/>
      <c r="I2729" s="581" t="s">
        <v>128</v>
      </c>
      <c r="J2729" s="582"/>
      <c r="K2729" s="583" t="s">
        <v>129</v>
      </c>
      <c r="L2729" s="584"/>
    </row>
    <row r="2730" spans="1:12">
      <c r="A2730" s="101"/>
      <c r="B2730" s="602"/>
      <c r="C2730" s="567" t="s">
        <v>130</v>
      </c>
      <c r="D2730" s="568"/>
      <c r="E2730" s="567" t="s">
        <v>131</v>
      </c>
      <c r="F2730" s="568"/>
      <c r="G2730" s="585" t="s">
        <v>132</v>
      </c>
      <c r="H2730" s="568"/>
      <c r="I2730" s="567" t="s">
        <v>133</v>
      </c>
      <c r="J2730" s="568"/>
      <c r="K2730" s="567" t="s">
        <v>134</v>
      </c>
      <c r="L2730" s="569"/>
    </row>
    <row r="2731" spans="1:12">
      <c r="A2731" s="101"/>
      <c r="B2731" s="72" t="s">
        <v>135</v>
      </c>
      <c r="C2731" s="559" t="str">
        <f ca="1">OFFSET('Bateria indicadores proceso'!$Y$3,(RIGHT(A2710,3)),1)</f>
        <v>Documentos de procesos, instrumentos y técnicas archivísticas implementadas.</v>
      </c>
      <c r="D2731" s="559"/>
      <c r="E2731" s="559"/>
      <c r="F2731" s="559"/>
      <c r="G2731" s="559"/>
      <c r="H2731" s="559"/>
      <c r="I2731" s="559"/>
      <c r="J2731" s="559"/>
      <c r="K2731" s="559"/>
      <c r="L2731" s="560"/>
    </row>
    <row r="2732" spans="1:12">
      <c r="A2732" s="101"/>
      <c r="B2732" s="591" t="s">
        <v>136</v>
      </c>
      <c r="C2732" s="561" t="s">
        <v>137</v>
      </c>
      <c r="D2732" s="561"/>
      <c r="E2732" s="561"/>
      <c r="F2732" s="562" t="str">
        <f ca="1">OFFSET('Bateria indicadores proceso'!$B$3,(RIGHT(A2710,3)),1)</f>
        <v>GESTIÓN DOCUMENTAL Y ARCHIVO</v>
      </c>
      <c r="G2732" s="562"/>
      <c r="H2732" s="562"/>
      <c r="I2732" s="562"/>
      <c r="J2732" s="562"/>
      <c r="K2732" s="562"/>
      <c r="L2732" s="563"/>
    </row>
    <row r="2733" spans="1:12">
      <c r="A2733" s="101"/>
      <c r="B2733" s="592"/>
      <c r="C2733" s="561" t="s">
        <v>138</v>
      </c>
      <c r="D2733" s="561"/>
      <c r="E2733" s="561"/>
      <c r="F2733" s="564">
        <f ca="1">OFFSET('Bateria indicadores proceso'!$C$3,(RIGHT(A2710,3)),1)</f>
        <v>1</v>
      </c>
      <c r="G2733" s="564"/>
      <c r="H2733" s="564"/>
      <c r="I2733" s="564"/>
      <c r="J2733" s="564"/>
      <c r="K2733" s="564"/>
      <c r="L2733" s="565"/>
    </row>
    <row r="2734" spans="1:12" ht="15.75" thickBot="1">
      <c r="A2734" s="101"/>
      <c r="B2734" s="592"/>
      <c r="C2734" s="561" t="s">
        <v>139</v>
      </c>
      <c r="D2734" s="561"/>
      <c r="E2734" s="561"/>
      <c r="F2734" s="564">
        <f ca="1">OFFSET('Bateria indicadores proceso'!$E$3,(RIGHT(A2710,3)),1)</f>
        <v>0.5</v>
      </c>
      <c r="G2734" s="564"/>
      <c r="H2734" s="564"/>
      <c r="I2734" s="564"/>
      <c r="J2734" s="564"/>
      <c r="K2734" s="564"/>
      <c r="L2734" s="565"/>
    </row>
    <row r="2735" spans="1:12" ht="16.5" thickBot="1">
      <c r="A2735" s="101"/>
      <c r="B2735" s="572" t="s">
        <v>140</v>
      </c>
      <c r="C2735" s="573"/>
      <c r="D2735" s="573"/>
      <c r="E2735" s="573"/>
      <c r="F2735" s="573"/>
      <c r="G2735" s="573"/>
      <c r="H2735" s="573"/>
      <c r="I2735" s="573"/>
      <c r="J2735" s="573"/>
      <c r="K2735" s="573"/>
      <c r="L2735" s="574"/>
    </row>
    <row r="2736" spans="1:12">
      <c r="A2736" s="101"/>
      <c r="B2736" s="72" t="s">
        <v>142</v>
      </c>
      <c r="C2736" s="561" t="str">
        <f ca="1">OFFSET('Bateria indicadores proceso'!$G$3,(RIGHT(A2710,3)),1)</f>
        <v xml:space="preserve">Subdirector </v>
      </c>
      <c r="D2736" s="561"/>
      <c r="E2736" s="561"/>
      <c r="F2736" s="561"/>
      <c r="G2736" s="561"/>
      <c r="H2736" s="561"/>
      <c r="I2736" s="561"/>
      <c r="J2736" s="561"/>
      <c r="K2736" s="561"/>
      <c r="L2736" s="566"/>
    </row>
    <row r="2737" spans="1:12">
      <c r="A2737" s="101"/>
      <c r="B2737" s="72" t="s">
        <v>143</v>
      </c>
      <c r="C2737" s="561" t="str">
        <f ca="1">OFFSET('Bateria indicadores proceso'!$F$3,(RIGHT(A2710,3)),1)</f>
        <v>Subdirección Administrativa y Financiera</v>
      </c>
      <c r="D2737" s="561"/>
      <c r="E2737" s="561"/>
      <c r="F2737" s="561"/>
      <c r="G2737" s="561"/>
      <c r="H2737" s="561"/>
      <c r="I2737" s="561"/>
      <c r="J2737" s="561"/>
      <c r="K2737" s="561"/>
      <c r="L2737" s="566"/>
    </row>
    <row r="2738" spans="1:12">
      <c r="A2738" s="101"/>
      <c r="B2738" s="72" t="s">
        <v>144</v>
      </c>
      <c r="C2738" s="598" t="str">
        <f ca="1">OFFSET('Bateria indicadores proceso'!$H$3,(RIGHT(A2710,3)),1)</f>
        <v>diana.olmos@mininterior.gov.co</v>
      </c>
      <c r="D2738" s="598"/>
      <c r="E2738" s="598"/>
      <c r="F2738" s="598"/>
      <c r="G2738" s="598"/>
      <c r="H2738" s="598"/>
      <c r="I2738" s="598"/>
      <c r="J2738" s="598"/>
      <c r="K2738" s="598"/>
      <c r="L2738" s="599"/>
    </row>
    <row r="2739" spans="1:12" ht="15.75" thickBot="1">
      <c r="A2739" s="104"/>
      <c r="B2739" s="74" t="s">
        <v>145</v>
      </c>
      <c r="C2739" s="596" t="s">
        <v>146</v>
      </c>
      <c r="D2739" s="596"/>
      <c r="E2739" s="596"/>
      <c r="F2739" s="596"/>
      <c r="G2739" s="596"/>
      <c r="H2739" s="596"/>
      <c r="I2739" s="596"/>
      <c r="J2739" s="596"/>
      <c r="K2739" s="596"/>
      <c r="L2739" s="597"/>
    </row>
    <row r="2740" spans="1:12" ht="15.75" thickBot="1"/>
    <row r="2741" spans="1:12" ht="21.75" thickBot="1">
      <c r="A2741" s="586" t="s">
        <v>89</v>
      </c>
      <c r="B2741" s="587"/>
      <c r="C2741" s="587"/>
      <c r="D2741" s="587"/>
      <c r="E2741" s="587"/>
      <c r="F2741" s="587"/>
      <c r="G2741" s="587"/>
      <c r="H2741" s="587"/>
      <c r="I2741" s="587"/>
      <c r="J2741" s="587"/>
      <c r="K2741" s="587"/>
      <c r="L2741" s="588"/>
    </row>
    <row r="2742" spans="1:12" ht="32.25" thickBot="1">
      <c r="A2742" s="69" t="s">
        <v>90</v>
      </c>
      <c r="B2742" s="589" t="s">
        <v>91</v>
      </c>
      <c r="C2742" s="589"/>
      <c r="D2742" s="589"/>
      <c r="E2742" s="589"/>
      <c r="F2742" s="589"/>
      <c r="G2742" s="589"/>
      <c r="H2742" s="589"/>
      <c r="I2742" s="589"/>
      <c r="J2742" s="589"/>
      <c r="K2742" s="589"/>
      <c r="L2742" s="589"/>
    </row>
    <row r="2743" spans="1:12" ht="16.5" thickBot="1">
      <c r="A2743" s="100"/>
      <c r="B2743" s="71" t="s">
        <v>92</v>
      </c>
      <c r="C2743" s="575" t="s">
        <v>93</v>
      </c>
      <c r="D2743" s="575"/>
      <c r="E2743" s="575"/>
      <c r="F2743" s="575"/>
      <c r="G2743" s="575"/>
      <c r="H2743" s="575"/>
      <c r="I2743" s="575"/>
      <c r="J2743" s="575"/>
      <c r="K2743" s="575"/>
      <c r="L2743" s="576"/>
    </row>
    <row r="2744" spans="1:12" ht="16.5" thickBot="1">
      <c r="A2744" s="101"/>
      <c r="B2744" s="589" t="s">
        <v>94</v>
      </c>
      <c r="C2744" s="590"/>
      <c r="D2744" s="590"/>
      <c r="E2744" s="590"/>
      <c r="F2744" s="590"/>
      <c r="G2744" s="590"/>
      <c r="H2744" s="590"/>
      <c r="I2744" s="590"/>
      <c r="J2744" s="590"/>
      <c r="K2744" s="590"/>
      <c r="L2744" s="590"/>
    </row>
    <row r="2745" spans="1:12">
      <c r="A2745" s="101"/>
      <c r="B2745" s="71" t="s">
        <v>95</v>
      </c>
      <c r="C2745" s="559" t="s">
        <v>96</v>
      </c>
      <c r="D2745" s="559"/>
      <c r="E2745" s="559"/>
      <c r="F2745" s="559"/>
      <c r="G2745" s="559"/>
      <c r="H2745" s="559"/>
      <c r="I2745" s="559"/>
      <c r="J2745" s="559"/>
      <c r="K2745" s="559"/>
      <c r="L2745" s="560"/>
    </row>
    <row r="2746" spans="1:12">
      <c r="A2746" s="102" t="s">
        <v>222</v>
      </c>
      <c r="B2746" s="72" t="s">
        <v>98</v>
      </c>
      <c r="C2746" s="559" t="str">
        <f ca="1">OFFSET('Bateria indicadores proceso'!$F$3,(RIGHT(A2746,3)),1)</f>
        <v>Subdirección Administrativa y Financiera</v>
      </c>
      <c r="D2746" s="559"/>
      <c r="E2746" s="559"/>
      <c r="F2746" s="559"/>
      <c r="G2746" s="559"/>
      <c r="H2746" s="559"/>
      <c r="I2746" s="559"/>
      <c r="J2746" s="559"/>
      <c r="K2746" s="559"/>
      <c r="L2746" s="560"/>
    </row>
    <row r="2747" spans="1:12">
      <c r="A2747" s="101"/>
      <c r="B2747" s="72" t="s">
        <v>99</v>
      </c>
      <c r="C2747" s="559" t="str">
        <f ca="1">OFFSET('Bateria indicadores proceso'!$K$3,(RIGHT(A2746,3)),1)</f>
        <v xml:space="preserve">Documentos transferidos del archivo de gestión al archivo central </v>
      </c>
      <c r="D2747" s="559"/>
      <c r="E2747" s="559"/>
      <c r="F2747" s="559"/>
      <c r="G2747" s="559"/>
      <c r="H2747" s="559"/>
      <c r="I2747" s="559"/>
      <c r="J2747" s="559"/>
      <c r="K2747" s="559"/>
      <c r="L2747" s="560"/>
    </row>
    <row r="2748" spans="1:12">
      <c r="A2748" s="101"/>
      <c r="B2748" s="72" t="s">
        <v>100</v>
      </c>
      <c r="C2748" s="559" t="str">
        <f ca="1">OFFSET('Bateria indicadores proceso'!$I$3,(RIGHT(A2746,3)),1)</f>
        <v>Efectividad</v>
      </c>
      <c r="D2748" s="559"/>
      <c r="E2748" s="559"/>
      <c r="F2748" s="559"/>
      <c r="G2748" s="559"/>
      <c r="H2748" s="559"/>
      <c r="I2748" s="559"/>
      <c r="J2748" s="559"/>
      <c r="K2748" s="559"/>
      <c r="L2748" s="560"/>
    </row>
    <row r="2749" spans="1:12" ht="15.75" thickBot="1">
      <c r="A2749" s="103"/>
      <c r="B2749" s="73" t="s">
        <v>101</v>
      </c>
      <c r="C2749" s="559" t="str">
        <f ca="1">OFFSET('Bateria indicadores proceso'!$J$3,(RIGHT(A2746,3)),1)</f>
        <v>Hacer seguimiento a las transferencias documentales realizadas por las dependencias del Ministerio, conforme al plan del grupo de Conservación Documental durante la vigencia.</v>
      </c>
      <c r="D2749" s="559"/>
      <c r="E2749" s="559"/>
      <c r="F2749" s="559"/>
      <c r="G2749" s="559"/>
      <c r="H2749" s="559"/>
      <c r="I2749" s="559"/>
      <c r="J2749" s="559"/>
      <c r="K2749" s="559"/>
      <c r="L2749" s="560"/>
    </row>
    <row r="2750" spans="1:12" ht="16.5" thickBot="1">
      <c r="A2750" s="103"/>
      <c r="B2750" s="572" t="s">
        <v>102</v>
      </c>
      <c r="C2750" s="573"/>
      <c r="D2750" s="573"/>
      <c r="E2750" s="573"/>
      <c r="F2750" s="573"/>
      <c r="G2750" s="573"/>
      <c r="H2750" s="573"/>
      <c r="I2750" s="573"/>
      <c r="J2750" s="573"/>
      <c r="K2750" s="573"/>
      <c r="L2750" s="574"/>
    </row>
    <row r="2751" spans="1:12">
      <c r="A2751" s="101"/>
      <c r="B2751" s="71" t="s">
        <v>103</v>
      </c>
      <c r="C2751" s="559" t="str">
        <f ca="1">OFFSET('Bateria indicadores proceso'!$O$3,(RIGHT(A2746,3)),1)</f>
        <v>Porcentaje</v>
      </c>
      <c r="D2751" s="559"/>
      <c r="E2751" s="559"/>
      <c r="F2751" s="559"/>
      <c r="G2751" s="559"/>
      <c r="H2751" s="559"/>
      <c r="I2751" s="559"/>
      <c r="J2751" s="559"/>
      <c r="K2751" s="559"/>
      <c r="L2751" s="560"/>
    </row>
    <row r="2752" spans="1:12" ht="24">
      <c r="A2752" s="101"/>
      <c r="B2752" s="72" t="s">
        <v>104</v>
      </c>
      <c r="C2752" s="559"/>
      <c r="D2752" s="559"/>
      <c r="E2752" s="559"/>
      <c r="F2752" s="559"/>
      <c r="G2752" s="559"/>
      <c r="H2752" s="559"/>
      <c r="I2752" s="559"/>
      <c r="J2752" s="559"/>
      <c r="K2752" s="559"/>
      <c r="L2752" s="560"/>
    </row>
    <row r="2753" spans="1:12">
      <c r="A2753" s="101"/>
      <c r="B2753" s="72" t="s">
        <v>105</v>
      </c>
      <c r="C2753" s="559" t="str">
        <f ca="1">OFFSET('Bateria indicadores proceso'!$L$3,(RIGHT(A2746,3)),1)</f>
        <v>(sumatoria de transferencias verificadas / sumatoria de transferencias recibidas)*100</v>
      </c>
      <c r="D2753" s="559"/>
      <c r="E2753" s="559"/>
      <c r="F2753" s="559"/>
      <c r="G2753" s="559"/>
      <c r="H2753" s="559"/>
      <c r="I2753" s="559"/>
      <c r="J2753" s="559"/>
      <c r="K2753" s="559"/>
      <c r="L2753" s="560"/>
    </row>
    <row r="2754" spans="1:12">
      <c r="A2754" s="101"/>
      <c r="B2754" s="72" t="s">
        <v>106</v>
      </c>
      <c r="C2754" s="559" t="str">
        <f ca="1">OFFSET('Bateria indicadores proceso'!$Z$3,(RIGHT(A2746,3)),1)</f>
        <v>Trimestral</v>
      </c>
      <c r="D2754" s="559"/>
      <c r="E2754" s="559"/>
      <c r="F2754" s="559"/>
      <c r="G2754" s="559"/>
      <c r="H2754" s="559"/>
      <c r="I2754" s="559"/>
      <c r="J2754" s="559"/>
      <c r="K2754" s="559"/>
      <c r="L2754" s="560"/>
    </row>
    <row r="2755" spans="1:12">
      <c r="A2755" s="101"/>
      <c r="B2755" s="72" t="s">
        <v>107</v>
      </c>
      <c r="C2755" s="559" t="str">
        <f ca="1">OFFSET('Bateria indicadores proceso'!$X$3,(RIGHT(A2746,3)),1)</f>
        <v>Información estadística consolidada por el Grupo de Conservación Documenta del Ministerio</v>
      </c>
      <c r="D2755" s="559"/>
      <c r="E2755" s="559"/>
      <c r="F2755" s="559"/>
      <c r="G2755" s="559"/>
      <c r="H2755" s="559"/>
      <c r="I2755" s="559"/>
      <c r="J2755" s="559"/>
      <c r="K2755" s="559"/>
      <c r="L2755" s="560"/>
    </row>
    <row r="2756" spans="1:12">
      <c r="A2756" s="101"/>
      <c r="B2756" s="72" t="s">
        <v>108</v>
      </c>
      <c r="C2756" s="561">
        <f ca="1">OFFSET('Bateria indicadores proceso'!$P$3,(RIGHT(A2746,3)),1)</f>
        <v>2024</v>
      </c>
      <c r="D2756" s="561"/>
      <c r="E2756" s="561"/>
      <c r="F2756" s="561"/>
      <c r="G2756" s="561"/>
      <c r="H2756" s="561"/>
      <c r="I2756" s="561"/>
      <c r="J2756" s="561"/>
      <c r="K2756" s="561"/>
      <c r="L2756" s="566"/>
    </row>
    <row r="2757" spans="1:12">
      <c r="A2757" s="101"/>
      <c r="B2757" s="72" t="s">
        <v>109</v>
      </c>
      <c r="C2757" s="561" t="str">
        <f ca="1">IF(C2751="Número",TEXT(OFFSET('Bateria indicadores proceso'!$Q$3,(RIGHT(A2746,3)),1),"######"),TEXT(OFFSET('Bateria indicadores proceso'!$Q$3,(RIGHT(A2746,3)),1),"0.0%"))</f>
        <v>52%</v>
      </c>
      <c r="D2757" s="561"/>
      <c r="E2757" s="561"/>
      <c r="F2757" s="561"/>
      <c r="G2757" s="561"/>
      <c r="H2757" s="561"/>
      <c r="I2757" s="561"/>
      <c r="J2757" s="561"/>
      <c r="K2757" s="561"/>
      <c r="L2757" s="566"/>
    </row>
    <row r="2758" spans="1:12">
      <c r="A2758" s="101"/>
      <c r="B2758" s="72" t="s">
        <v>110</v>
      </c>
      <c r="C2758" s="593">
        <f ca="1">+OFFSET('Bateria indicadores proceso'!$R$3,(RIGHT(A2746,3)),1)</f>
        <v>46022</v>
      </c>
      <c r="D2758" s="593"/>
      <c r="E2758" s="593"/>
      <c r="F2758" s="593"/>
      <c r="G2758" s="593"/>
      <c r="H2758" s="593"/>
      <c r="I2758" s="593"/>
      <c r="J2758" s="593"/>
      <c r="K2758" s="593"/>
      <c r="L2758" s="594"/>
    </row>
    <row r="2759" spans="1:12">
      <c r="A2759" s="101"/>
      <c r="B2759" s="72" t="s">
        <v>111</v>
      </c>
      <c r="C2759" s="561" t="str">
        <f ca="1">OFFSET('Bateria indicadores proceso'!$M$3,(RIGHT(A2746,3)),1)</f>
        <v>Incrementar</v>
      </c>
      <c r="D2759" s="561"/>
      <c r="E2759" s="561"/>
      <c r="F2759" s="561"/>
      <c r="G2759" s="561"/>
      <c r="H2759" s="561"/>
      <c r="I2759" s="561"/>
      <c r="J2759" s="561"/>
      <c r="K2759" s="561"/>
      <c r="L2759" s="566"/>
    </row>
    <row r="2760" spans="1:12">
      <c r="A2760" s="101"/>
      <c r="B2760" s="72" t="s">
        <v>112</v>
      </c>
      <c r="C2760" s="561" t="str">
        <f ca="1">OFFSET('Bateria indicadores proceso'!$N$3,(RIGHT(A2746,3)),1)</f>
        <v>Acumulado</v>
      </c>
      <c r="D2760" s="561"/>
      <c r="E2760" s="561"/>
      <c r="F2760" s="561"/>
      <c r="G2760" s="561"/>
      <c r="H2760" s="561"/>
      <c r="I2760" s="561"/>
      <c r="J2760" s="561"/>
      <c r="K2760" s="561"/>
      <c r="L2760" s="566"/>
    </row>
    <row r="2761" spans="1:12">
      <c r="A2761" s="101"/>
      <c r="B2761" s="72" t="s">
        <v>113</v>
      </c>
      <c r="C2761" s="561" t="str">
        <f ca="1">IF(C2751="Número",TEXT(OFFSET('Bateria indicadores proceso'!$W$3,(RIGHT(A2746,3)),1),"######"),TEXT(OFFSET('Bateria indicadores proceso'!$W$3,(RIGHT(A2746,3)),1),"0.0%"))</f>
        <v>100%</v>
      </c>
      <c r="D2761" s="561"/>
      <c r="E2761" s="561"/>
      <c r="F2761" s="561"/>
      <c r="G2761" s="561"/>
      <c r="H2761" s="561"/>
      <c r="I2761" s="561"/>
      <c r="J2761" s="561"/>
      <c r="K2761" s="561"/>
      <c r="L2761" s="566"/>
    </row>
    <row r="2762" spans="1:12">
      <c r="A2762" s="101"/>
      <c r="B2762" s="595" t="s">
        <v>114</v>
      </c>
      <c r="C2762" s="70" t="s">
        <v>115</v>
      </c>
      <c r="D2762" s="70" t="s">
        <v>116</v>
      </c>
      <c r="E2762" s="70" t="s">
        <v>117</v>
      </c>
      <c r="F2762" s="70" t="s">
        <v>118</v>
      </c>
      <c r="J2762" s="75"/>
      <c r="K2762" s="75"/>
      <c r="L2762" s="76"/>
    </row>
    <row r="2763" spans="1:12">
      <c r="A2763" s="101"/>
      <c r="B2763" s="595"/>
      <c r="C2763" s="70" t="str">
        <f ca="1">IF(C2751="Número",TEXT(OFFSET('Bateria indicadores proceso'!$S$3,(RIGHT(A2746,3)),1),"######"),TEXT(OFFSET('Bateria indicadores proceso'!$S$3,(RIGHT(A2746,3)),1),"0.0%"))</f>
        <v>00%</v>
      </c>
      <c r="D2763" s="70" t="str">
        <f ca="1">IF(C2751="Número",TEXT(OFFSET('Bateria indicadores proceso'!$T$3,(RIGHT(A2746,3)),1),"######"),TEXT(OFFSET('Bateria indicadores proceso'!$T$3,(RIGHT(A2746,3)),1),"0.0%"))</f>
        <v>00%</v>
      </c>
      <c r="E2763" s="70" t="str">
        <f ca="1">IF(C2751="Número",TEXT(OFFSET('Bateria indicadores proceso'!$U$3,(RIGHT(A2746,3)),1),"######"),TEXT(OFFSET('Bateria indicadores proceso'!$U$3,(RIGHT(A2746,3)),1),"0.0%"))</f>
        <v>00%</v>
      </c>
      <c r="F2763" s="70" t="str">
        <f ca="1">IF(C2751="Número",TEXT(OFFSET('Bateria indicadores proceso'!$V$3,(RIGHT(A2746,3)),1),"######"),TEXT(OFFSET('Bateria indicadores proceso'!$V$3,(RIGHT(A2746,3)),1),"0.0%"))</f>
        <v>100%</v>
      </c>
      <c r="J2763" s="77"/>
      <c r="K2763" s="77"/>
      <c r="L2763" s="78"/>
    </row>
    <row r="2764" spans="1:12">
      <c r="A2764" s="101"/>
      <c r="B2764" s="600" t="s">
        <v>119</v>
      </c>
      <c r="C2764" s="567" t="s">
        <v>120</v>
      </c>
      <c r="D2764" s="568"/>
      <c r="E2764" s="567" t="s">
        <v>121</v>
      </c>
      <c r="F2764" s="568"/>
      <c r="G2764" s="567" t="s">
        <v>122</v>
      </c>
      <c r="H2764" s="568"/>
      <c r="I2764" s="567" t="s">
        <v>123</v>
      </c>
      <c r="J2764" s="568"/>
      <c r="K2764" s="567" t="s">
        <v>124</v>
      </c>
      <c r="L2764" s="569"/>
    </row>
    <row r="2765" spans="1:12">
      <c r="A2765" s="101"/>
      <c r="B2765" s="601"/>
      <c r="C2765" s="570" t="s">
        <v>125</v>
      </c>
      <c r="D2765" s="571"/>
      <c r="E2765" s="577" t="s">
        <v>126</v>
      </c>
      <c r="F2765" s="578"/>
      <c r="G2765" s="579" t="s">
        <v>127</v>
      </c>
      <c r="H2765" s="580"/>
      <c r="I2765" s="581" t="s">
        <v>128</v>
      </c>
      <c r="J2765" s="582"/>
      <c r="K2765" s="583" t="s">
        <v>129</v>
      </c>
      <c r="L2765" s="584"/>
    </row>
    <row r="2766" spans="1:12">
      <c r="A2766" s="101"/>
      <c r="B2766" s="602"/>
      <c r="C2766" s="567" t="s">
        <v>130</v>
      </c>
      <c r="D2766" s="568"/>
      <c r="E2766" s="567" t="s">
        <v>131</v>
      </c>
      <c r="F2766" s="568"/>
      <c r="G2766" s="585" t="s">
        <v>132</v>
      </c>
      <c r="H2766" s="568"/>
      <c r="I2766" s="567" t="s">
        <v>133</v>
      </c>
      <c r="J2766" s="568"/>
      <c r="K2766" s="567" t="s">
        <v>134</v>
      </c>
      <c r="L2766" s="569"/>
    </row>
    <row r="2767" spans="1:12">
      <c r="A2767" s="101"/>
      <c r="B2767" s="72" t="s">
        <v>135</v>
      </c>
      <c r="C2767" s="559" t="str">
        <f ca="1">OFFSET('Bateria indicadores proceso'!$Y$3,(RIGHT(A2746,3)),1)</f>
        <v>Reporte de cumplimiento del plan de transferencias documentales</v>
      </c>
      <c r="D2767" s="559"/>
      <c r="E2767" s="559"/>
      <c r="F2767" s="559"/>
      <c r="G2767" s="559"/>
      <c r="H2767" s="559"/>
      <c r="I2767" s="559"/>
      <c r="J2767" s="559"/>
      <c r="K2767" s="559"/>
      <c r="L2767" s="560"/>
    </row>
    <row r="2768" spans="1:12">
      <c r="A2768" s="101"/>
      <c r="B2768" s="591" t="s">
        <v>136</v>
      </c>
      <c r="C2768" s="561" t="s">
        <v>137</v>
      </c>
      <c r="D2768" s="561"/>
      <c r="E2768" s="561"/>
      <c r="F2768" s="562" t="str">
        <f ca="1">OFFSET('Bateria indicadores proceso'!$B$3,(RIGHT(A2746,3)),1)</f>
        <v>GESTIÓN DOCUMENTAL Y ARCHIVO</v>
      </c>
      <c r="G2768" s="562"/>
      <c r="H2768" s="562"/>
      <c r="I2768" s="562"/>
      <c r="J2768" s="562"/>
      <c r="K2768" s="562"/>
      <c r="L2768" s="563"/>
    </row>
    <row r="2769" spans="1:12">
      <c r="A2769" s="101"/>
      <c r="B2769" s="592"/>
      <c r="C2769" s="561" t="s">
        <v>138</v>
      </c>
      <c r="D2769" s="561"/>
      <c r="E2769" s="561"/>
      <c r="F2769" s="564">
        <f ca="1">OFFSET('Bateria indicadores proceso'!$C$3,(RIGHT(A2746,3)),1)</f>
        <v>1</v>
      </c>
      <c r="G2769" s="564"/>
      <c r="H2769" s="564"/>
      <c r="I2769" s="564"/>
      <c r="J2769" s="564"/>
      <c r="K2769" s="564"/>
      <c r="L2769" s="565"/>
    </row>
    <row r="2770" spans="1:12" ht="15.75" thickBot="1">
      <c r="A2770" s="101"/>
      <c r="B2770" s="592"/>
      <c r="C2770" s="561" t="s">
        <v>139</v>
      </c>
      <c r="D2770" s="561"/>
      <c r="E2770" s="561"/>
      <c r="F2770" s="564">
        <f ca="1">OFFSET('Bateria indicadores proceso'!$E$3,(RIGHT(A2746,3)),1)</f>
        <v>0.5</v>
      </c>
      <c r="G2770" s="564"/>
      <c r="H2770" s="564"/>
      <c r="I2770" s="564"/>
      <c r="J2770" s="564"/>
      <c r="K2770" s="564"/>
      <c r="L2770" s="565"/>
    </row>
    <row r="2771" spans="1:12" ht="16.5" thickBot="1">
      <c r="A2771" s="101"/>
      <c r="B2771" s="572" t="s">
        <v>140</v>
      </c>
      <c r="C2771" s="573"/>
      <c r="D2771" s="573"/>
      <c r="E2771" s="573"/>
      <c r="F2771" s="573"/>
      <c r="G2771" s="573"/>
      <c r="H2771" s="573"/>
      <c r="I2771" s="573"/>
      <c r="J2771" s="573"/>
      <c r="K2771" s="573"/>
      <c r="L2771" s="574"/>
    </row>
    <row r="2772" spans="1:12">
      <c r="A2772" s="101"/>
      <c r="B2772" s="72" t="s">
        <v>142</v>
      </c>
      <c r="C2772" s="561" t="str">
        <f ca="1">OFFSET('Bateria indicadores proceso'!$G$3,(RIGHT(A2746,3)),1)</f>
        <v xml:space="preserve">Subdirector </v>
      </c>
      <c r="D2772" s="561"/>
      <c r="E2772" s="561"/>
      <c r="F2772" s="561"/>
      <c r="G2772" s="561"/>
      <c r="H2772" s="561"/>
      <c r="I2772" s="561"/>
      <c r="J2772" s="561"/>
      <c r="K2772" s="561"/>
      <c r="L2772" s="566"/>
    </row>
    <row r="2773" spans="1:12">
      <c r="A2773" s="101"/>
      <c r="B2773" s="72" t="s">
        <v>143</v>
      </c>
      <c r="C2773" s="561" t="str">
        <f ca="1">OFFSET('Bateria indicadores proceso'!$F$3,(RIGHT(A2746,3)),1)</f>
        <v>Subdirección Administrativa y Financiera</v>
      </c>
      <c r="D2773" s="561"/>
      <c r="E2773" s="561"/>
      <c r="F2773" s="561"/>
      <c r="G2773" s="561"/>
      <c r="H2773" s="561"/>
      <c r="I2773" s="561"/>
      <c r="J2773" s="561"/>
      <c r="K2773" s="561"/>
      <c r="L2773" s="566"/>
    </row>
    <row r="2774" spans="1:12">
      <c r="A2774" s="101"/>
      <c r="B2774" s="72" t="s">
        <v>144</v>
      </c>
      <c r="C2774" s="598" t="str">
        <f ca="1">OFFSET('Bateria indicadores proceso'!$H$3,(RIGHT(A2710,3)),1)</f>
        <v>diana.olmos@mininterior.gov.co</v>
      </c>
      <c r="D2774" s="598"/>
      <c r="E2774" s="598"/>
      <c r="F2774" s="598"/>
      <c r="G2774" s="598"/>
      <c r="H2774" s="598"/>
      <c r="I2774" s="598"/>
      <c r="J2774" s="598"/>
      <c r="K2774" s="598"/>
      <c r="L2774" s="599"/>
    </row>
    <row r="2775" spans="1:12" ht="15.75" thickBot="1">
      <c r="A2775" s="104"/>
      <c r="B2775" s="74" t="s">
        <v>145</v>
      </c>
      <c r="C2775" s="596" t="s">
        <v>146</v>
      </c>
      <c r="D2775" s="596"/>
      <c r="E2775" s="596"/>
      <c r="F2775" s="596"/>
      <c r="G2775" s="596"/>
      <c r="H2775" s="596"/>
      <c r="I2775" s="596"/>
      <c r="J2775" s="596"/>
      <c r="K2775" s="596"/>
      <c r="L2775" s="597"/>
    </row>
    <row r="2776" spans="1:12" ht="15.75" thickBot="1"/>
    <row r="2777" spans="1:12" ht="21.75" thickBot="1">
      <c r="A2777" s="586" t="s">
        <v>89</v>
      </c>
      <c r="B2777" s="587"/>
      <c r="C2777" s="587"/>
      <c r="D2777" s="587"/>
      <c r="E2777" s="587"/>
      <c r="F2777" s="587"/>
      <c r="G2777" s="587"/>
      <c r="H2777" s="587"/>
      <c r="I2777" s="587"/>
      <c r="J2777" s="587"/>
      <c r="K2777" s="587"/>
      <c r="L2777" s="588"/>
    </row>
    <row r="2778" spans="1:12" ht="32.25" thickBot="1">
      <c r="A2778" s="69" t="s">
        <v>90</v>
      </c>
      <c r="B2778" s="589" t="s">
        <v>91</v>
      </c>
      <c r="C2778" s="589"/>
      <c r="D2778" s="589"/>
      <c r="E2778" s="589"/>
      <c r="F2778" s="589"/>
      <c r="G2778" s="589"/>
      <c r="H2778" s="589"/>
      <c r="I2778" s="589"/>
      <c r="J2778" s="589"/>
      <c r="K2778" s="589"/>
      <c r="L2778" s="589"/>
    </row>
    <row r="2779" spans="1:12" ht="16.5" thickBot="1">
      <c r="A2779" s="100"/>
      <c r="B2779" s="71" t="s">
        <v>92</v>
      </c>
      <c r="C2779" s="575" t="s">
        <v>93</v>
      </c>
      <c r="D2779" s="575"/>
      <c r="E2779" s="575"/>
      <c r="F2779" s="575"/>
      <c r="G2779" s="575"/>
      <c r="H2779" s="575"/>
      <c r="I2779" s="575"/>
      <c r="J2779" s="575"/>
      <c r="K2779" s="575"/>
      <c r="L2779" s="576"/>
    </row>
    <row r="2780" spans="1:12" ht="16.5" thickBot="1">
      <c r="A2780" s="101"/>
      <c r="B2780" s="589" t="s">
        <v>94</v>
      </c>
      <c r="C2780" s="590"/>
      <c r="D2780" s="590"/>
      <c r="E2780" s="590"/>
      <c r="F2780" s="590"/>
      <c r="G2780" s="590"/>
      <c r="H2780" s="590"/>
      <c r="I2780" s="590"/>
      <c r="J2780" s="590"/>
      <c r="K2780" s="590"/>
      <c r="L2780" s="590"/>
    </row>
    <row r="2781" spans="1:12">
      <c r="A2781" s="101"/>
      <c r="B2781" s="71" t="s">
        <v>95</v>
      </c>
      <c r="C2781" s="559" t="s">
        <v>96</v>
      </c>
      <c r="D2781" s="559"/>
      <c r="E2781" s="559"/>
      <c r="F2781" s="559"/>
      <c r="G2781" s="559"/>
      <c r="H2781" s="559"/>
      <c r="I2781" s="559"/>
      <c r="J2781" s="559"/>
      <c r="K2781" s="559"/>
      <c r="L2781" s="560"/>
    </row>
    <row r="2782" spans="1:12">
      <c r="A2782" s="102" t="s">
        <v>223</v>
      </c>
      <c r="B2782" s="72" t="s">
        <v>98</v>
      </c>
      <c r="C2782" s="559">
        <f ca="1">OFFSET('Bateria indicadores proceso'!$F$3,(RIGHT(A2782,3)),1)</f>
        <v>0</v>
      </c>
      <c r="D2782" s="559"/>
      <c r="E2782" s="559"/>
      <c r="F2782" s="559"/>
      <c r="G2782" s="559"/>
      <c r="H2782" s="559"/>
      <c r="I2782" s="559"/>
      <c r="J2782" s="559"/>
      <c r="K2782" s="559"/>
      <c r="L2782" s="560"/>
    </row>
    <row r="2783" spans="1:12">
      <c r="A2783" s="101"/>
      <c r="B2783" s="72" t="s">
        <v>99</v>
      </c>
      <c r="C2783" s="559">
        <f ca="1">OFFSET('Bateria indicadores proceso'!$K$3,(RIGHT(A2782,3)),1)</f>
        <v>0</v>
      </c>
      <c r="D2783" s="559"/>
      <c r="E2783" s="559"/>
      <c r="F2783" s="559"/>
      <c r="G2783" s="559"/>
      <c r="H2783" s="559"/>
      <c r="I2783" s="559"/>
      <c r="J2783" s="559"/>
      <c r="K2783" s="559"/>
      <c r="L2783" s="560"/>
    </row>
    <row r="2784" spans="1:12">
      <c r="A2784" s="101"/>
      <c r="B2784" s="72" t="s">
        <v>100</v>
      </c>
      <c r="C2784" s="559">
        <f ca="1">OFFSET('Bateria indicadores proceso'!$I$3,(RIGHT(A2782,3)),1)</f>
        <v>0</v>
      </c>
      <c r="D2784" s="559"/>
      <c r="E2784" s="559"/>
      <c r="F2784" s="559"/>
      <c r="G2784" s="559"/>
      <c r="H2784" s="559"/>
      <c r="I2784" s="559"/>
      <c r="J2784" s="559"/>
      <c r="K2784" s="559"/>
      <c r="L2784" s="560"/>
    </row>
    <row r="2785" spans="1:12" ht="15.75" thickBot="1">
      <c r="A2785" s="103"/>
      <c r="B2785" s="73" t="s">
        <v>101</v>
      </c>
      <c r="C2785" s="559">
        <f ca="1">OFFSET('Bateria indicadores proceso'!$J$3,(RIGHT(A2782,3)),1)</f>
        <v>0</v>
      </c>
      <c r="D2785" s="559"/>
      <c r="E2785" s="559"/>
      <c r="F2785" s="559"/>
      <c r="G2785" s="559"/>
      <c r="H2785" s="559"/>
      <c r="I2785" s="559"/>
      <c r="J2785" s="559"/>
      <c r="K2785" s="559"/>
      <c r="L2785" s="560"/>
    </row>
    <row r="2786" spans="1:12" ht="16.5" thickBot="1">
      <c r="A2786" s="103"/>
      <c r="B2786" s="572" t="s">
        <v>102</v>
      </c>
      <c r="C2786" s="573"/>
      <c r="D2786" s="573"/>
      <c r="E2786" s="573"/>
      <c r="F2786" s="573"/>
      <c r="G2786" s="573"/>
      <c r="H2786" s="573"/>
      <c r="I2786" s="573"/>
      <c r="J2786" s="573"/>
      <c r="K2786" s="573"/>
      <c r="L2786" s="574"/>
    </row>
    <row r="2787" spans="1:12">
      <c r="A2787" s="101"/>
      <c r="B2787" s="71" t="s">
        <v>103</v>
      </c>
      <c r="C2787" s="559">
        <f ca="1">OFFSET('Bateria indicadores proceso'!$O$3,(RIGHT(A2782,3)),1)</f>
        <v>0</v>
      </c>
      <c r="D2787" s="559"/>
      <c r="E2787" s="559"/>
      <c r="F2787" s="559"/>
      <c r="G2787" s="559"/>
      <c r="H2787" s="559"/>
      <c r="I2787" s="559"/>
      <c r="J2787" s="559"/>
      <c r="K2787" s="559"/>
      <c r="L2787" s="560"/>
    </row>
    <row r="2788" spans="1:12" ht="24">
      <c r="A2788" s="101"/>
      <c r="B2788" s="72" t="s">
        <v>104</v>
      </c>
      <c r="C2788" s="559"/>
      <c r="D2788" s="559"/>
      <c r="E2788" s="559"/>
      <c r="F2788" s="559"/>
      <c r="G2788" s="559"/>
      <c r="H2788" s="559"/>
      <c r="I2788" s="559"/>
      <c r="J2788" s="559"/>
      <c r="K2788" s="559"/>
      <c r="L2788" s="560"/>
    </row>
    <row r="2789" spans="1:12">
      <c r="A2789" s="101"/>
      <c r="B2789" s="72" t="s">
        <v>105</v>
      </c>
      <c r="C2789" s="559">
        <f ca="1">OFFSET('Bateria indicadores proceso'!$L$3,(RIGHT(A2782,3)),1)</f>
        <v>0</v>
      </c>
      <c r="D2789" s="559"/>
      <c r="E2789" s="559"/>
      <c r="F2789" s="559"/>
      <c r="G2789" s="559"/>
      <c r="H2789" s="559"/>
      <c r="I2789" s="559"/>
      <c r="J2789" s="559"/>
      <c r="K2789" s="559"/>
      <c r="L2789" s="560"/>
    </row>
    <row r="2790" spans="1:12">
      <c r="A2790" s="101"/>
      <c r="B2790" s="72" t="s">
        <v>106</v>
      </c>
      <c r="C2790" s="559">
        <f ca="1">OFFSET('Bateria indicadores proceso'!$Z$3,(RIGHT(A2782,3)),1)</f>
        <v>0</v>
      </c>
      <c r="D2790" s="559"/>
      <c r="E2790" s="559"/>
      <c r="F2790" s="559"/>
      <c r="G2790" s="559"/>
      <c r="H2790" s="559"/>
      <c r="I2790" s="559"/>
      <c r="J2790" s="559"/>
      <c r="K2790" s="559"/>
      <c r="L2790" s="560"/>
    </row>
    <row r="2791" spans="1:12">
      <c r="A2791" s="101"/>
      <c r="B2791" s="72" t="s">
        <v>107</v>
      </c>
      <c r="C2791" s="559">
        <f ca="1">OFFSET('Bateria indicadores proceso'!$X$3,(RIGHT(A2782,3)),1)</f>
        <v>0</v>
      </c>
      <c r="D2791" s="559"/>
      <c r="E2791" s="559"/>
      <c r="F2791" s="559"/>
      <c r="G2791" s="559"/>
      <c r="H2791" s="559"/>
      <c r="I2791" s="559"/>
      <c r="J2791" s="559"/>
      <c r="K2791" s="559"/>
      <c r="L2791" s="560"/>
    </row>
    <row r="2792" spans="1:12">
      <c r="A2792" s="101"/>
      <c r="B2792" s="72" t="s">
        <v>108</v>
      </c>
      <c r="C2792" s="561">
        <f ca="1">OFFSET('Bateria indicadores proceso'!$P$3,(RIGHT(A2782,3)),1)</f>
        <v>0</v>
      </c>
      <c r="D2792" s="561"/>
      <c r="E2792" s="561"/>
      <c r="F2792" s="561"/>
      <c r="G2792" s="561"/>
      <c r="H2792" s="561"/>
      <c r="I2792" s="561"/>
      <c r="J2792" s="561"/>
      <c r="K2792" s="561"/>
      <c r="L2792" s="566"/>
    </row>
    <row r="2793" spans="1:12">
      <c r="A2793" s="101"/>
      <c r="B2793" s="72" t="s">
        <v>109</v>
      </c>
      <c r="C2793" s="561" t="str">
        <f ca="1">IF(C2787="Número",TEXT(OFFSET('Bateria indicadores proceso'!$Q$3,(RIGHT(A2782,3)),1),"######"),TEXT(OFFSET('Bateria indicadores proceso'!$Q$3,(RIGHT(A2782,3)),1),"0.0%"))</f>
        <v>00%</v>
      </c>
      <c r="D2793" s="561"/>
      <c r="E2793" s="561"/>
      <c r="F2793" s="561"/>
      <c r="G2793" s="561"/>
      <c r="H2793" s="561"/>
      <c r="I2793" s="561"/>
      <c r="J2793" s="561"/>
      <c r="K2793" s="561"/>
      <c r="L2793" s="566"/>
    </row>
    <row r="2794" spans="1:12">
      <c r="A2794" s="101"/>
      <c r="B2794" s="72" t="s">
        <v>110</v>
      </c>
      <c r="C2794" s="593">
        <f ca="1">+OFFSET('Bateria indicadores proceso'!$R$3,(RIGHT(A2782,3)),1)</f>
        <v>0</v>
      </c>
      <c r="D2794" s="593"/>
      <c r="E2794" s="593"/>
      <c r="F2794" s="593"/>
      <c r="G2794" s="593"/>
      <c r="H2794" s="593"/>
      <c r="I2794" s="593"/>
      <c r="J2794" s="593"/>
      <c r="K2794" s="593"/>
      <c r="L2794" s="594"/>
    </row>
    <row r="2795" spans="1:12">
      <c r="A2795" s="101"/>
      <c r="B2795" s="72" t="s">
        <v>111</v>
      </c>
      <c r="C2795" s="561">
        <f ca="1">OFFSET('Bateria indicadores proceso'!$M$3,(RIGHT(A2782,3)),1)</f>
        <v>0</v>
      </c>
      <c r="D2795" s="561"/>
      <c r="E2795" s="561"/>
      <c r="F2795" s="561"/>
      <c r="G2795" s="561"/>
      <c r="H2795" s="561"/>
      <c r="I2795" s="561"/>
      <c r="J2795" s="561"/>
      <c r="K2795" s="561"/>
      <c r="L2795" s="566"/>
    </row>
    <row r="2796" spans="1:12">
      <c r="A2796" s="101"/>
      <c r="B2796" s="72" t="s">
        <v>112</v>
      </c>
      <c r="C2796" s="561">
        <f ca="1">OFFSET('Bateria indicadores proceso'!$N$3,(RIGHT(A2782,3)),1)</f>
        <v>0</v>
      </c>
      <c r="D2796" s="561"/>
      <c r="E2796" s="561"/>
      <c r="F2796" s="561"/>
      <c r="G2796" s="561"/>
      <c r="H2796" s="561"/>
      <c r="I2796" s="561"/>
      <c r="J2796" s="561"/>
      <c r="K2796" s="561"/>
      <c r="L2796" s="566"/>
    </row>
    <row r="2797" spans="1:12">
      <c r="A2797" s="101"/>
      <c r="B2797" s="72" t="s">
        <v>113</v>
      </c>
      <c r="C2797" s="561" t="str">
        <f ca="1">IF(C2787="Número",TEXT(OFFSET('Bateria indicadores proceso'!$W$3,(RIGHT(A2782,3)),1),"######"),TEXT(OFFSET('Bateria indicadores proceso'!$W$3,(RIGHT(A2782,3)),1),"0.0%"))</f>
        <v>00%</v>
      </c>
      <c r="D2797" s="561"/>
      <c r="E2797" s="561"/>
      <c r="F2797" s="561"/>
      <c r="G2797" s="561"/>
      <c r="H2797" s="561"/>
      <c r="I2797" s="561"/>
      <c r="J2797" s="561"/>
      <c r="K2797" s="561"/>
      <c r="L2797" s="566"/>
    </row>
    <row r="2798" spans="1:12">
      <c r="A2798" s="101"/>
      <c r="B2798" s="595" t="s">
        <v>114</v>
      </c>
      <c r="C2798" s="70" t="s">
        <v>115</v>
      </c>
      <c r="D2798" s="70" t="s">
        <v>116</v>
      </c>
      <c r="E2798" s="70" t="s">
        <v>117</v>
      </c>
      <c r="F2798" s="70" t="s">
        <v>118</v>
      </c>
      <c r="J2798" s="75"/>
      <c r="K2798" s="75"/>
      <c r="L2798" s="76"/>
    </row>
    <row r="2799" spans="1:12">
      <c r="A2799" s="101"/>
      <c r="B2799" s="595"/>
      <c r="C2799" s="70" t="str">
        <f ca="1">IF(C2787="Número",TEXT(OFFSET('Bateria indicadores proceso'!$S$3,(RIGHT(A2782,3)),1),"######"),TEXT(OFFSET('Bateria indicadores proceso'!$S$3,(RIGHT(A2782,3)),1),"0.0%"))</f>
        <v>00%</v>
      </c>
      <c r="D2799" s="70" t="str">
        <f ca="1">IF(C2787="Número",TEXT(OFFSET('Bateria indicadores proceso'!$T$3,(RIGHT(A2782,3)),1),"######"),TEXT(OFFSET('Bateria indicadores proceso'!$T$3,(RIGHT(A2782,3)),1),"0.0%"))</f>
        <v>00%</v>
      </c>
      <c r="E2799" s="70" t="str">
        <f ca="1">IF(C2787="Número",TEXT(OFFSET('Bateria indicadores proceso'!$U$3,(RIGHT(A2782,3)),1),"######"),TEXT(OFFSET('Bateria indicadores proceso'!$U$3,(RIGHT(A2782,3)),1),"0.0%"))</f>
        <v>00%</v>
      </c>
      <c r="F2799" s="70" t="str">
        <f ca="1">IF(C2787="Número",TEXT(OFFSET('Bateria indicadores proceso'!$V$3,(RIGHT(A2782,3)),1),"######"),TEXT(OFFSET('Bateria indicadores proceso'!$V$3,(RIGHT(A2782,3)),1),"0.0%"))</f>
        <v>00%</v>
      </c>
      <c r="J2799" s="77"/>
      <c r="K2799" s="77"/>
      <c r="L2799" s="78"/>
    </row>
    <row r="2800" spans="1:12">
      <c r="A2800" s="101"/>
      <c r="B2800" s="600" t="s">
        <v>119</v>
      </c>
      <c r="C2800" s="567" t="s">
        <v>120</v>
      </c>
      <c r="D2800" s="568"/>
      <c r="E2800" s="567" t="s">
        <v>121</v>
      </c>
      <c r="F2800" s="568"/>
      <c r="G2800" s="567" t="s">
        <v>122</v>
      </c>
      <c r="H2800" s="568"/>
      <c r="I2800" s="567" t="s">
        <v>123</v>
      </c>
      <c r="J2800" s="568"/>
      <c r="K2800" s="567" t="s">
        <v>124</v>
      </c>
      <c r="L2800" s="569"/>
    </row>
    <row r="2801" spans="1:12">
      <c r="A2801" s="101"/>
      <c r="B2801" s="601"/>
      <c r="C2801" s="570" t="s">
        <v>125</v>
      </c>
      <c r="D2801" s="571"/>
      <c r="E2801" s="577" t="s">
        <v>126</v>
      </c>
      <c r="F2801" s="578"/>
      <c r="G2801" s="579" t="s">
        <v>127</v>
      </c>
      <c r="H2801" s="580"/>
      <c r="I2801" s="581" t="s">
        <v>128</v>
      </c>
      <c r="J2801" s="582"/>
      <c r="K2801" s="583" t="s">
        <v>129</v>
      </c>
      <c r="L2801" s="584"/>
    </row>
    <row r="2802" spans="1:12">
      <c r="A2802" s="101"/>
      <c r="B2802" s="602"/>
      <c r="C2802" s="567" t="s">
        <v>130</v>
      </c>
      <c r="D2802" s="568"/>
      <c r="E2802" s="567" t="s">
        <v>131</v>
      </c>
      <c r="F2802" s="568"/>
      <c r="G2802" s="585" t="s">
        <v>132</v>
      </c>
      <c r="H2802" s="568"/>
      <c r="I2802" s="567" t="s">
        <v>133</v>
      </c>
      <c r="J2802" s="568"/>
      <c r="K2802" s="567" t="s">
        <v>134</v>
      </c>
      <c r="L2802" s="569"/>
    </row>
    <row r="2803" spans="1:12">
      <c r="A2803" s="101"/>
      <c r="B2803" s="72" t="s">
        <v>135</v>
      </c>
      <c r="C2803" s="559">
        <f ca="1">OFFSET('Bateria indicadores proceso'!$Y$3,(RIGHT(A2782,3)),1)</f>
        <v>0</v>
      </c>
      <c r="D2803" s="559"/>
      <c r="E2803" s="559"/>
      <c r="F2803" s="559"/>
      <c r="G2803" s="559"/>
      <c r="H2803" s="559"/>
      <c r="I2803" s="559"/>
      <c r="J2803" s="559"/>
      <c r="K2803" s="559"/>
      <c r="L2803" s="560"/>
    </row>
    <row r="2804" spans="1:12">
      <c r="A2804" s="101"/>
      <c r="B2804" s="591" t="s">
        <v>136</v>
      </c>
      <c r="C2804" s="561" t="s">
        <v>137</v>
      </c>
      <c r="D2804" s="561"/>
      <c r="E2804" s="561"/>
      <c r="F2804" s="562">
        <f ca="1">OFFSET('Bateria indicadores proceso'!$B$3,(RIGHT(A2782,3)),1)</f>
        <v>0</v>
      </c>
      <c r="G2804" s="562"/>
      <c r="H2804" s="562"/>
      <c r="I2804" s="562"/>
      <c r="J2804" s="562"/>
      <c r="K2804" s="562"/>
      <c r="L2804" s="563"/>
    </row>
    <row r="2805" spans="1:12">
      <c r="A2805" s="101"/>
      <c r="B2805" s="592"/>
      <c r="C2805" s="561" t="s">
        <v>138</v>
      </c>
      <c r="D2805" s="561"/>
      <c r="E2805" s="561"/>
      <c r="F2805" s="564">
        <f ca="1">OFFSET('Bateria indicadores proceso'!$C$3,(RIGHT(A2782,3)),1)</f>
        <v>0</v>
      </c>
      <c r="G2805" s="564"/>
      <c r="H2805" s="564"/>
      <c r="I2805" s="564"/>
      <c r="J2805" s="564"/>
      <c r="K2805" s="564"/>
      <c r="L2805" s="565"/>
    </row>
    <row r="2806" spans="1:12" ht="15.75" thickBot="1">
      <c r="A2806" s="101"/>
      <c r="B2806" s="592"/>
      <c r="C2806" s="561" t="s">
        <v>139</v>
      </c>
      <c r="D2806" s="561"/>
      <c r="E2806" s="561"/>
      <c r="F2806" s="564">
        <f ca="1">OFFSET('Bateria indicadores proceso'!$E$3,(RIGHT(A2782,3)),1)</f>
        <v>0</v>
      </c>
      <c r="G2806" s="564"/>
      <c r="H2806" s="564"/>
      <c r="I2806" s="564"/>
      <c r="J2806" s="564"/>
      <c r="K2806" s="564"/>
      <c r="L2806" s="565"/>
    </row>
    <row r="2807" spans="1:12" ht="16.5" thickBot="1">
      <c r="A2807" s="101"/>
      <c r="B2807" s="572" t="s">
        <v>140</v>
      </c>
      <c r="C2807" s="573"/>
      <c r="D2807" s="573"/>
      <c r="E2807" s="573"/>
      <c r="F2807" s="573"/>
      <c r="G2807" s="573"/>
      <c r="H2807" s="573"/>
      <c r="I2807" s="573"/>
      <c r="J2807" s="573"/>
      <c r="K2807" s="573"/>
      <c r="L2807" s="574"/>
    </row>
    <row r="2808" spans="1:12">
      <c r="A2808" s="101"/>
      <c r="B2808" s="72" t="s">
        <v>142</v>
      </c>
      <c r="C2808" s="561">
        <f ca="1">OFFSET('Bateria indicadores proceso'!$G$3,(RIGHT(A2782,3)),1)</f>
        <v>0</v>
      </c>
      <c r="D2808" s="561"/>
      <c r="E2808" s="561"/>
      <c r="F2808" s="561"/>
      <c r="G2808" s="561"/>
      <c r="H2808" s="561"/>
      <c r="I2808" s="561"/>
      <c r="J2808" s="561"/>
      <c r="K2808" s="561"/>
      <c r="L2808" s="566"/>
    </row>
    <row r="2809" spans="1:12">
      <c r="A2809" s="101"/>
      <c r="B2809" s="72" t="s">
        <v>143</v>
      </c>
      <c r="C2809" s="561">
        <f ca="1">OFFSET('Bateria indicadores proceso'!$F$3,(RIGHT(A2782,3)),1)</f>
        <v>0</v>
      </c>
      <c r="D2809" s="561"/>
      <c r="E2809" s="561"/>
      <c r="F2809" s="561"/>
      <c r="G2809" s="561"/>
      <c r="H2809" s="561"/>
      <c r="I2809" s="561"/>
      <c r="J2809" s="561"/>
      <c r="K2809" s="561"/>
      <c r="L2809" s="566"/>
    </row>
    <row r="2810" spans="1:12">
      <c r="A2810" s="101"/>
      <c r="B2810" s="72" t="s">
        <v>144</v>
      </c>
      <c r="C2810" s="598">
        <f ca="1">OFFSET('Bateria indicadores proceso'!$H$3,(RIGHT(A2782,3)),1)</f>
        <v>0</v>
      </c>
      <c r="D2810" s="598"/>
      <c r="E2810" s="598"/>
      <c r="F2810" s="598"/>
      <c r="G2810" s="598"/>
      <c r="H2810" s="598"/>
      <c r="I2810" s="598"/>
      <c r="J2810" s="598"/>
      <c r="K2810" s="598"/>
      <c r="L2810" s="599"/>
    </row>
    <row r="2811" spans="1:12" ht="15.75" thickBot="1">
      <c r="A2811" s="104"/>
      <c r="B2811" s="74" t="s">
        <v>145</v>
      </c>
      <c r="C2811" s="596" t="s">
        <v>146</v>
      </c>
      <c r="D2811" s="596"/>
      <c r="E2811" s="596"/>
      <c r="F2811" s="596"/>
      <c r="G2811" s="596"/>
      <c r="H2811" s="596"/>
      <c r="I2811" s="596"/>
      <c r="J2811" s="596"/>
      <c r="K2811" s="596"/>
      <c r="L2811" s="597"/>
    </row>
    <row r="2812" spans="1:12" ht="15.75" thickBot="1"/>
    <row r="2813" spans="1:12" ht="21.75" thickBot="1">
      <c r="A2813" s="586" t="s">
        <v>89</v>
      </c>
      <c r="B2813" s="587"/>
      <c r="C2813" s="587"/>
      <c r="D2813" s="587"/>
      <c r="E2813" s="587"/>
      <c r="F2813" s="587"/>
      <c r="G2813" s="587"/>
      <c r="H2813" s="587"/>
      <c r="I2813" s="587"/>
      <c r="J2813" s="587"/>
      <c r="K2813" s="587"/>
      <c r="L2813" s="588"/>
    </row>
    <row r="2814" spans="1:12" ht="32.25" thickBot="1">
      <c r="A2814" s="69" t="s">
        <v>90</v>
      </c>
      <c r="B2814" s="589" t="s">
        <v>91</v>
      </c>
      <c r="C2814" s="589"/>
      <c r="D2814" s="589"/>
      <c r="E2814" s="589"/>
      <c r="F2814" s="589"/>
      <c r="G2814" s="589"/>
      <c r="H2814" s="589"/>
      <c r="I2814" s="589"/>
      <c r="J2814" s="589"/>
      <c r="K2814" s="589"/>
      <c r="L2814" s="589"/>
    </row>
    <row r="2815" spans="1:12" ht="16.5" thickBot="1">
      <c r="A2815" s="100"/>
      <c r="B2815" s="71" t="s">
        <v>92</v>
      </c>
      <c r="C2815" s="575" t="s">
        <v>93</v>
      </c>
      <c r="D2815" s="575"/>
      <c r="E2815" s="575"/>
      <c r="F2815" s="575"/>
      <c r="G2815" s="575"/>
      <c r="H2815" s="575"/>
      <c r="I2815" s="575"/>
      <c r="J2815" s="575"/>
      <c r="K2815" s="575"/>
      <c r="L2815" s="576"/>
    </row>
    <row r="2816" spans="1:12" ht="16.5" thickBot="1">
      <c r="A2816" s="101"/>
      <c r="B2816" s="589" t="s">
        <v>94</v>
      </c>
      <c r="C2816" s="590"/>
      <c r="D2816" s="590"/>
      <c r="E2816" s="590"/>
      <c r="F2816" s="590"/>
      <c r="G2816" s="590"/>
      <c r="H2816" s="590"/>
      <c r="I2816" s="590"/>
      <c r="J2816" s="590"/>
      <c r="K2816" s="590"/>
      <c r="L2816" s="590"/>
    </row>
    <row r="2817" spans="1:12">
      <c r="A2817" s="101"/>
      <c r="B2817" s="71" t="s">
        <v>95</v>
      </c>
      <c r="C2817" s="559" t="s">
        <v>96</v>
      </c>
      <c r="D2817" s="559"/>
      <c r="E2817" s="559"/>
      <c r="F2817" s="559"/>
      <c r="G2817" s="559"/>
      <c r="H2817" s="559"/>
      <c r="I2817" s="559"/>
      <c r="J2817" s="559"/>
      <c r="K2817" s="559"/>
      <c r="L2817" s="560"/>
    </row>
    <row r="2818" spans="1:12">
      <c r="A2818" s="102" t="s">
        <v>224</v>
      </c>
      <c r="B2818" s="72" t="s">
        <v>98</v>
      </c>
      <c r="C2818" s="559" t="str">
        <f ca="1">OFFSET('Bateria indicadores proceso'!$F$3,(RIGHT(A2818,3)),1)</f>
        <v>Oficina de Control Disciplinario Interno</v>
      </c>
      <c r="D2818" s="559"/>
      <c r="E2818" s="559"/>
      <c r="F2818" s="559"/>
      <c r="G2818" s="559"/>
      <c r="H2818" s="559"/>
      <c r="I2818" s="559"/>
      <c r="J2818" s="559"/>
      <c r="K2818" s="559"/>
      <c r="L2818" s="560"/>
    </row>
    <row r="2819" spans="1:12">
      <c r="A2819" s="101"/>
      <c r="B2819" s="72" t="s">
        <v>99</v>
      </c>
      <c r="C2819" s="559" t="str">
        <f ca="1">OFFSET('Bateria indicadores proceso'!$K$3,(RIGHT(A2818,3)),1)</f>
        <v>Quejas, Informes o Expedientes Disciplinarios tramitados</v>
      </c>
      <c r="D2819" s="559"/>
      <c r="E2819" s="559"/>
      <c r="F2819" s="559"/>
      <c r="G2819" s="559"/>
      <c r="H2819" s="559"/>
      <c r="I2819" s="559"/>
      <c r="J2819" s="559"/>
      <c r="K2819" s="559"/>
      <c r="L2819" s="560"/>
    </row>
    <row r="2820" spans="1:12">
      <c r="A2820" s="101"/>
      <c r="B2820" s="72" t="s">
        <v>100</v>
      </c>
      <c r="C2820" s="559" t="str">
        <f ca="1">OFFSET('Bateria indicadores proceso'!$I$3,(RIGHT(A2818,3)),1)</f>
        <v>Eficiencia</v>
      </c>
      <c r="D2820" s="559"/>
      <c r="E2820" s="559"/>
      <c r="F2820" s="559"/>
      <c r="G2820" s="559"/>
      <c r="H2820" s="559"/>
      <c r="I2820" s="559"/>
      <c r="J2820" s="559"/>
      <c r="K2820" s="559"/>
      <c r="L2820" s="560"/>
    </row>
    <row r="2821" spans="1:12" ht="51" customHeight="1" thickBot="1">
      <c r="A2821" s="103"/>
      <c r="B2821" s="73" t="s">
        <v>101</v>
      </c>
      <c r="C2821" s="559" t="str">
        <f ca="1">OFFSET('Bateria indicadores proceso'!$J$3,(RIGHT(A2818,3)),1)</f>
        <v>Porcentaje de procesos y/o actuaciones disciplinarias adelantadas, que permite saber si el área disciplinaria está respondiendo al volumen de casos que recibe, garantizando la transparencia, eficiencia y mejora continua; este indicador es de mantenimiento</v>
      </c>
      <c r="D2821" s="559"/>
      <c r="E2821" s="559"/>
      <c r="F2821" s="559"/>
      <c r="G2821" s="559"/>
      <c r="H2821" s="559"/>
      <c r="I2821" s="559"/>
      <c r="J2821" s="559"/>
      <c r="K2821" s="559"/>
      <c r="L2821" s="560"/>
    </row>
    <row r="2822" spans="1:12" ht="16.5" thickBot="1">
      <c r="A2822" s="103"/>
      <c r="B2822" s="572" t="s">
        <v>102</v>
      </c>
      <c r="C2822" s="573"/>
      <c r="D2822" s="573"/>
      <c r="E2822" s="573"/>
      <c r="F2822" s="573"/>
      <c r="G2822" s="573"/>
      <c r="H2822" s="573"/>
      <c r="I2822" s="573"/>
      <c r="J2822" s="573"/>
      <c r="K2822" s="573"/>
      <c r="L2822" s="574"/>
    </row>
    <row r="2823" spans="1:12">
      <c r="A2823" s="101"/>
      <c r="B2823" s="71" t="s">
        <v>103</v>
      </c>
      <c r="C2823" s="559" t="str">
        <f ca="1">OFFSET('Bateria indicadores proceso'!$O$3,(RIGHT(A2818,3)),1)</f>
        <v>Porcentaje</v>
      </c>
      <c r="D2823" s="559"/>
      <c r="E2823" s="559"/>
      <c r="F2823" s="559"/>
      <c r="G2823" s="559"/>
      <c r="H2823" s="559"/>
      <c r="I2823" s="559"/>
      <c r="J2823" s="559"/>
      <c r="K2823" s="559"/>
      <c r="L2823" s="560"/>
    </row>
    <row r="2824" spans="1:12" ht="24">
      <c r="A2824" s="101"/>
      <c r="B2824" s="72" t="s">
        <v>104</v>
      </c>
      <c r="C2824" s="559"/>
      <c r="D2824" s="559"/>
      <c r="E2824" s="559"/>
      <c r="F2824" s="559"/>
      <c r="G2824" s="559"/>
      <c r="H2824" s="559"/>
      <c r="I2824" s="559"/>
      <c r="J2824" s="559"/>
      <c r="K2824" s="559"/>
      <c r="L2824" s="560"/>
    </row>
    <row r="2825" spans="1:12" ht="48.75" customHeight="1">
      <c r="A2825" s="101"/>
      <c r="B2825" s="72" t="s">
        <v>105</v>
      </c>
      <c r="C2825" s="559" t="str">
        <f ca="1">OFFSET('Bateria indicadores proceso'!$L$3,(RIGHT(A2818,3)),1)</f>
        <v>(Número de quejas o informes tramitados / Número de quejas o informes recibidos) *100</v>
      </c>
      <c r="D2825" s="559"/>
      <c r="E2825" s="559"/>
      <c r="F2825" s="559"/>
      <c r="G2825" s="559"/>
      <c r="H2825" s="559"/>
      <c r="I2825" s="559"/>
      <c r="J2825" s="559"/>
      <c r="K2825" s="559"/>
      <c r="L2825" s="560"/>
    </row>
    <row r="2826" spans="1:12">
      <c r="A2826" s="101"/>
      <c r="B2826" s="72" t="s">
        <v>106</v>
      </c>
      <c r="C2826" s="559" t="str">
        <f ca="1">OFFSET('Bateria indicadores proceso'!$Z$3,(RIGHT(A2818,3)),1)</f>
        <v>Trimestral</v>
      </c>
      <c r="D2826" s="559"/>
      <c r="E2826" s="559"/>
      <c r="F2826" s="559"/>
      <c r="G2826" s="559"/>
      <c r="H2826" s="559"/>
      <c r="I2826" s="559"/>
      <c r="J2826" s="559"/>
      <c r="K2826" s="559"/>
      <c r="L2826" s="560"/>
    </row>
    <row r="2827" spans="1:12">
      <c r="A2827" s="101"/>
      <c r="B2827" s="72" t="s">
        <v>107</v>
      </c>
      <c r="C2827" s="559" t="str">
        <f ca="1">OFFSET('Bateria indicadores proceso'!$X$3,(RIGHT(A2818,3)),1)</f>
        <v>Cuadro de Procesos</v>
      </c>
      <c r="D2827" s="559"/>
      <c r="E2827" s="559"/>
      <c r="F2827" s="559"/>
      <c r="G2827" s="559"/>
      <c r="H2827" s="559"/>
      <c r="I2827" s="559"/>
      <c r="J2827" s="559"/>
      <c r="K2827" s="559"/>
      <c r="L2827" s="560"/>
    </row>
    <row r="2828" spans="1:12">
      <c r="A2828" s="101"/>
      <c r="B2828" s="72" t="s">
        <v>108</v>
      </c>
      <c r="C2828" s="561">
        <f ca="1">OFFSET('Bateria indicadores proceso'!$P$3,(RIGHT(A2818,3)),1)</f>
        <v>2023</v>
      </c>
      <c r="D2828" s="561"/>
      <c r="E2828" s="561"/>
      <c r="F2828" s="561"/>
      <c r="G2828" s="561"/>
      <c r="H2828" s="561"/>
      <c r="I2828" s="561"/>
      <c r="J2828" s="561"/>
      <c r="K2828" s="561"/>
      <c r="L2828" s="566"/>
    </row>
    <row r="2829" spans="1:12">
      <c r="A2829" s="101"/>
      <c r="B2829" s="72" t="s">
        <v>109</v>
      </c>
      <c r="C2829" s="561" t="str">
        <f ca="1">IF(C2823="Número",TEXT(OFFSET('Bateria indicadores proceso'!$Q$3,(RIGHT(A2818,3)),1),"######"),TEXT(OFFSET('Bateria indicadores proceso'!$Q$3,(RIGHT(A2818,3)),1),"0.0%"))</f>
        <v>100%</v>
      </c>
      <c r="D2829" s="561"/>
      <c r="E2829" s="561"/>
      <c r="F2829" s="561"/>
      <c r="G2829" s="561"/>
      <c r="H2829" s="561"/>
      <c r="I2829" s="561"/>
      <c r="J2829" s="561"/>
      <c r="K2829" s="561"/>
      <c r="L2829" s="566"/>
    </row>
    <row r="2830" spans="1:12">
      <c r="A2830" s="101"/>
      <c r="B2830" s="72" t="s">
        <v>110</v>
      </c>
      <c r="C2830" s="593">
        <f ca="1">+OFFSET('Bateria indicadores proceso'!$R$3,(RIGHT(A2818,3)),1)</f>
        <v>46022</v>
      </c>
      <c r="D2830" s="593"/>
      <c r="E2830" s="593"/>
      <c r="F2830" s="593"/>
      <c r="G2830" s="593"/>
      <c r="H2830" s="593"/>
      <c r="I2830" s="593"/>
      <c r="J2830" s="593"/>
      <c r="K2830" s="593"/>
      <c r="L2830" s="594"/>
    </row>
    <row r="2831" spans="1:12">
      <c r="A2831" s="101"/>
      <c r="B2831" s="72" t="s">
        <v>111</v>
      </c>
      <c r="C2831" s="561" t="str">
        <f ca="1">OFFSET('Bateria indicadores proceso'!$M$3,(RIGHT(A2818,3)),1)</f>
        <v>Mantener</v>
      </c>
      <c r="D2831" s="561"/>
      <c r="E2831" s="561"/>
      <c r="F2831" s="561"/>
      <c r="G2831" s="561"/>
      <c r="H2831" s="561"/>
      <c r="I2831" s="561"/>
      <c r="J2831" s="561"/>
      <c r="K2831" s="561"/>
      <c r="L2831" s="566"/>
    </row>
    <row r="2832" spans="1:12">
      <c r="A2832" s="101"/>
      <c r="B2832" s="72" t="s">
        <v>112</v>
      </c>
      <c r="C2832" s="561" t="str">
        <f ca="1">OFFSET('Bateria indicadores proceso'!$N$3,(RIGHT(A2818,3)),1)</f>
        <v>Flujo</v>
      </c>
      <c r="D2832" s="561"/>
      <c r="E2832" s="561"/>
      <c r="F2832" s="561"/>
      <c r="G2832" s="561"/>
      <c r="H2832" s="561"/>
      <c r="I2832" s="561"/>
      <c r="J2832" s="561"/>
      <c r="K2832" s="561"/>
      <c r="L2832" s="566"/>
    </row>
    <row r="2833" spans="1:12">
      <c r="A2833" s="101"/>
      <c r="B2833" s="72" t="s">
        <v>113</v>
      </c>
      <c r="C2833" s="561" t="str">
        <f ca="1">IF(C2823="Número",TEXT(OFFSET('Bateria indicadores proceso'!$W$3,(RIGHT(A2818,3)),1),"######"),TEXT(OFFSET('Bateria indicadores proceso'!$W$3,(RIGHT(A2818,3)),1),"0.0%"))</f>
        <v>100%</v>
      </c>
      <c r="D2833" s="561"/>
      <c r="E2833" s="561"/>
      <c r="F2833" s="561"/>
      <c r="G2833" s="561"/>
      <c r="H2833" s="561"/>
      <c r="I2833" s="561"/>
      <c r="J2833" s="561"/>
      <c r="K2833" s="561"/>
      <c r="L2833" s="566"/>
    </row>
    <row r="2834" spans="1:12">
      <c r="A2834" s="101"/>
      <c r="B2834" s="595" t="s">
        <v>114</v>
      </c>
      <c r="C2834" s="70" t="s">
        <v>115</v>
      </c>
      <c r="D2834" s="70" t="s">
        <v>116</v>
      </c>
      <c r="E2834" s="70" t="s">
        <v>117</v>
      </c>
      <c r="F2834" s="70" t="s">
        <v>118</v>
      </c>
      <c r="J2834" s="75"/>
      <c r="K2834" s="75"/>
      <c r="L2834" s="76"/>
    </row>
    <row r="2835" spans="1:12">
      <c r="A2835" s="101"/>
      <c r="B2835" s="595"/>
      <c r="C2835" s="70" t="str">
        <f ca="1">IF(C2823="Número",TEXT(OFFSET('Bateria indicadores proceso'!$S$3,(RIGHT(A2818,3)),1),"######"),TEXT(OFFSET('Bateria indicadores proceso'!$S$3,(RIGHT(A2818,3)),1),"0.0%"))</f>
        <v>100%</v>
      </c>
      <c r="D2835" s="70" t="str">
        <f ca="1">IF(C2823="Número",TEXT(OFFSET('Bateria indicadores proceso'!$T$3,(RIGHT(A2818,3)),1),"######"),TEXT(OFFSET('Bateria indicadores proceso'!$T$3,(RIGHT(A2818,3)),1),"0.0%"))</f>
        <v>100%</v>
      </c>
      <c r="E2835" s="70" t="str">
        <f ca="1">IF(C2823="Número",TEXT(OFFSET('Bateria indicadores proceso'!$U$3,(RIGHT(A2818,3)),1),"######"),TEXT(OFFSET('Bateria indicadores proceso'!$U$3,(RIGHT(A2818,3)),1),"0.0%"))</f>
        <v>100%</v>
      </c>
      <c r="F2835" s="70" t="str">
        <f ca="1">IF(C2823="Número",TEXT(OFFSET('Bateria indicadores proceso'!$V$3,(RIGHT(A2818,3)),1),"######"),TEXT(OFFSET('Bateria indicadores proceso'!$V$3,(RIGHT(A2818,3)),1),"0.0%"))</f>
        <v>100%</v>
      </c>
      <c r="J2835" s="77"/>
      <c r="K2835" s="77"/>
      <c r="L2835" s="78"/>
    </row>
    <row r="2836" spans="1:12">
      <c r="A2836" s="101"/>
      <c r="B2836" s="600" t="s">
        <v>119</v>
      </c>
      <c r="C2836" s="567" t="s">
        <v>120</v>
      </c>
      <c r="D2836" s="568"/>
      <c r="E2836" s="567" t="s">
        <v>121</v>
      </c>
      <c r="F2836" s="568"/>
      <c r="G2836" s="567" t="s">
        <v>122</v>
      </c>
      <c r="H2836" s="568"/>
      <c r="I2836" s="567" t="s">
        <v>123</v>
      </c>
      <c r="J2836" s="568"/>
      <c r="K2836" s="567" t="s">
        <v>124</v>
      </c>
      <c r="L2836" s="569"/>
    </row>
    <row r="2837" spans="1:12">
      <c r="A2837" s="101"/>
      <c r="B2837" s="601"/>
      <c r="C2837" s="570" t="s">
        <v>125</v>
      </c>
      <c r="D2837" s="571"/>
      <c r="E2837" s="577" t="s">
        <v>126</v>
      </c>
      <c r="F2837" s="578"/>
      <c r="G2837" s="579" t="s">
        <v>127</v>
      </c>
      <c r="H2837" s="580"/>
      <c r="I2837" s="581" t="s">
        <v>128</v>
      </c>
      <c r="J2837" s="582"/>
      <c r="K2837" s="583" t="s">
        <v>129</v>
      </c>
      <c r="L2837" s="584"/>
    </row>
    <row r="2838" spans="1:12">
      <c r="A2838" s="101"/>
      <c r="B2838" s="602"/>
      <c r="C2838" s="567" t="s">
        <v>130</v>
      </c>
      <c r="D2838" s="568"/>
      <c r="E2838" s="567" t="s">
        <v>131</v>
      </c>
      <c r="F2838" s="568"/>
      <c r="G2838" s="585" t="s">
        <v>132</v>
      </c>
      <c r="H2838" s="568"/>
      <c r="I2838" s="567" t="s">
        <v>133</v>
      </c>
      <c r="J2838" s="568"/>
      <c r="K2838" s="567" t="s">
        <v>134</v>
      </c>
      <c r="L2838" s="569"/>
    </row>
    <row r="2839" spans="1:12">
      <c r="A2839" s="101"/>
      <c r="B2839" s="72" t="s">
        <v>135</v>
      </c>
      <c r="C2839" s="559" t="str">
        <f ca="1">OFFSET('Bateria indicadores proceso'!$Y$3,(RIGHT(A2818,3)),1)</f>
        <v>Cuadro de Procesos en formato excel - Nota Aclaratoria: Por la reserva consagrada en la Ley 2952-2019 no se remite</v>
      </c>
      <c r="D2839" s="559"/>
      <c r="E2839" s="559"/>
      <c r="F2839" s="559"/>
      <c r="G2839" s="559"/>
      <c r="H2839" s="559"/>
      <c r="I2839" s="559"/>
      <c r="J2839" s="559"/>
      <c r="K2839" s="559"/>
      <c r="L2839" s="560"/>
    </row>
    <row r="2840" spans="1:12">
      <c r="A2840" s="101"/>
      <c r="B2840" s="591" t="s">
        <v>136</v>
      </c>
      <c r="C2840" s="561" t="s">
        <v>137</v>
      </c>
      <c r="D2840" s="561"/>
      <c r="E2840" s="561"/>
      <c r="F2840" s="562" t="str">
        <f ca="1">OFFSET('Bateria indicadores proceso'!$B$3,(RIGHT(A2818,3)),1)</f>
        <v>GESTIÓN DE ASUNTOS DISCIPLINARIOS</v>
      </c>
      <c r="G2840" s="562"/>
      <c r="H2840" s="562"/>
      <c r="I2840" s="562"/>
      <c r="J2840" s="562"/>
      <c r="K2840" s="562"/>
      <c r="L2840" s="563"/>
    </row>
    <row r="2841" spans="1:12">
      <c r="A2841" s="101"/>
      <c r="B2841" s="592"/>
      <c r="C2841" s="561" t="s">
        <v>138</v>
      </c>
      <c r="D2841" s="561"/>
      <c r="E2841" s="561"/>
      <c r="F2841" s="564">
        <f ca="1">OFFSET('Bateria indicadores proceso'!$C$3,(RIGHT(A2818,3)),1)</f>
        <v>1</v>
      </c>
      <c r="G2841" s="564"/>
      <c r="H2841" s="564"/>
      <c r="I2841" s="564"/>
      <c r="J2841" s="564"/>
      <c r="K2841" s="564"/>
      <c r="L2841" s="565"/>
    </row>
    <row r="2842" spans="1:12" ht="15.75" thickBot="1">
      <c r="A2842" s="101"/>
      <c r="B2842" s="592"/>
      <c r="C2842" s="561" t="s">
        <v>139</v>
      </c>
      <c r="D2842" s="561"/>
      <c r="E2842" s="561"/>
      <c r="F2842" s="564">
        <f ca="1">OFFSET('Bateria indicadores proceso'!$E$3,(RIGHT(A2818,3)),1)</f>
        <v>0.6</v>
      </c>
      <c r="G2842" s="564"/>
      <c r="H2842" s="564"/>
      <c r="I2842" s="564"/>
      <c r="J2842" s="564"/>
      <c r="K2842" s="564"/>
      <c r="L2842" s="565"/>
    </row>
    <row r="2843" spans="1:12" ht="16.5" thickBot="1">
      <c r="A2843" s="101"/>
      <c r="B2843" s="572" t="s">
        <v>140</v>
      </c>
      <c r="C2843" s="573"/>
      <c r="D2843" s="573"/>
      <c r="E2843" s="573"/>
      <c r="F2843" s="573"/>
      <c r="G2843" s="573"/>
      <c r="H2843" s="573"/>
      <c r="I2843" s="573"/>
      <c r="J2843" s="573"/>
      <c r="K2843" s="573"/>
      <c r="L2843" s="574"/>
    </row>
    <row r="2844" spans="1:12">
      <c r="A2844" s="101"/>
      <c r="B2844" s="72" t="s">
        <v>142</v>
      </c>
      <c r="C2844" s="561" t="str">
        <f ca="1">OFFSET('Bateria indicadores proceso'!$G$3,(RIGHT(A2818,3)),1)</f>
        <v xml:space="preserve">Jefe de Oficina </v>
      </c>
      <c r="D2844" s="561"/>
      <c r="E2844" s="561"/>
      <c r="F2844" s="561"/>
      <c r="G2844" s="561"/>
      <c r="H2844" s="561"/>
      <c r="I2844" s="561"/>
      <c r="J2844" s="561"/>
      <c r="K2844" s="561"/>
      <c r="L2844" s="566"/>
    </row>
    <row r="2845" spans="1:12">
      <c r="A2845" s="101"/>
      <c r="B2845" s="72" t="s">
        <v>143</v>
      </c>
      <c r="C2845" s="561" t="str">
        <f ca="1">OFFSET('Bateria indicadores proceso'!$F$3,(RIGHT(A2818,3)),1)</f>
        <v>Oficina de Control Disciplinario Interno</v>
      </c>
      <c r="D2845" s="561"/>
      <c r="E2845" s="561"/>
      <c r="F2845" s="561"/>
      <c r="G2845" s="561"/>
      <c r="H2845" s="561"/>
      <c r="I2845" s="561"/>
      <c r="J2845" s="561"/>
      <c r="K2845" s="561"/>
      <c r="L2845" s="566"/>
    </row>
    <row r="2846" spans="1:12">
      <c r="A2846" s="101"/>
      <c r="B2846" s="72" t="s">
        <v>144</v>
      </c>
      <c r="C2846" s="598">
        <f ca="1">OFFSET('Bateria indicadores proceso'!$H$3,(RIGHT(A2782,3)),1)</f>
        <v>0</v>
      </c>
      <c r="D2846" s="598"/>
      <c r="E2846" s="598"/>
      <c r="F2846" s="598"/>
      <c r="G2846" s="598"/>
      <c r="H2846" s="598"/>
      <c r="I2846" s="598"/>
      <c r="J2846" s="598"/>
      <c r="K2846" s="598"/>
      <c r="L2846" s="599"/>
    </row>
    <row r="2847" spans="1:12" ht="15.75" thickBot="1">
      <c r="A2847" s="104"/>
      <c r="B2847" s="74" t="s">
        <v>145</v>
      </c>
      <c r="C2847" s="596" t="s">
        <v>146</v>
      </c>
      <c r="D2847" s="596"/>
      <c r="E2847" s="596"/>
      <c r="F2847" s="596"/>
      <c r="G2847" s="596"/>
      <c r="H2847" s="596"/>
      <c r="I2847" s="596"/>
      <c r="J2847" s="596"/>
      <c r="K2847" s="596"/>
      <c r="L2847" s="597"/>
    </row>
  </sheetData>
  <sheetProtection algorithmName="SHA-512" hashValue="cnW2/7BOI2mIswJ+PrUxtvVMBzhY+XBDbfE5yAKFkyWNLDE9NSp0jkTCjPUAtcFZFg/ohiqgjrm6XA+xyhepgg==" saltValue="EV2DpkxAn40XC3AE8bpbEQ==" spinCount="100000" sheet="1" objects="1" scenarios="1" selectLockedCells="1" selectUnlockedCells="1"/>
  <mergeCells count="4030">
    <mergeCell ref="C2289:L2289"/>
    <mergeCell ref="C2299:L2299"/>
    <mergeCell ref="C2307:L2307"/>
    <mergeCell ref="A41:L41"/>
    <mergeCell ref="C43:L43"/>
    <mergeCell ref="B44:L44"/>
    <mergeCell ref="C46:L46"/>
    <mergeCell ref="C47:L47"/>
    <mergeCell ref="C48:L48"/>
    <mergeCell ref="C49:L49"/>
    <mergeCell ref="B50:L50"/>
    <mergeCell ref="C51:L51"/>
    <mergeCell ref="C52:L52"/>
    <mergeCell ref="C53:L53"/>
    <mergeCell ref="C54:L54"/>
    <mergeCell ref="A2273:L2273"/>
    <mergeCell ref="B2274:L2274"/>
    <mergeCell ref="C2275:L2275"/>
    <mergeCell ref="B2276:L2276"/>
    <mergeCell ref="C2279:L2279"/>
    <mergeCell ref="B986:L986"/>
    <mergeCell ref="C987:L987"/>
    <mergeCell ref="C988:L988"/>
    <mergeCell ref="C990:L990"/>
    <mergeCell ref="C997:L997"/>
    <mergeCell ref="B998:B999"/>
    <mergeCell ref="B968:B970"/>
    <mergeCell ref="B1079:L1079"/>
    <mergeCell ref="C1083:L1083"/>
    <mergeCell ref="A1085:L1085"/>
    <mergeCell ref="B1086:L1086"/>
    <mergeCell ref="B1088:L1088"/>
    <mergeCell ref="C2430:L2430"/>
    <mergeCell ref="C2427:L2427"/>
    <mergeCell ref="C2428:L2428"/>
    <mergeCell ref="C2429:L2429"/>
    <mergeCell ref="C2431:L2431"/>
    <mergeCell ref="C2433:L2433"/>
    <mergeCell ref="C2434:L2434"/>
    <mergeCell ref="C2435:L2435"/>
    <mergeCell ref="C2437:L2437"/>
    <mergeCell ref="E1218:F1218"/>
    <mergeCell ref="G1218:H1218"/>
    <mergeCell ref="I1218:J1218"/>
    <mergeCell ref="K1218:L1218"/>
    <mergeCell ref="C1195:L1195"/>
    <mergeCell ref="C1197:L1197"/>
    <mergeCell ref="C1198:L1198"/>
    <mergeCell ref="C1199:L1199"/>
    <mergeCell ref="C1200:L1200"/>
    <mergeCell ref="C1204:L1204"/>
    <mergeCell ref="C1206:L1206"/>
    <mergeCell ref="C1207:L1207"/>
    <mergeCell ref="C1298:L1298"/>
    <mergeCell ref="A1301:L1301"/>
    <mergeCell ref="B1302:L1302"/>
    <mergeCell ref="B1304:L1304"/>
    <mergeCell ref="B1310:L1310"/>
    <mergeCell ref="C1308:L1308"/>
    <mergeCell ref="B2426:L2426"/>
    <mergeCell ref="C2422:L2422"/>
    <mergeCell ref="C2423:L2423"/>
    <mergeCell ref="C2424:L2424"/>
    <mergeCell ref="C2425:L2425"/>
    <mergeCell ref="B1094:L1094"/>
    <mergeCell ref="C1097:L1097"/>
    <mergeCell ref="C1098:L1098"/>
    <mergeCell ref="C1100:L1100"/>
    <mergeCell ref="C1101:L1101"/>
    <mergeCell ref="G1072:H1072"/>
    <mergeCell ref="I1072:J1072"/>
    <mergeCell ref="K1072:L1072"/>
    <mergeCell ref="C1073:D1073"/>
    <mergeCell ref="E1073:F1073"/>
    <mergeCell ref="G1073:H1073"/>
    <mergeCell ref="I1073:J1073"/>
    <mergeCell ref="K1073:L1073"/>
    <mergeCell ref="C1074:D1074"/>
    <mergeCell ref="E1074:F1074"/>
    <mergeCell ref="G1074:H1074"/>
    <mergeCell ref="I1074:J1074"/>
    <mergeCell ref="K1074:L1074"/>
    <mergeCell ref="B1076:B1078"/>
    <mergeCell ref="C1076:E1076"/>
    <mergeCell ref="F1076:L1076"/>
    <mergeCell ref="C1077:E1077"/>
    <mergeCell ref="F1077:L1077"/>
    <mergeCell ref="C1078:E1078"/>
    <mergeCell ref="F1078:L1078"/>
    <mergeCell ref="C1075:L1075"/>
    <mergeCell ref="C1080:L1080"/>
    <mergeCell ref="C1081:L1081"/>
    <mergeCell ref="C1082:L1082"/>
    <mergeCell ref="C1087:L1087"/>
    <mergeCell ref="C1089:L1089"/>
    <mergeCell ref="C1090:L1090"/>
    <mergeCell ref="C2820:L2820"/>
    <mergeCell ref="C2821:L2821"/>
    <mergeCell ref="B2822:L2822"/>
    <mergeCell ref="C2808:L2808"/>
    <mergeCell ref="C2809:L2809"/>
    <mergeCell ref="C2810:L2810"/>
    <mergeCell ref="C2811:L2811"/>
    <mergeCell ref="C2815:L2815"/>
    <mergeCell ref="C2819:L2819"/>
    <mergeCell ref="B2834:B2835"/>
    <mergeCell ref="B2836:B2838"/>
    <mergeCell ref="C2836:D2836"/>
    <mergeCell ref="E2836:F2836"/>
    <mergeCell ref="G2836:H2836"/>
    <mergeCell ref="I2836:J2836"/>
    <mergeCell ref="K2836:L2836"/>
    <mergeCell ref="C2837:D2837"/>
    <mergeCell ref="E2837:F2837"/>
    <mergeCell ref="G2837:H2837"/>
    <mergeCell ref="I2837:J2837"/>
    <mergeCell ref="K2837:L2837"/>
    <mergeCell ref="C2838:D2838"/>
    <mergeCell ref="E2838:F2838"/>
    <mergeCell ref="G2838:H2838"/>
    <mergeCell ref="I2838:J2838"/>
    <mergeCell ref="K2838:L2838"/>
    <mergeCell ref="C2823:L2823"/>
    <mergeCell ref="C2803:L2803"/>
    <mergeCell ref="B2804:B2806"/>
    <mergeCell ref="C2804:E2804"/>
    <mergeCell ref="F2804:L2804"/>
    <mergeCell ref="C2805:E2805"/>
    <mergeCell ref="F2805:L2805"/>
    <mergeCell ref="C2806:E2806"/>
    <mergeCell ref="F2806:L2806"/>
    <mergeCell ref="B2807:L2807"/>
    <mergeCell ref="A2813:L2813"/>
    <mergeCell ref="B2814:L2814"/>
    <mergeCell ref="B2816:L2816"/>
    <mergeCell ref="C2817:L2817"/>
    <mergeCell ref="C2818:L2818"/>
    <mergeCell ref="C2792:L2792"/>
    <mergeCell ref="C2793:L2793"/>
    <mergeCell ref="C2794:L2794"/>
    <mergeCell ref="C2796:L2796"/>
    <mergeCell ref="B2798:B2799"/>
    <mergeCell ref="B2800:B2802"/>
    <mergeCell ref="C2800:D2800"/>
    <mergeCell ref="E2800:F2800"/>
    <mergeCell ref="G2800:H2800"/>
    <mergeCell ref="I2800:J2800"/>
    <mergeCell ref="K2800:L2800"/>
    <mergeCell ref="C2801:D2801"/>
    <mergeCell ref="E2801:F2801"/>
    <mergeCell ref="G2801:H2801"/>
    <mergeCell ref="I2801:J2801"/>
    <mergeCell ref="C2802:D2802"/>
    <mergeCell ref="E2802:F2802"/>
    <mergeCell ref="G2802:H2802"/>
    <mergeCell ref="I2802:J2802"/>
    <mergeCell ref="K2802:L2802"/>
    <mergeCell ref="C2797:L2797"/>
    <mergeCell ref="C2795:L2795"/>
    <mergeCell ref="F2734:L2734"/>
    <mergeCell ref="B2735:L2735"/>
    <mergeCell ref="C2736:L2736"/>
    <mergeCell ref="C2738:L2738"/>
    <mergeCell ref="B2732:B2734"/>
    <mergeCell ref="C2732:E2732"/>
    <mergeCell ref="B2742:L2742"/>
    <mergeCell ref="B2744:L2744"/>
    <mergeCell ref="C2749:L2749"/>
    <mergeCell ref="B2750:L2750"/>
    <mergeCell ref="C2766:D2766"/>
    <mergeCell ref="E2766:F2766"/>
    <mergeCell ref="G2766:H2766"/>
    <mergeCell ref="I2766:J2766"/>
    <mergeCell ref="K2766:L2766"/>
    <mergeCell ref="C2743:L2743"/>
    <mergeCell ref="C2745:L2745"/>
    <mergeCell ref="C2746:L2746"/>
    <mergeCell ref="C2747:L2747"/>
    <mergeCell ref="C2748:L2748"/>
    <mergeCell ref="C2760:L2760"/>
    <mergeCell ref="B2762:B2763"/>
    <mergeCell ref="B2764:B2766"/>
    <mergeCell ref="C2764:D2764"/>
    <mergeCell ref="C2785:L2785"/>
    <mergeCell ref="E2764:F2764"/>
    <mergeCell ref="G2764:H2764"/>
    <mergeCell ref="I2764:J2764"/>
    <mergeCell ref="K2764:L2764"/>
    <mergeCell ref="C2765:D2765"/>
    <mergeCell ref="B2663:L2663"/>
    <mergeCell ref="G2656:H2656"/>
    <mergeCell ref="C2664:L2664"/>
    <mergeCell ref="C2665:L2665"/>
    <mergeCell ref="C2667:L2667"/>
    <mergeCell ref="C2659:L2659"/>
    <mergeCell ref="C2666:L2666"/>
    <mergeCell ref="B2670:L2670"/>
    <mergeCell ref="B2672:L2672"/>
    <mergeCell ref="C2674:L2674"/>
    <mergeCell ref="B2678:L2678"/>
    <mergeCell ref="C2671:L2671"/>
    <mergeCell ref="C2673:L2673"/>
    <mergeCell ref="C2675:L2675"/>
    <mergeCell ref="C2676:L2676"/>
    <mergeCell ref="C2677:L2677"/>
    <mergeCell ref="C2717:L2717"/>
    <mergeCell ref="E2693:F2693"/>
    <mergeCell ref="G2693:H2693"/>
    <mergeCell ref="I2693:J2693"/>
    <mergeCell ref="K2693:L2693"/>
    <mergeCell ref="A2669:L2669"/>
    <mergeCell ref="C2700:L2700"/>
    <mergeCell ref="C2701:L2701"/>
    <mergeCell ref="C2702:L2702"/>
    <mergeCell ref="C2688:L2688"/>
    <mergeCell ref="C2689:L2689"/>
    <mergeCell ref="I2694:J2694"/>
    <mergeCell ref="K2694:L2694"/>
    <mergeCell ref="C2695:L2695"/>
    <mergeCell ref="C2559:L2559"/>
    <mergeCell ref="A2561:L2561"/>
    <mergeCell ref="B2562:L2562"/>
    <mergeCell ref="C2563:L2563"/>
    <mergeCell ref="B2564:L2564"/>
    <mergeCell ref="C2566:L2566"/>
    <mergeCell ref="C2567:L2567"/>
    <mergeCell ref="C2568:L2568"/>
    <mergeCell ref="C2569:L2569"/>
    <mergeCell ref="F2588:L2588"/>
    <mergeCell ref="C2589:E2589"/>
    <mergeCell ref="F2589:L2589"/>
    <mergeCell ref="C2590:E2590"/>
    <mergeCell ref="F2590:L2590"/>
    <mergeCell ref="B2591:L2591"/>
    <mergeCell ref="A2597:L2597"/>
    <mergeCell ref="C2613:L2613"/>
    <mergeCell ref="C2604:L2604"/>
    <mergeCell ref="C2587:L2587"/>
    <mergeCell ref="C2592:L2592"/>
    <mergeCell ref="G2586:H2586"/>
    <mergeCell ref="I2586:J2586"/>
    <mergeCell ref="K2586:L2586"/>
    <mergeCell ref="C2594:L2594"/>
    <mergeCell ref="C2595:L2595"/>
    <mergeCell ref="B2588:B2590"/>
    <mergeCell ref="C2588:E2588"/>
    <mergeCell ref="C2612:L2612"/>
    <mergeCell ref="B2598:L2598"/>
    <mergeCell ref="B2600:L2600"/>
    <mergeCell ref="C2602:L2602"/>
    <mergeCell ref="C2603:L2603"/>
    <mergeCell ref="C2556:L2556"/>
    <mergeCell ref="C2557:L2557"/>
    <mergeCell ref="C2558:L2558"/>
    <mergeCell ref="C2584:D2584"/>
    <mergeCell ref="E2584:F2584"/>
    <mergeCell ref="G2584:H2584"/>
    <mergeCell ref="I2584:J2584"/>
    <mergeCell ref="K2584:L2584"/>
    <mergeCell ref="C2585:D2585"/>
    <mergeCell ref="E2585:F2585"/>
    <mergeCell ref="G2585:H2585"/>
    <mergeCell ref="I2585:J2585"/>
    <mergeCell ref="K2585:L2585"/>
    <mergeCell ref="C2586:D2586"/>
    <mergeCell ref="E2586:F2586"/>
    <mergeCell ref="C2593:L2593"/>
    <mergeCell ref="B2552:B2554"/>
    <mergeCell ref="C2565:L2565"/>
    <mergeCell ref="B2570:L2570"/>
    <mergeCell ref="C2577:L2577"/>
    <mergeCell ref="C2578:L2578"/>
    <mergeCell ref="C2579:L2579"/>
    <mergeCell ref="C2581:L2581"/>
    <mergeCell ref="B2582:B2583"/>
    <mergeCell ref="B2584:B2586"/>
    <mergeCell ref="C2571:L2571"/>
    <mergeCell ref="C2572:L2572"/>
    <mergeCell ref="C2573:L2573"/>
    <mergeCell ref="C2574:L2574"/>
    <mergeCell ref="C2575:L2575"/>
    <mergeCell ref="C2576:L2576"/>
    <mergeCell ref="C2580:L2580"/>
    <mergeCell ref="C2551:L2551"/>
    <mergeCell ref="C2545:L2545"/>
    <mergeCell ref="B2546:B2547"/>
    <mergeCell ref="B2548:B2550"/>
    <mergeCell ref="C2548:D2548"/>
    <mergeCell ref="E2548:F2548"/>
    <mergeCell ref="G2548:H2548"/>
    <mergeCell ref="I2548:J2548"/>
    <mergeCell ref="K2548:L2548"/>
    <mergeCell ref="B2555:L2555"/>
    <mergeCell ref="C2549:D2549"/>
    <mergeCell ref="E2549:F2549"/>
    <mergeCell ref="G2549:H2549"/>
    <mergeCell ref="I2549:J2549"/>
    <mergeCell ref="K2549:L2549"/>
    <mergeCell ref="C2550:D2550"/>
    <mergeCell ref="E2550:F2550"/>
    <mergeCell ref="G2550:H2550"/>
    <mergeCell ref="I2550:J2550"/>
    <mergeCell ref="K2550:L2550"/>
    <mergeCell ref="C2552:E2552"/>
    <mergeCell ref="F2552:L2552"/>
    <mergeCell ref="C2553:E2553"/>
    <mergeCell ref="F2553:L2553"/>
    <mergeCell ref="C2554:E2554"/>
    <mergeCell ref="F2554:L2554"/>
    <mergeCell ref="C2539:L2539"/>
    <mergeCell ref="C2540:L2540"/>
    <mergeCell ref="C2541:L2541"/>
    <mergeCell ref="C2542:L2542"/>
    <mergeCell ref="C2543:L2543"/>
    <mergeCell ref="C2544:L2544"/>
    <mergeCell ref="B2516:B2518"/>
    <mergeCell ref="B2519:L2519"/>
    <mergeCell ref="C2520:L2520"/>
    <mergeCell ref="C2521:L2521"/>
    <mergeCell ref="C2523:L2523"/>
    <mergeCell ref="C2502:L2502"/>
    <mergeCell ref="B2510:B2511"/>
    <mergeCell ref="B2512:B2514"/>
    <mergeCell ref="C2512:D2512"/>
    <mergeCell ref="E2512:F2512"/>
    <mergeCell ref="G2512:H2512"/>
    <mergeCell ref="I2512:J2512"/>
    <mergeCell ref="K2512:L2512"/>
    <mergeCell ref="C2513:D2513"/>
    <mergeCell ref="E2513:F2513"/>
    <mergeCell ref="G2513:H2513"/>
    <mergeCell ref="I2513:J2513"/>
    <mergeCell ref="K2513:L2513"/>
    <mergeCell ref="C2514:D2514"/>
    <mergeCell ref="E2514:F2514"/>
    <mergeCell ref="G2514:H2514"/>
    <mergeCell ref="I2514:J2514"/>
    <mergeCell ref="K2514:L2514"/>
    <mergeCell ref="C2504:L2504"/>
    <mergeCell ref="C2505:L2505"/>
    <mergeCell ref="C2537:L2537"/>
    <mergeCell ref="B2474:B2475"/>
    <mergeCell ref="A2489:L2489"/>
    <mergeCell ref="B2490:L2490"/>
    <mergeCell ref="C2491:L2491"/>
    <mergeCell ref="C2486:L2486"/>
    <mergeCell ref="B2483:L2483"/>
    <mergeCell ref="C2484:L2484"/>
    <mergeCell ref="C2485:L2485"/>
    <mergeCell ref="C2444:E2444"/>
    <mergeCell ref="F2444:L2444"/>
    <mergeCell ref="C2445:E2445"/>
    <mergeCell ref="F2445:L2445"/>
    <mergeCell ref="C2446:E2446"/>
    <mergeCell ref="F2446:L2446"/>
    <mergeCell ref="C2480:E2480"/>
    <mergeCell ref="F2480:L2480"/>
    <mergeCell ref="C2481:E2481"/>
    <mergeCell ref="F2481:L2481"/>
    <mergeCell ref="C2482:E2482"/>
    <mergeCell ref="G2478:H2478"/>
    <mergeCell ref="I2478:J2478"/>
    <mergeCell ref="K2478:L2478"/>
    <mergeCell ref="C2464:L2464"/>
    <mergeCell ref="C2465:L2465"/>
    <mergeCell ref="C2466:L2466"/>
    <mergeCell ref="C2467:L2467"/>
    <mergeCell ref="F2482:L2482"/>
    <mergeCell ref="C2473:L2473"/>
    <mergeCell ref="C2455:L2455"/>
    <mergeCell ref="C2457:L2457"/>
    <mergeCell ref="C2458:L2458"/>
    <mergeCell ref="C2460:L2460"/>
    <mergeCell ref="B2438:B2439"/>
    <mergeCell ref="C2432:L2432"/>
    <mergeCell ref="B2440:B2442"/>
    <mergeCell ref="C2440:D2440"/>
    <mergeCell ref="E2440:F2440"/>
    <mergeCell ref="G2440:H2440"/>
    <mergeCell ref="I2440:J2440"/>
    <mergeCell ref="K2440:L2440"/>
    <mergeCell ref="C2441:D2441"/>
    <mergeCell ref="E2441:F2441"/>
    <mergeCell ref="G2441:H2441"/>
    <mergeCell ref="I2441:J2441"/>
    <mergeCell ref="K2441:L2441"/>
    <mergeCell ref="C2442:D2442"/>
    <mergeCell ref="E2442:F2442"/>
    <mergeCell ref="G2442:H2442"/>
    <mergeCell ref="I2442:J2442"/>
    <mergeCell ref="K2442:L2442"/>
    <mergeCell ref="C2436:L2436"/>
    <mergeCell ref="F2408:L2408"/>
    <mergeCell ref="F2409:L2409"/>
    <mergeCell ref="F2410:L2410"/>
    <mergeCell ref="C2398:L2398"/>
    <mergeCell ref="C2412:L2412"/>
    <mergeCell ref="C2413:L2413"/>
    <mergeCell ref="C2414:L2414"/>
    <mergeCell ref="C2415:L2415"/>
    <mergeCell ref="C2421:L2421"/>
    <mergeCell ref="C2419:L2419"/>
    <mergeCell ref="B2402:B2403"/>
    <mergeCell ref="B2404:B2406"/>
    <mergeCell ref="C2404:D2404"/>
    <mergeCell ref="E2404:F2404"/>
    <mergeCell ref="G2404:H2404"/>
    <mergeCell ref="I2404:J2404"/>
    <mergeCell ref="B2375:L2375"/>
    <mergeCell ref="A2381:L2381"/>
    <mergeCell ref="B2382:L2382"/>
    <mergeCell ref="B2384:L2384"/>
    <mergeCell ref="C2387:L2387"/>
    <mergeCell ref="C2388:L2388"/>
    <mergeCell ref="B2390:L2390"/>
    <mergeCell ref="C2391:L2391"/>
    <mergeCell ref="C2392:L2392"/>
    <mergeCell ref="C2394:L2394"/>
    <mergeCell ref="C2379:L2379"/>
    <mergeCell ref="C2393:L2393"/>
    <mergeCell ref="C2389:L2389"/>
    <mergeCell ref="B2408:B2410"/>
    <mergeCell ref="C2408:E2408"/>
    <mergeCell ref="C2409:E2409"/>
    <mergeCell ref="C2410:E2410"/>
    <mergeCell ref="B2336:B2338"/>
    <mergeCell ref="C2336:E2336"/>
    <mergeCell ref="F2336:L2336"/>
    <mergeCell ref="C2337:E2337"/>
    <mergeCell ref="F2337:L2337"/>
    <mergeCell ref="C2338:E2338"/>
    <mergeCell ref="F2338:L2338"/>
    <mergeCell ref="B2339:L2339"/>
    <mergeCell ref="A2345:L2345"/>
    <mergeCell ref="B2346:L2346"/>
    <mergeCell ref="C2347:L2347"/>
    <mergeCell ref="B2348:L2348"/>
    <mergeCell ref="C2349:L2349"/>
    <mergeCell ref="C2351:L2351"/>
    <mergeCell ref="C2352:L2352"/>
    <mergeCell ref="C2353:L2353"/>
    <mergeCell ref="C2362:L2362"/>
    <mergeCell ref="C2350:L2350"/>
    <mergeCell ref="C2343:L2343"/>
    <mergeCell ref="B2354:L2354"/>
    <mergeCell ref="C2355:L2355"/>
    <mergeCell ref="C2356:L2356"/>
    <mergeCell ref="C2357:L2357"/>
    <mergeCell ref="C2358:L2358"/>
    <mergeCell ref="C2359:L2359"/>
    <mergeCell ref="C2360:L2360"/>
    <mergeCell ref="C2361:L2361"/>
    <mergeCell ref="C2363:L2363"/>
    <mergeCell ref="C2364:L2364"/>
    <mergeCell ref="B2366:B2367"/>
    <mergeCell ref="B2368:B2370"/>
    <mergeCell ref="C2320:L2320"/>
    <mergeCell ref="C2321:L2321"/>
    <mergeCell ref="C2323:L2323"/>
    <mergeCell ref="B2330:B2331"/>
    <mergeCell ref="B2332:B2334"/>
    <mergeCell ref="C2332:D2332"/>
    <mergeCell ref="E2332:F2332"/>
    <mergeCell ref="G2332:H2332"/>
    <mergeCell ref="I2332:J2332"/>
    <mergeCell ref="K2332:L2332"/>
    <mergeCell ref="C2333:D2333"/>
    <mergeCell ref="E2333:F2333"/>
    <mergeCell ref="G2333:H2333"/>
    <mergeCell ref="I2333:J2333"/>
    <mergeCell ref="K2333:L2333"/>
    <mergeCell ref="C2334:D2334"/>
    <mergeCell ref="E2334:F2334"/>
    <mergeCell ref="G2334:H2334"/>
    <mergeCell ref="I2334:J2334"/>
    <mergeCell ref="K2334:L2334"/>
    <mergeCell ref="C2322:L2322"/>
    <mergeCell ref="C2324:L2324"/>
    <mergeCell ref="C2325:L2325"/>
    <mergeCell ref="C2326:L2326"/>
    <mergeCell ref="C2327:L2327"/>
    <mergeCell ref="C2328:L2328"/>
    <mergeCell ref="C2329:L2329"/>
    <mergeCell ref="B2300:B2302"/>
    <mergeCell ref="C2300:E2300"/>
    <mergeCell ref="F2300:L2300"/>
    <mergeCell ref="C2301:E2301"/>
    <mergeCell ref="F2301:L2301"/>
    <mergeCell ref="C2302:E2302"/>
    <mergeCell ref="F2302:L2302"/>
    <mergeCell ref="B2303:L2303"/>
    <mergeCell ref="C2304:L2304"/>
    <mergeCell ref="C2305:L2305"/>
    <mergeCell ref="C2306:L2306"/>
    <mergeCell ref="A2309:L2309"/>
    <mergeCell ref="B2310:L2310"/>
    <mergeCell ref="C2311:L2311"/>
    <mergeCell ref="B2312:L2312"/>
    <mergeCell ref="B2318:L2318"/>
    <mergeCell ref="C2319:L2319"/>
    <mergeCell ref="C2317:L2317"/>
    <mergeCell ref="C2315:L2315"/>
    <mergeCell ref="C2316:L2316"/>
    <mergeCell ref="C2277:L2277"/>
    <mergeCell ref="C2278:L2278"/>
    <mergeCell ref="C2280:L2280"/>
    <mergeCell ref="B2282:L2282"/>
    <mergeCell ref="C2287:L2287"/>
    <mergeCell ref="B2294:B2295"/>
    <mergeCell ref="B2296:B2298"/>
    <mergeCell ref="C2296:D2296"/>
    <mergeCell ref="E2296:F2296"/>
    <mergeCell ref="G2296:H2296"/>
    <mergeCell ref="I2296:J2296"/>
    <mergeCell ref="K2296:L2296"/>
    <mergeCell ref="C2297:D2297"/>
    <mergeCell ref="E2297:F2297"/>
    <mergeCell ref="G2297:H2297"/>
    <mergeCell ref="I2297:J2297"/>
    <mergeCell ref="K2297:L2297"/>
    <mergeCell ref="C2298:D2298"/>
    <mergeCell ref="E2298:F2298"/>
    <mergeCell ref="G2298:H2298"/>
    <mergeCell ref="I2298:J2298"/>
    <mergeCell ref="K2298:L2298"/>
    <mergeCell ref="C2290:L2290"/>
    <mergeCell ref="C2291:L2291"/>
    <mergeCell ref="C2292:L2292"/>
    <mergeCell ref="C2293:L2293"/>
    <mergeCell ref="C2283:L2283"/>
    <mergeCell ref="C2284:L2284"/>
    <mergeCell ref="C2281:L2281"/>
    <mergeCell ref="C2285:L2285"/>
    <mergeCell ref="C2286:L2286"/>
    <mergeCell ref="C2288:L2288"/>
    <mergeCell ref="F2193:L2193"/>
    <mergeCell ref="C2194:E2194"/>
    <mergeCell ref="F2194:L2194"/>
    <mergeCell ref="B2195:L2195"/>
    <mergeCell ref="A2201:L2201"/>
    <mergeCell ref="B2202:L2202"/>
    <mergeCell ref="B2204:L2204"/>
    <mergeCell ref="B2210:L2210"/>
    <mergeCell ref="C2215:L2215"/>
    <mergeCell ref="C2216:L2216"/>
    <mergeCell ref="C2218:L2218"/>
    <mergeCell ref="C2219:L2219"/>
    <mergeCell ref="C2205:L2205"/>
    <mergeCell ref="C2206:L2206"/>
    <mergeCell ref="C2207:L2207"/>
    <mergeCell ref="C2208:L2208"/>
    <mergeCell ref="C2209:L2209"/>
    <mergeCell ref="C2211:L2211"/>
    <mergeCell ref="C2212:L2212"/>
    <mergeCell ref="C2213:L2213"/>
    <mergeCell ref="C2214:L2214"/>
    <mergeCell ref="C2217:L2217"/>
    <mergeCell ref="C2199:L2199"/>
    <mergeCell ref="C2203:L2203"/>
    <mergeCell ref="C2197:L2197"/>
    <mergeCell ref="C2198:L2198"/>
    <mergeCell ref="C2188:D2188"/>
    <mergeCell ref="E2188:F2188"/>
    <mergeCell ref="G2188:H2188"/>
    <mergeCell ref="I2188:J2188"/>
    <mergeCell ref="K2188:L2188"/>
    <mergeCell ref="C2189:D2189"/>
    <mergeCell ref="E2189:F2189"/>
    <mergeCell ref="G2189:H2189"/>
    <mergeCell ref="I2189:J2189"/>
    <mergeCell ref="K2189:L2189"/>
    <mergeCell ref="C2190:D2190"/>
    <mergeCell ref="E2190:F2190"/>
    <mergeCell ref="G2190:H2190"/>
    <mergeCell ref="I2190:J2190"/>
    <mergeCell ref="K2190:L2190"/>
    <mergeCell ref="C2184:L2184"/>
    <mergeCell ref="C2185:L2185"/>
    <mergeCell ref="C2191:L2191"/>
    <mergeCell ref="B2192:B2194"/>
    <mergeCell ref="C2192:E2192"/>
    <mergeCell ref="F2192:L2192"/>
    <mergeCell ref="C2193:E2193"/>
    <mergeCell ref="B2156:B2158"/>
    <mergeCell ref="C2156:E2156"/>
    <mergeCell ref="F2156:L2156"/>
    <mergeCell ref="C2157:E2157"/>
    <mergeCell ref="F2157:L2157"/>
    <mergeCell ref="C2158:E2158"/>
    <mergeCell ref="F2158:L2158"/>
    <mergeCell ref="B2159:L2159"/>
    <mergeCell ref="A2165:L2165"/>
    <mergeCell ref="B2166:L2166"/>
    <mergeCell ref="B2168:L2168"/>
    <mergeCell ref="C2172:L2172"/>
    <mergeCell ref="C2173:L2173"/>
    <mergeCell ref="B2174:L2174"/>
    <mergeCell ref="C2175:L2175"/>
    <mergeCell ref="C2176:L2176"/>
    <mergeCell ref="C2177:L2177"/>
    <mergeCell ref="C2167:L2167"/>
    <mergeCell ref="C2169:L2169"/>
    <mergeCell ref="C2170:L2170"/>
    <mergeCell ref="C2171:L2171"/>
    <mergeCell ref="C2179:L2179"/>
    <mergeCell ref="C2180:L2180"/>
    <mergeCell ref="C2181:L2181"/>
    <mergeCell ref="C2182:L2182"/>
    <mergeCell ref="B2186:B2187"/>
    <mergeCell ref="B2188:B2190"/>
    <mergeCell ref="C2136:L2136"/>
    <mergeCell ref="C2137:L2137"/>
    <mergeCell ref="B2138:L2138"/>
    <mergeCell ref="C2139:L2139"/>
    <mergeCell ref="C2147:L2147"/>
    <mergeCell ref="C2148:L2148"/>
    <mergeCell ref="C2149:L2149"/>
    <mergeCell ref="B2150:B2151"/>
    <mergeCell ref="B2152:B2154"/>
    <mergeCell ref="C2152:D2152"/>
    <mergeCell ref="E2152:F2152"/>
    <mergeCell ref="G2152:H2152"/>
    <mergeCell ref="I2152:J2152"/>
    <mergeCell ref="K2152:L2152"/>
    <mergeCell ref="C2153:D2153"/>
    <mergeCell ref="E2153:F2153"/>
    <mergeCell ref="G2153:H2153"/>
    <mergeCell ref="I2153:J2153"/>
    <mergeCell ref="K2153:L2153"/>
    <mergeCell ref="C2154:D2154"/>
    <mergeCell ref="E2154:F2154"/>
    <mergeCell ref="G2154:H2154"/>
    <mergeCell ref="I2154:J2154"/>
    <mergeCell ref="K2154:L2154"/>
    <mergeCell ref="C2142:L2142"/>
    <mergeCell ref="C2143:L2143"/>
    <mergeCell ref="C2144:L2144"/>
    <mergeCell ref="C2145:L2145"/>
    <mergeCell ref="C2146:L2146"/>
    <mergeCell ref="C2140:L2140"/>
    <mergeCell ref="C2141:L2141"/>
    <mergeCell ref="B2120:B2122"/>
    <mergeCell ref="C2120:E2120"/>
    <mergeCell ref="F2120:L2120"/>
    <mergeCell ref="C2121:E2121"/>
    <mergeCell ref="F2121:L2121"/>
    <mergeCell ref="C2122:E2122"/>
    <mergeCell ref="F2122:L2122"/>
    <mergeCell ref="C2119:L2119"/>
    <mergeCell ref="B2123:L2123"/>
    <mergeCell ref="A2129:L2129"/>
    <mergeCell ref="B2130:L2130"/>
    <mergeCell ref="B2132:L2132"/>
    <mergeCell ref="C2133:L2133"/>
    <mergeCell ref="C2134:L2134"/>
    <mergeCell ref="C2118:D2118"/>
    <mergeCell ref="E2118:F2118"/>
    <mergeCell ref="C2124:L2124"/>
    <mergeCell ref="C2125:L2125"/>
    <mergeCell ref="C2126:L2126"/>
    <mergeCell ref="C2127:L2127"/>
    <mergeCell ref="C2131:L2131"/>
    <mergeCell ref="B2084:B2086"/>
    <mergeCell ref="C2084:E2084"/>
    <mergeCell ref="F2084:L2084"/>
    <mergeCell ref="C2085:E2085"/>
    <mergeCell ref="F2085:L2085"/>
    <mergeCell ref="C2086:E2086"/>
    <mergeCell ref="F2086:L2086"/>
    <mergeCell ref="B2087:L2087"/>
    <mergeCell ref="C2089:L2089"/>
    <mergeCell ref="C2090:L2090"/>
    <mergeCell ref="C2091:L2091"/>
    <mergeCell ref="A2093:L2093"/>
    <mergeCell ref="B2094:L2094"/>
    <mergeCell ref="G2118:H2118"/>
    <mergeCell ref="I2118:J2118"/>
    <mergeCell ref="K2118:L2118"/>
    <mergeCell ref="C2111:L2111"/>
    <mergeCell ref="C2112:L2112"/>
    <mergeCell ref="C2113:L2113"/>
    <mergeCell ref="C2099:L2099"/>
    <mergeCell ref="C2100:L2100"/>
    <mergeCell ref="E2116:F2116"/>
    <mergeCell ref="G2116:H2116"/>
    <mergeCell ref="I2116:J2116"/>
    <mergeCell ref="K2116:L2116"/>
    <mergeCell ref="C2117:D2117"/>
    <mergeCell ref="E2117:F2117"/>
    <mergeCell ref="G2117:H2117"/>
    <mergeCell ref="I2117:J2117"/>
    <mergeCell ref="K2117:L2117"/>
    <mergeCell ref="C2109:L2109"/>
    <mergeCell ref="C2110:L2110"/>
    <mergeCell ref="C2047:L2047"/>
    <mergeCell ref="B2048:B2050"/>
    <mergeCell ref="C2048:E2048"/>
    <mergeCell ref="F2048:L2048"/>
    <mergeCell ref="C2049:E2049"/>
    <mergeCell ref="F2049:L2049"/>
    <mergeCell ref="B2051:L2051"/>
    <mergeCell ref="C2052:L2052"/>
    <mergeCell ref="C2053:L2053"/>
    <mergeCell ref="A2057:L2057"/>
    <mergeCell ref="B2058:L2058"/>
    <mergeCell ref="B2060:L2060"/>
    <mergeCell ref="C2061:L2061"/>
    <mergeCell ref="C2062:L2062"/>
    <mergeCell ref="C2063:L2063"/>
    <mergeCell ref="C2065:L2065"/>
    <mergeCell ref="B2066:L2066"/>
    <mergeCell ref="C2064:L2064"/>
    <mergeCell ref="C2050:E2050"/>
    <mergeCell ref="F2050:L2050"/>
    <mergeCell ref="C2054:L2054"/>
    <mergeCell ref="C2055:L2055"/>
    <mergeCell ref="C2059:L2059"/>
    <mergeCell ref="B2015:L2015"/>
    <mergeCell ref="C2018:L2018"/>
    <mergeCell ref="C2019:L2019"/>
    <mergeCell ref="A2021:L2021"/>
    <mergeCell ref="B2024:L2024"/>
    <mergeCell ref="C2029:L2029"/>
    <mergeCell ref="B2030:L2030"/>
    <mergeCell ref="B2042:B2043"/>
    <mergeCell ref="B2044:B2046"/>
    <mergeCell ref="C2044:D2044"/>
    <mergeCell ref="E2044:F2044"/>
    <mergeCell ref="G2044:H2044"/>
    <mergeCell ref="I2044:J2044"/>
    <mergeCell ref="K2044:L2044"/>
    <mergeCell ref="C2045:D2045"/>
    <mergeCell ref="E2045:F2045"/>
    <mergeCell ref="G2045:H2045"/>
    <mergeCell ref="I2045:J2045"/>
    <mergeCell ref="K2045:L2045"/>
    <mergeCell ref="K2046:L2046"/>
    <mergeCell ref="C2039:L2039"/>
    <mergeCell ref="C2040:L2040"/>
    <mergeCell ref="C2041:L2041"/>
    <mergeCell ref="C2027:L2027"/>
    <mergeCell ref="C2028:L2028"/>
    <mergeCell ref="C2037:L2037"/>
    <mergeCell ref="C2038:L2038"/>
    <mergeCell ref="C2046:D2046"/>
    <mergeCell ref="E2046:F2046"/>
    <mergeCell ref="B2008:B2010"/>
    <mergeCell ref="C2008:D2008"/>
    <mergeCell ref="E2008:F2008"/>
    <mergeCell ref="G2008:H2008"/>
    <mergeCell ref="I2008:J2008"/>
    <mergeCell ref="K2008:L2008"/>
    <mergeCell ref="C2009:D2009"/>
    <mergeCell ref="E2009:F2009"/>
    <mergeCell ref="G2009:H2009"/>
    <mergeCell ref="I2009:J2009"/>
    <mergeCell ref="K2009:L2009"/>
    <mergeCell ref="C2010:D2010"/>
    <mergeCell ref="E2010:F2010"/>
    <mergeCell ref="G2010:H2010"/>
    <mergeCell ref="I2010:J2010"/>
    <mergeCell ref="K2010:L2010"/>
    <mergeCell ref="B2012:B2014"/>
    <mergeCell ref="C2012:E2012"/>
    <mergeCell ref="F2012:L2012"/>
    <mergeCell ref="C2013:E2013"/>
    <mergeCell ref="F2013:L2013"/>
    <mergeCell ref="C2014:E2014"/>
    <mergeCell ref="F2014:L2014"/>
    <mergeCell ref="C2011:L2011"/>
    <mergeCell ref="C1975:L1975"/>
    <mergeCell ref="B1976:B1978"/>
    <mergeCell ref="C1976:E1976"/>
    <mergeCell ref="F1976:L1976"/>
    <mergeCell ref="C1977:E1977"/>
    <mergeCell ref="F1977:L1977"/>
    <mergeCell ref="C1978:E1978"/>
    <mergeCell ref="F1978:L1978"/>
    <mergeCell ref="A1985:L1985"/>
    <mergeCell ref="B1988:L1988"/>
    <mergeCell ref="B1994:L1994"/>
    <mergeCell ref="C2000:L2000"/>
    <mergeCell ref="C2001:L2001"/>
    <mergeCell ref="C2003:L2003"/>
    <mergeCell ref="C2004:L2004"/>
    <mergeCell ref="C2005:L2005"/>
    <mergeCell ref="B2006:B2007"/>
    <mergeCell ref="B1986:L1986"/>
    <mergeCell ref="C1987:L1987"/>
    <mergeCell ref="C1989:L1989"/>
    <mergeCell ref="C1999:L1999"/>
    <mergeCell ref="C2002:L2002"/>
    <mergeCell ref="C1980:L1980"/>
    <mergeCell ref="C1981:L1981"/>
    <mergeCell ref="C1982:L1982"/>
    <mergeCell ref="C1983:L1983"/>
    <mergeCell ref="C1990:L1990"/>
    <mergeCell ref="C1991:L1991"/>
    <mergeCell ref="C1992:L1992"/>
    <mergeCell ref="C1993:L1993"/>
    <mergeCell ref="C1995:L1995"/>
    <mergeCell ref="C1996:L1996"/>
    <mergeCell ref="C1967:L1967"/>
    <mergeCell ref="B1970:B1971"/>
    <mergeCell ref="B1972:B1974"/>
    <mergeCell ref="C1972:D1972"/>
    <mergeCell ref="E1972:F1972"/>
    <mergeCell ref="G1972:H1972"/>
    <mergeCell ref="I1972:J1972"/>
    <mergeCell ref="K1972:L1972"/>
    <mergeCell ref="C1973:D1973"/>
    <mergeCell ref="E1973:F1973"/>
    <mergeCell ref="G1973:H1973"/>
    <mergeCell ref="I1973:J1973"/>
    <mergeCell ref="K1973:L1973"/>
    <mergeCell ref="C1974:D1974"/>
    <mergeCell ref="E1974:F1974"/>
    <mergeCell ref="G1974:H1974"/>
    <mergeCell ref="I1974:J1974"/>
    <mergeCell ref="K1974:L1974"/>
    <mergeCell ref="C1968:L1968"/>
    <mergeCell ref="C1969:L1969"/>
    <mergeCell ref="B1940:B1942"/>
    <mergeCell ref="C1940:E1940"/>
    <mergeCell ref="F1940:L1940"/>
    <mergeCell ref="C1941:E1941"/>
    <mergeCell ref="F1941:L1941"/>
    <mergeCell ref="C1942:E1942"/>
    <mergeCell ref="F1942:L1942"/>
    <mergeCell ref="A1949:L1949"/>
    <mergeCell ref="B1950:L1950"/>
    <mergeCell ref="B1952:L1952"/>
    <mergeCell ref="C1957:L1957"/>
    <mergeCell ref="B1958:L1958"/>
    <mergeCell ref="C1960:L1960"/>
    <mergeCell ref="C1961:L1961"/>
    <mergeCell ref="C1962:L1962"/>
    <mergeCell ref="C1964:L1964"/>
    <mergeCell ref="C1965:L1965"/>
    <mergeCell ref="B1922:L1922"/>
    <mergeCell ref="C1923:L1923"/>
    <mergeCell ref="C1924:L1924"/>
    <mergeCell ref="C1932:L1932"/>
    <mergeCell ref="C1933:L1933"/>
    <mergeCell ref="B1934:B1935"/>
    <mergeCell ref="B1936:B1938"/>
    <mergeCell ref="C1936:D1936"/>
    <mergeCell ref="E1936:F1936"/>
    <mergeCell ref="G1936:H1936"/>
    <mergeCell ref="I1936:J1936"/>
    <mergeCell ref="K1936:L1936"/>
    <mergeCell ref="C1937:D1937"/>
    <mergeCell ref="E1937:F1937"/>
    <mergeCell ref="G1937:H1937"/>
    <mergeCell ref="I1937:J1937"/>
    <mergeCell ref="K1937:L1937"/>
    <mergeCell ref="C1938:D1938"/>
    <mergeCell ref="E1938:F1938"/>
    <mergeCell ref="G1938:H1938"/>
    <mergeCell ref="I1938:J1938"/>
    <mergeCell ref="K1938:L1938"/>
    <mergeCell ref="C1889:L1889"/>
    <mergeCell ref="C1890:L1890"/>
    <mergeCell ref="C1891:L1891"/>
    <mergeCell ref="C1893:L1893"/>
    <mergeCell ref="B1898:B1899"/>
    <mergeCell ref="B1900:B1902"/>
    <mergeCell ref="C1900:D1900"/>
    <mergeCell ref="E1900:F1900"/>
    <mergeCell ref="G1900:H1900"/>
    <mergeCell ref="I1900:J1900"/>
    <mergeCell ref="K1900:L1900"/>
    <mergeCell ref="C1901:D1901"/>
    <mergeCell ref="E1901:F1901"/>
    <mergeCell ref="G1901:H1901"/>
    <mergeCell ref="I1901:J1901"/>
    <mergeCell ref="K1901:L1901"/>
    <mergeCell ref="C1902:D1902"/>
    <mergeCell ref="E1902:F1902"/>
    <mergeCell ref="G1902:H1902"/>
    <mergeCell ref="I1902:J1902"/>
    <mergeCell ref="K1902:L1902"/>
    <mergeCell ref="C1868:E1868"/>
    <mergeCell ref="F1868:L1868"/>
    <mergeCell ref="C1869:E1869"/>
    <mergeCell ref="F1869:L1869"/>
    <mergeCell ref="C1870:E1870"/>
    <mergeCell ref="F1870:L1870"/>
    <mergeCell ref="B1871:L1871"/>
    <mergeCell ref="C1872:L1872"/>
    <mergeCell ref="C1874:L1874"/>
    <mergeCell ref="C1875:L1875"/>
    <mergeCell ref="A1877:L1877"/>
    <mergeCell ref="B1878:L1878"/>
    <mergeCell ref="C1879:L1879"/>
    <mergeCell ref="B1880:L1880"/>
    <mergeCell ref="C1881:L1881"/>
    <mergeCell ref="B1886:L1886"/>
    <mergeCell ref="C1882:L1882"/>
    <mergeCell ref="C1883:L1883"/>
    <mergeCell ref="C1884:L1884"/>
    <mergeCell ref="C1831:L1831"/>
    <mergeCell ref="B1832:B1834"/>
    <mergeCell ref="C1832:E1832"/>
    <mergeCell ref="F1832:L1832"/>
    <mergeCell ref="C1833:E1833"/>
    <mergeCell ref="F1833:L1833"/>
    <mergeCell ref="C1834:E1834"/>
    <mergeCell ref="F1834:L1834"/>
    <mergeCell ref="B1835:L1835"/>
    <mergeCell ref="C1836:L1836"/>
    <mergeCell ref="C1837:L1837"/>
    <mergeCell ref="C1838:L1838"/>
    <mergeCell ref="A1841:L1841"/>
    <mergeCell ref="B1842:L1842"/>
    <mergeCell ref="B1844:L1844"/>
    <mergeCell ref="C1846:L1846"/>
    <mergeCell ref="C1847:L1847"/>
    <mergeCell ref="C1803:L1803"/>
    <mergeCell ref="A1805:L1805"/>
    <mergeCell ref="B1806:L1806"/>
    <mergeCell ref="C1807:L1807"/>
    <mergeCell ref="B1808:L1808"/>
    <mergeCell ref="B1826:B1827"/>
    <mergeCell ref="B1828:B1830"/>
    <mergeCell ref="C1828:D1828"/>
    <mergeCell ref="E1828:F1828"/>
    <mergeCell ref="G1828:H1828"/>
    <mergeCell ref="I1828:J1828"/>
    <mergeCell ref="K1828:L1828"/>
    <mergeCell ref="C1829:D1829"/>
    <mergeCell ref="E1829:F1829"/>
    <mergeCell ref="G1829:H1829"/>
    <mergeCell ref="I1829:J1829"/>
    <mergeCell ref="K1829:L1829"/>
    <mergeCell ref="C1830:D1830"/>
    <mergeCell ref="E1830:F1830"/>
    <mergeCell ref="G1830:H1830"/>
    <mergeCell ref="I1830:J1830"/>
    <mergeCell ref="K1830:L1830"/>
    <mergeCell ref="C1819:L1819"/>
    <mergeCell ref="C1820:L1820"/>
    <mergeCell ref="C1821:L1821"/>
    <mergeCell ref="C1822:L1822"/>
    <mergeCell ref="C1823:L1823"/>
    <mergeCell ref="C1824:L1824"/>
    <mergeCell ref="C1825:L1825"/>
    <mergeCell ref="G1793:H1793"/>
    <mergeCell ref="I1793:J1793"/>
    <mergeCell ref="K1793:L1793"/>
    <mergeCell ref="C1794:D1794"/>
    <mergeCell ref="E1794:F1794"/>
    <mergeCell ref="G1794:H1794"/>
    <mergeCell ref="I1794:J1794"/>
    <mergeCell ref="K1794:L1794"/>
    <mergeCell ref="C1795:L1795"/>
    <mergeCell ref="B1796:B1798"/>
    <mergeCell ref="C1796:E1796"/>
    <mergeCell ref="F1796:L1796"/>
    <mergeCell ref="C1797:E1797"/>
    <mergeCell ref="F1797:L1797"/>
    <mergeCell ref="C1798:E1798"/>
    <mergeCell ref="F1798:L1798"/>
    <mergeCell ref="B1799:L1799"/>
    <mergeCell ref="E1793:F1793"/>
    <mergeCell ref="B1760:B1762"/>
    <mergeCell ref="C1760:E1760"/>
    <mergeCell ref="F1760:L1760"/>
    <mergeCell ref="C1761:E1761"/>
    <mergeCell ref="F1761:L1761"/>
    <mergeCell ref="C1762:E1762"/>
    <mergeCell ref="F1762:L1762"/>
    <mergeCell ref="B1763:L1763"/>
    <mergeCell ref="C1764:L1764"/>
    <mergeCell ref="A1769:L1769"/>
    <mergeCell ref="B1770:L1770"/>
    <mergeCell ref="C1771:L1771"/>
    <mergeCell ref="B1772:L1772"/>
    <mergeCell ref="B1778:L1778"/>
    <mergeCell ref="C1785:L1785"/>
    <mergeCell ref="C1786:L1786"/>
    <mergeCell ref="C1788:L1788"/>
    <mergeCell ref="C1777:L1777"/>
    <mergeCell ref="C1779:L1779"/>
    <mergeCell ref="C1780:L1780"/>
    <mergeCell ref="C1781:L1781"/>
    <mergeCell ref="C1782:L1782"/>
    <mergeCell ref="B1754:B1755"/>
    <mergeCell ref="B1756:B1758"/>
    <mergeCell ref="C1756:D1756"/>
    <mergeCell ref="E1756:F1756"/>
    <mergeCell ref="G1756:H1756"/>
    <mergeCell ref="I1756:J1756"/>
    <mergeCell ref="K1756:L1756"/>
    <mergeCell ref="C1757:D1757"/>
    <mergeCell ref="E1757:F1757"/>
    <mergeCell ref="G1757:H1757"/>
    <mergeCell ref="I1757:J1757"/>
    <mergeCell ref="K1757:L1757"/>
    <mergeCell ref="C1758:D1758"/>
    <mergeCell ref="E1758:F1758"/>
    <mergeCell ref="G1758:H1758"/>
    <mergeCell ref="I1758:J1758"/>
    <mergeCell ref="K1758:L1758"/>
    <mergeCell ref="B1724:B1726"/>
    <mergeCell ref="C1724:E1724"/>
    <mergeCell ref="F1724:L1724"/>
    <mergeCell ref="C1725:E1725"/>
    <mergeCell ref="F1725:L1725"/>
    <mergeCell ref="C1726:E1726"/>
    <mergeCell ref="F1726:L1726"/>
    <mergeCell ref="B1727:L1727"/>
    <mergeCell ref="C1728:L1728"/>
    <mergeCell ref="A1733:L1733"/>
    <mergeCell ref="B1734:L1734"/>
    <mergeCell ref="B1736:L1736"/>
    <mergeCell ref="B1742:L1742"/>
    <mergeCell ref="C1743:L1743"/>
    <mergeCell ref="C1745:L1745"/>
    <mergeCell ref="C1746:L1746"/>
    <mergeCell ref="C1747:L1747"/>
    <mergeCell ref="C1744:L1744"/>
    <mergeCell ref="B1718:B1719"/>
    <mergeCell ref="B1720:B1722"/>
    <mergeCell ref="C1720:D1720"/>
    <mergeCell ref="E1720:F1720"/>
    <mergeCell ref="G1720:H1720"/>
    <mergeCell ref="I1720:J1720"/>
    <mergeCell ref="K1720:L1720"/>
    <mergeCell ref="C1721:D1721"/>
    <mergeCell ref="E1721:F1721"/>
    <mergeCell ref="G1721:H1721"/>
    <mergeCell ref="I1721:J1721"/>
    <mergeCell ref="K1721:L1721"/>
    <mergeCell ref="C1722:D1722"/>
    <mergeCell ref="E1722:F1722"/>
    <mergeCell ref="G1722:H1722"/>
    <mergeCell ref="I1722:J1722"/>
    <mergeCell ref="K1722:L1722"/>
    <mergeCell ref="B1682:B1683"/>
    <mergeCell ref="B1684:B1686"/>
    <mergeCell ref="C1684:D1684"/>
    <mergeCell ref="E1684:F1684"/>
    <mergeCell ref="C1687:L1687"/>
    <mergeCell ref="B1691:L1691"/>
    <mergeCell ref="A1697:L1697"/>
    <mergeCell ref="B1698:L1698"/>
    <mergeCell ref="C1699:L1699"/>
    <mergeCell ref="B1700:L1700"/>
    <mergeCell ref="C1702:L1702"/>
    <mergeCell ref="C1703:L1703"/>
    <mergeCell ref="C1704:L1704"/>
    <mergeCell ref="B1706:L1706"/>
    <mergeCell ref="C1707:L1707"/>
    <mergeCell ref="C1708:L1708"/>
    <mergeCell ref="C1709:L1709"/>
    <mergeCell ref="C1693:L1693"/>
    <mergeCell ref="C1694:L1694"/>
    <mergeCell ref="G1684:H1684"/>
    <mergeCell ref="I1684:J1684"/>
    <mergeCell ref="K1684:L1684"/>
    <mergeCell ref="C1685:D1685"/>
    <mergeCell ref="E1685:F1685"/>
    <mergeCell ref="G1685:H1685"/>
    <mergeCell ref="I1685:J1685"/>
    <mergeCell ref="K1685:L1685"/>
    <mergeCell ref="C1686:D1686"/>
    <mergeCell ref="E1686:F1686"/>
    <mergeCell ref="G1686:H1686"/>
    <mergeCell ref="I1686:J1686"/>
    <mergeCell ref="K1686:L1686"/>
    <mergeCell ref="B1688:B1690"/>
    <mergeCell ref="C1688:E1688"/>
    <mergeCell ref="F1688:L1688"/>
    <mergeCell ref="C1689:E1689"/>
    <mergeCell ref="F1689:L1689"/>
    <mergeCell ref="C1690:E1690"/>
    <mergeCell ref="F1690:L1690"/>
    <mergeCell ref="A1625:L1625"/>
    <mergeCell ref="B1626:L1626"/>
    <mergeCell ref="B1628:L1628"/>
    <mergeCell ref="C1631:L1631"/>
    <mergeCell ref="C1632:L1632"/>
    <mergeCell ref="C1633:L1633"/>
    <mergeCell ref="B1646:B1647"/>
    <mergeCell ref="B1648:B1650"/>
    <mergeCell ref="C1648:D1648"/>
    <mergeCell ref="E1648:F1648"/>
    <mergeCell ref="G1648:H1648"/>
    <mergeCell ref="I1648:J1648"/>
    <mergeCell ref="K1648:L1648"/>
    <mergeCell ref="C1649:D1649"/>
    <mergeCell ref="E1649:F1649"/>
    <mergeCell ref="G1649:H1649"/>
    <mergeCell ref="I1649:J1649"/>
    <mergeCell ref="K1649:L1649"/>
    <mergeCell ref="C1650:D1650"/>
    <mergeCell ref="E1650:F1650"/>
    <mergeCell ref="G1650:H1650"/>
    <mergeCell ref="I1650:J1650"/>
    <mergeCell ref="K1650:L1650"/>
    <mergeCell ref="C1651:L1651"/>
    <mergeCell ref="C1658:L1658"/>
    <mergeCell ref="G1614:H1614"/>
    <mergeCell ref="I1614:J1614"/>
    <mergeCell ref="K1614:L1614"/>
    <mergeCell ref="C1600:L1600"/>
    <mergeCell ref="C1601:L1601"/>
    <mergeCell ref="C1602:L1602"/>
    <mergeCell ref="C1616:E1616"/>
    <mergeCell ref="F1616:L1616"/>
    <mergeCell ref="C1617:E1617"/>
    <mergeCell ref="F1617:L1617"/>
    <mergeCell ref="C1618:E1618"/>
    <mergeCell ref="F1618:L1618"/>
    <mergeCell ref="B1619:L1619"/>
    <mergeCell ref="C1620:L1620"/>
    <mergeCell ref="C1621:L1621"/>
    <mergeCell ref="C1622:L1622"/>
    <mergeCell ref="C1623:L1623"/>
    <mergeCell ref="C1603:L1603"/>
    <mergeCell ref="C1604:L1604"/>
    <mergeCell ref="C1605:L1605"/>
    <mergeCell ref="C1606:L1606"/>
    <mergeCell ref="C1607:L1607"/>
    <mergeCell ref="C1608:L1608"/>
    <mergeCell ref="C1609:L1609"/>
    <mergeCell ref="C1615:L1615"/>
    <mergeCell ref="B1616:B1618"/>
    <mergeCell ref="B1576:B1578"/>
    <mergeCell ref="C1576:D1576"/>
    <mergeCell ref="E1576:F1576"/>
    <mergeCell ref="G1576:H1576"/>
    <mergeCell ref="I1576:J1576"/>
    <mergeCell ref="K1576:L1576"/>
    <mergeCell ref="C1577:D1577"/>
    <mergeCell ref="E1577:F1577"/>
    <mergeCell ref="G1577:H1577"/>
    <mergeCell ref="I1577:J1577"/>
    <mergeCell ref="K1577:L1577"/>
    <mergeCell ref="C1578:D1578"/>
    <mergeCell ref="E1578:F1578"/>
    <mergeCell ref="G1578:H1578"/>
    <mergeCell ref="I1578:J1578"/>
    <mergeCell ref="K1578:L1578"/>
    <mergeCell ref="B1598:L1598"/>
    <mergeCell ref="B1590:L1590"/>
    <mergeCell ref="C1591:L1591"/>
    <mergeCell ref="B1592:L1592"/>
    <mergeCell ref="C1593:L1593"/>
    <mergeCell ref="C1594:L1594"/>
    <mergeCell ref="C1595:L1595"/>
    <mergeCell ref="C1596:L1596"/>
    <mergeCell ref="C1597:L1597"/>
    <mergeCell ref="B1562:L1562"/>
    <mergeCell ref="C1570:L1570"/>
    <mergeCell ref="C1571:L1571"/>
    <mergeCell ref="C1573:L1573"/>
    <mergeCell ref="B1574:B1575"/>
    <mergeCell ref="C1497:L1497"/>
    <mergeCell ref="C1498:L1498"/>
    <mergeCell ref="C1499:L1499"/>
    <mergeCell ref="C1500:L1500"/>
    <mergeCell ref="C1501:L1501"/>
    <mergeCell ref="B1502:B1503"/>
    <mergeCell ref="B1504:B1506"/>
    <mergeCell ref="C1504:D1504"/>
    <mergeCell ref="E1504:F1504"/>
    <mergeCell ref="G1504:H1504"/>
    <mergeCell ref="I1504:J1504"/>
    <mergeCell ref="K1504:L1504"/>
    <mergeCell ref="C1505:D1505"/>
    <mergeCell ref="E1505:F1505"/>
    <mergeCell ref="G1505:H1505"/>
    <mergeCell ref="I1505:J1505"/>
    <mergeCell ref="K1505:L1505"/>
    <mergeCell ref="C1563:L1563"/>
    <mergeCell ref="C1564:L1564"/>
    <mergeCell ref="C1565:L1565"/>
    <mergeCell ref="C1566:L1566"/>
    <mergeCell ref="C1567:L1567"/>
    <mergeCell ref="C1568:L1568"/>
    <mergeCell ref="C1569:L1569"/>
    <mergeCell ref="C1572:L1572"/>
    <mergeCell ref="C1506:D1506"/>
    <mergeCell ref="E1506:F1506"/>
    <mergeCell ref="B1472:B1474"/>
    <mergeCell ref="B1475:L1475"/>
    <mergeCell ref="A1481:L1481"/>
    <mergeCell ref="B1482:L1482"/>
    <mergeCell ref="B1484:L1484"/>
    <mergeCell ref="C1485:L1485"/>
    <mergeCell ref="C1487:L1487"/>
    <mergeCell ref="C1488:L1488"/>
    <mergeCell ref="C1489:L1489"/>
    <mergeCell ref="B1490:L1490"/>
    <mergeCell ref="C1491:L1491"/>
    <mergeCell ref="B1518:L1518"/>
    <mergeCell ref="B1520:L1520"/>
    <mergeCell ref="B1538:B1539"/>
    <mergeCell ref="B1540:B1542"/>
    <mergeCell ref="C1540:D1540"/>
    <mergeCell ref="E1540:F1540"/>
    <mergeCell ref="G1540:H1540"/>
    <mergeCell ref="I1540:J1540"/>
    <mergeCell ref="K1540:L1540"/>
    <mergeCell ref="C1541:D1541"/>
    <mergeCell ref="E1541:F1541"/>
    <mergeCell ref="G1541:H1541"/>
    <mergeCell ref="I1541:J1541"/>
    <mergeCell ref="K1541:L1541"/>
    <mergeCell ref="C1542:D1542"/>
    <mergeCell ref="E1542:F1542"/>
    <mergeCell ref="G1542:H1542"/>
    <mergeCell ref="I1542:J1542"/>
    <mergeCell ref="K1542:L1542"/>
    <mergeCell ref="C1521:L1521"/>
    <mergeCell ref="C1522:L1522"/>
    <mergeCell ref="B1410:L1410"/>
    <mergeCell ref="B1412:L1412"/>
    <mergeCell ref="C1416:L1416"/>
    <mergeCell ref="C1417:L1417"/>
    <mergeCell ref="C1420:L1420"/>
    <mergeCell ref="C1427:L1427"/>
    <mergeCell ref="B1430:B1431"/>
    <mergeCell ref="B1432:B1434"/>
    <mergeCell ref="C1432:D1432"/>
    <mergeCell ref="E1432:F1432"/>
    <mergeCell ref="G1432:H1432"/>
    <mergeCell ref="I1432:J1432"/>
    <mergeCell ref="K1432:L1432"/>
    <mergeCell ref="C1433:D1433"/>
    <mergeCell ref="E1433:F1433"/>
    <mergeCell ref="G1433:H1433"/>
    <mergeCell ref="I1433:J1433"/>
    <mergeCell ref="K1433:L1433"/>
    <mergeCell ref="C1434:D1434"/>
    <mergeCell ref="E1434:F1434"/>
    <mergeCell ref="G1434:H1434"/>
    <mergeCell ref="I1434:J1434"/>
    <mergeCell ref="K1434:L1434"/>
    <mergeCell ref="C1419:L1419"/>
    <mergeCell ref="C1421:L1421"/>
    <mergeCell ref="C1422:L1422"/>
    <mergeCell ref="C1423:L1423"/>
    <mergeCell ref="C1424:L1424"/>
    <mergeCell ref="C1426:L1426"/>
    <mergeCell ref="C1428:L1428"/>
    <mergeCell ref="C1411:L1411"/>
    <mergeCell ref="C1413:L1413"/>
    <mergeCell ref="E1397:F1397"/>
    <mergeCell ref="G1397:H1397"/>
    <mergeCell ref="I1397:J1397"/>
    <mergeCell ref="K1397:L1397"/>
    <mergeCell ref="C1398:D1398"/>
    <mergeCell ref="E1398:F1398"/>
    <mergeCell ref="G1398:H1398"/>
    <mergeCell ref="I1398:J1398"/>
    <mergeCell ref="K1398:L1398"/>
    <mergeCell ref="C1380:L1380"/>
    <mergeCell ref="C1381:L1381"/>
    <mergeCell ref="C1383:L1383"/>
    <mergeCell ref="C1385:L1385"/>
    <mergeCell ref="C1393:L1393"/>
    <mergeCell ref="C1392:L1392"/>
    <mergeCell ref="C1407:L1407"/>
    <mergeCell ref="A1409:L1409"/>
    <mergeCell ref="C1404:L1404"/>
    <mergeCell ref="K1396:L1396"/>
    <mergeCell ref="C1397:D1397"/>
    <mergeCell ref="B1403:L1403"/>
    <mergeCell ref="C1405:L1405"/>
    <mergeCell ref="E1361:F1361"/>
    <mergeCell ref="G1361:H1361"/>
    <mergeCell ref="I1361:J1361"/>
    <mergeCell ref="K1361:L1361"/>
    <mergeCell ref="C1362:D1362"/>
    <mergeCell ref="E1362:F1362"/>
    <mergeCell ref="G1362:H1362"/>
    <mergeCell ref="I1362:J1362"/>
    <mergeCell ref="K1362:L1362"/>
    <mergeCell ref="C1347:L1347"/>
    <mergeCell ref="C1348:L1348"/>
    <mergeCell ref="C1349:L1349"/>
    <mergeCell ref="C1350:L1350"/>
    <mergeCell ref="C1351:L1351"/>
    <mergeCell ref="C1352:L1352"/>
    <mergeCell ref="C1353:L1353"/>
    <mergeCell ref="C1354:L1354"/>
    <mergeCell ref="C1357:L1357"/>
    <mergeCell ref="C1321:L1321"/>
    <mergeCell ref="B1322:B1323"/>
    <mergeCell ref="B1324:B1326"/>
    <mergeCell ref="C1324:D1324"/>
    <mergeCell ref="E1324:F1324"/>
    <mergeCell ref="G1324:H1324"/>
    <mergeCell ref="I1324:J1324"/>
    <mergeCell ref="K1324:L1324"/>
    <mergeCell ref="C1325:D1325"/>
    <mergeCell ref="E1325:F1325"/>
    <mergeCell ref="G1325:H1325"/>
    <mergeCell ref="I1325:J1325"/>
    <mergeCell ref="C1312:L1312"/>
    <mergeCell ref="C1313:L1313"/>
    <mergeCell ref="C1315:L1315"/>
    <mergeCell ref="C1316:L1316"/>
    <mergeCell ref="C1314:L1314"/>
    <mergeCell ref="E1217:F1217"/>
    <mergeCell ref="G1217:H1217"/>
    <mergeCell ref="I1217:J1217"/>
    <mergeCell ref="K1217:L1217"/>
    <mergeCell ref="C1218:D1218"/>
    <mergeCell ref="B1256:B1258"/>
    <mergeCell ref="B1259:L1259"/>
    <mergeCell ref="A1265:L1265"/>
    <mergeCell ref="B1266:L1266"/>
    <mergeCell ref="B1268:L1268"/>
    <mergeCell ref="C1269:L1269"/>
    <mergeCell ref="C1270:L1270"/>
    <mergeCell ref="C1272:L1272"/>
    <mergeCell ref="C1273:L1273"/>
    <mergeCell ref="B1274:L1274"/>
    <mergeCell ref="B1292:B1294"/>
    <mergeCell ref="B1295:L1295"/>
    <mergeCell ref="C1289:D1289"/>
    <mergeCell ref="E1289:F1289"/>
    <mergeCell ref="G1289:H1289"/>
    <mergeCell ref="I1289:J1289"/>
    <mergeCell ref="K1289:L1289"/>
    <mergeCell ref="C1290:D1290"/>
    <mergeCell ref="E1290:F1290"/>
    <mergeCell ref="G1290:H1290"/>
    <mergeCell ref="I1290:J1290"/>
    <mergeCell ref="K1290:L1290"/>
    <mergeCell ref="C1291:L1291"/>
    <mergeCell ref="C1260:L1260"/>
    <mergeCell ref="C1275:L1275"/>
    <mergeCell ref="C1267:L1267"/>
    <mergeCell ref="C1271:L1271"/>
    <mergeCell ref="I1182:J1182"/>
    <mergeCell ref="K1182:L1182"/>
    <mergeCell ref="C1161:L1161"/>
    <mergeCell ref="C1163:L1163"/>
    <mergeCell ref="C1164:L1164"/>
    <mergeCell ref="B1220:B1222"/>
    <mergeCell ref="B1223:L1223"/>
    <mergeCell ref="C1226:L1226"/>
    <mergeCell ref="C1227:L1227"/>
    <mergeCell ref="A1229:L1229"/>
    <mergeCell ref="B1230:L1230"/>
    <mergeCell ref="C1231:L1231"/>
    <mergeCell ref="B1232:L1232"/>
    <mergeCell ref="C1233:L1233"/>
    <mergeCell ref="C1234:L1234"/>
    <mergeCell ref="C1235:L1235"/>
    <mergeCell ref="A1193:L1193"/>
    <mergeCell ref="B1194:L1194"/>
    <mergeCell ref="B1196:L1196"/>
    <mergeCell ref="C1201:L1201"/>
    <mergeCell ref="B1202:L1202"/>
    <mergeCell ref="C1203:L1203"/>
    <mergeCell ref="C1205:L1205"/>
    <mergeCell ref="C1212:L1212"/>
    <mergeCell ref="B1214:B1215"/>
    <mergeCell ref="B1216:B1218"/>
    <mergeCell ref="C1216:D1216"/>
    <mergeCell ref="E1216:F1216"/>
    <mergeCell ref="G1216:H1216"/>
    <mergeCell ref="I1216:J1216"/>
    <mergeCell ref="K1216:L1216"/>
    <mergeCell ref="C1217:D1217"/>
    <mergeCell ref="B1108:B1110"/>
    <mergeCell ref="C1108:D1108"/>
    <mergeCell ref="E1108:F1108"/>
    <mergeCell ref="G1108:H1108"/>
    <mergeCell ref="I1108:J1108"/>
    <mergeCell ref="K1108:L1108"/>
    <mergeCell ref="C1109:D1109"/>
    <mergeCell ref="E1109:F1109"/>
    <mergeCell ref="G1109:H1109"/>
    <mergeCell ref="I1109:J1109"/>
    <mergeCell ref="K1109:L1109"/>
    <mergeCell ref="C1110:D1110"/>
    <mergeCell ref="E1110:F1110"/>
    <mergeCell ref="G1110:H1110"/>
    <mergeCell ref="I1110:J1110"/>
    <mergeCell ref="K1110:L1110"/>
    <mergeCell ref="C1095:L1095"/>
    <mergeCell ref="C1096:L1096"/>
    <mergeCell ref="C1102:L1102"/>
    <mergeCell ref="C1104:L1104"/>
    <mergeCell ref="C1105:L1105"/>
    <mergeCell ref="B1106:B1107"/>
    <mergeCell ref="C1099:L1099"/>
    <mergeCell ref="C1103:L1103"/>
    <mergeCell ref="B1040:B1042"/>
    <mergeCell ref="C1040:E1040"/>
    <mergeCell ref="F1040:L1040"/>
    <mergeCell ref="C1041:E1041"/>
    <mergeCell ref="F1041:L1041"/>
    <mergeCell ref="C1042:E1042"/>
    <mergeCell ref="F1042:L1042"/>
    <mergeCell ref="B1043:L1043"/>
    <mergeCell ref="A1049:L1049"/>
    <mergeCell ref="B1050:L1050"/>
    <mergeCell ref="B1052:L1052"/>
    <mergeCell ref="C1054:L1054"/>
    <mergeCell ref="C1055:L1055"/>
    <mergeCell ref="C1057:L1057"/>
    <mergeCell ref="B1058:L1058"/>
    <mergeCell ref="C1059:L1059"/>
    <mergeCell ref="C1061:L1061"/>
    <mergeCell ref="C1060:L1060"/>
    <mergeCell ref="C1046:L1046"/>
    <mergeCell ref="C1047:L1047"/>
    <mergeCell ref="C1051:L1051"/>
    <mergeCell ref="C1053:L1053"/>
    <mergeCell ref="C1056:L1056"/>
    <mergeCell ref="B1070:B1071"/>
    <mergeCell ref="B1072:B1074"/>
    <mergeCell ref="C1072:D1072"/>
    <mergeCell ref="E1072:F1072"/>
    <mergeCell ref="C1065:L1065"/>
    <mergeCell ref="C1066:L1066"/>
    <mergeCell ref="C1067:L1067"/>
    <mergeCell ref="C1068:L1068"/>
    <mergeCell ref="C1031:L1031"/>
    <mergeCell ref="C1033:L1033"/>
    <mergeCell ref="B1034:B1035"/>
    <mergeCell ref="B1036:B1038"/>
    <mergeCell ref="C1036:D1036"/>
    <mergeCell ref="E1036:F1036"/>
    <mergeCell ref="G1036:H1036"/>
    <mergeCell ref="I1036:J1036"/>
    <mergeCell ref="K1036:L1036"/>
    <mergeCell ref="C1037:D1037"/>
    <mergeCell ref="E1037:F1037"/>
    <mergeCell ref="G1037:H1037"/>
    <mergeCell ref="I1037:J1037"/>
    <mergeCell ref="K1037:L1037"/>
    <mergeCell ref="C1038:D1038"/>
    <mergeCell ref="E1038:F1038"/>
    <mergeCell ref="G1038:H1038"/>
    <mergeCell ref="I1038:J1038"/>
    <mergeCell ref="K1038:L1038"/>
    <mergeCell ref="C1032:L1032"/>
    <mergeCell ref="C1069:L1069"/>
    <mergeCell ref="C1039:L1039"/>
    <mergeCell ref="C1044:L1044"/>
    <mergeCell ref="C1045:L1045"/>
    <mergeCell ref="I1002:J1002"/>
    <mergeCell ref="K1002:L1002"/>
    <mergeCell ref="B1007:L1007"/>
    <mergeCell ref="C1011:L1011"/>
    <mergeCell ref="A1013:L1013"/>
    <mergeCell ref="B1014:L1014"/>
    <mergeCell ref="C1015:L1015"/>
    <mergeCell ref="B1016:L1016"/>
    <mergeCell ref="C1018:L1018"/>
    <mergeCell ref="C1019:L1019"/>
    <mergeCell ref="C1020:L1020"/>
    <mergeCell ref="C1021:L1021"/>
    <mergeCell ref="B1022:L1022"/>
    <mergeCell ref="C1029:L1029"/>
    <mergeCell ref="C1030:L1030"/>
    <mergeCell ref="C1024:L1024"/>
    <mergeCell ref="C1025:L1025"/>
    <mergeCell ref="C1026:L1026"/>
    <mergeCell ref="C1027:L1027"/>
    <mergeCell ref="C1028:L1028"/>
    <mergeCell ref="C1006:E1006"/>
    <mergeCell ref="F1006:L1006"/>
    <mergeCell ref="C1005:E1005"/>
    <mergeCell ref="F1005:L1005"/>
    <mergeCell ref="C902:L902"/>
    <mergeCell ref="A905:L905"/>
    <mergeCell ref="B906:L906"/>
    <mergeCell ref="B908:L908"/>
    <mergeCell ref="C911:L911"/>
    <mergeCell ref="B914:L914"/>
    <mergeCell ref="C925:L925"/>
    <mergeCell ref="C915:L915"/>
    <mergeCell ref="C916:L916"/>
    <mergeCell ref="C917:L917"/>
    <mergeCell ref="C918:L918"/>
    <mergeCell ref="C919:L919"/>
    <mergeCell ref="C920:L920"/>
    <mergeCell ref="C921:L921"/>
    <mergeCell ref="C922:L922"/>
    <mergeCell ref="C923:L923"/>
    <mergeCell ref="C924:L924"/>
    <mergeCell ref="C907:L907"/>
    <mergeCell ref="C909:L909"/>
    <mergeCell ref="C859:L859"/>
    <mergeCell ref="B860:B862"/>
    <mergeCell ref="C860:E860"/>
    <mergeCell ref="F860:L860"/>
    <mergeCell ref="C861:E861"/>
    <mergeCell ref="F861:L861"/>
    <mergeCell ref="C862:E862"/>
    <mergeCell ref="F862:L862"/>
    <mergeCell ref="B863:L863"/>
    <mergeCell ref="A869:L869"/>
    <mergeCell ref="B870:L870"/>
    <mergeCell ref="B872:L872"/>
    <mergeCell ref="C877:L877"/>
    <mergeCell ref="B878:L878"/>
    <mergeCell ref="C882:L882"/>
    <mergeCell ref="C883:L883"/>
    <mergeCell ref="C885:L885"/>
    <mergeCell ref="C873:L873"/>
    <mergeCell ref="C874:L874"/>
    <mergeCell ref="C875:L875"/>
    <mergeCell ref="C876:L876"/>
    <mergeCell ref="C864:L864"/>
    <mergeCell ref="C865:L865"/>
    <mergeCell ref="C866:L866"/>
    <mergeCell ref="C867:L867"/>
    <mergeCell ref="C871:L871"/>
    <mergeCell ref="C839:L839"/>
    <mergeCell ref="C840:L840"/>
    <mergeCell ref="B842:L842"/>
    <mergeCell ref="C843:L843"/>
    <mergeCell ref="C844:L844"/>
    <mergeCell ref="C837:L837"/>
    <mergeCell ref="C838:L838"/>
    <mergeCell ref="C841:L841"/>
    <mergeCell ref="C849:L849"/>
    <mergeCell ref="B854:B855"/>
    <mergeCell ref="B856:B858"/>
    <mergeCell ref="C856:D856"/>
    <mergeCell ref="E856:F856"/>
    <mergeCell ref="G856:H856"/>
    <mergeCell ref="I856:J856"/>
    <mergeCell ref="K856:L856"/>
    <mergeCell ref="C857:D857"/>
    <mergeCell ref="E857:F857"/>
    <mergeCell ref="G857:H857"/>
    <mergeCell ref="I857:J857"/>
    <mergeCell ref="K857:L857"/>
    <mergeCell ref="C858:D858"/>
    <mergeCell ref="E858:F858"/>
    <mergeCell ref="G858:H858"/>
    <mergeCell ref="I858:J858"/>
    <mergeCell ref="K858:L858"/>
    <mergeCell ref="C853:L853"/>
    <mergeCell ref="C846:L846"/>
    <mergeCell ref="C847:L847"/>
    <mergeCell ref="C848:L848"/>
    <mergeCell ref="C845:L845"/>
    <mergeCell ref="B827:L827"/>
    <mergeCell ref="A833:L833"/>
    <mergeCell ref="B834:L834"/>
    <mergeCell ref="B836:L836"/>
    <mergeCell ref="B818:B819"/>
    <mergeCell ref="C823:L823"/>
    <mergeCell ref="C828:L828"/>
    <mergeCell ref="C829:L829"/>
    <mergeCell ref="C830:L830"/>
    <mergeCell ref="C831:L831"/>
    <mergeCell ref="C835:L835"/>
    <mergeCell ref="B820:B822"/>
    <mergeCell ref="C820:D820"/>
    <mergeCell ref="E820:F820"/>
    <mergeCell ref="G820:H820"/>
    <mergeCell ref="I820:J820"/>
    <mergeCell ref="K820:L820"/>
    <mergeCell ref="C821:D821"/>
    <mergeCell ref="E821:F821"/>
    <mergeCell ref="E822:F822"/>
    <mergeCell ref="G822:H822"/>
    <mergeCell ref="I822:J822"/>
    <mergeCell ref="C825:E825"/>
    <mergeCell ref="F825:L825"/>
    <mergeCell ref="C826:E826"/>
    <mergeCell ref="F826:L826"/>
    <mergeCell ref="G821:H821"/>
    <mergeCell ref="I821:J821"/>
    <mergeCell ref="K821:L821"/>
    <mergeCell ref="C822:D822"/>
    <mergeCell ref="E786:F786"/>
    <mergeCell ref="G786:H786"/>
    <mergeCell ref="I786:J786"/>
    <mergeCell ref="K786:L786"/>
    <mergeCell ref="B788:B790"/>
    <mergeCell ref="C788:E788"/>
    <mergeCell ref="F788:L788"/>
    <mergeCell ref="C789:E789"/>
    <mergeCell ref="F789:L789"/>
    <mergeCell ref="C790:E790"/>
    <mergeCell ref="F790:L790"/>
    <mergeCell ref="C781:L781"/>
    <mergeCell ref="C769:L769"/>
    <mergeCell ref="C774:L774"/>
    <mergeCell ref="C776:L776"/>
    <mergeCell ref="C777:L777"/>
    <mergeCell ref="C778:L778"/>
    <mergeCell ref="C779:L779"/>
    <mergeCell ref="C780:L780"/>
    <mergeCell ref="B782:B783"/>
    <mergeCell ref="B784:B786"/>
    <mergeCell ref="C784:D784"/>
    <mergeCell ref="C785:D785"/>
    <mergeCell ref="E785:F785"/>
    <mergeCell ref="G785:H785"/>
    <mergeCell ref="I785:J785"/>
    <mergeCell ref="K785:L785"/>
    <mergeCell ref="B752:B754"/>
    <mergeCell ref="C752:E752"/>
    <mergeCell ref="F752:L752"/>
    <mergeCell ref="C753:E753"/>
    <mergeCell ref="F753:L753"/>
    <mergeCell ref="C754:E754"/>
    <mergeCell ref="F754:L754"/>
    <mergeCell ref="B755:L755"/>
    <mergeCell ref="C756:L756"/>
    <mergeCell ref="C757:L757"/>
    <mergeCell ref="C758:L758"/>
    <mergeCell ref="A761:L761"/>
    <mergeCell ref="C759:L759"/>
    <mergeCell ref="B762:L762"/>
    <mergeCell ref="C763:L763"/>
    <mergeCell ref="B764:L764"/>
    <mergeCell ref="B770:L770"/>
    <mergeCell ref="C765:L765"/>
    <mergeCell ref="C766:L766"/>
    <mergeCell ref="C768:L768"/>
    <mergeCell ref="C767:L767"/>
    <mergeCell ref="F716:L716"/>
    <mergeCell ref="B719:L719"/>
    <mergeCell ref="C720:L720"/>
    <mergeCell ref="A725:L725"/>
    <mergeCell ref="B726:L726"/>
    <mergeCell ref="C722:L722"/>
    <mergeCell ref="C723:L723"/>
    <mergeCell ref="B728:L728"/>
    <mergeCell ref="C729:L729"/>
    <mergeCell ref="C730:L730"/>
    <mergeCell ref="C732:L732"/>
    <mergeCell ref="B734:L734"/>
    <mergeCell ref="C739:L739"/>
    <mergeCell ref="B746:B747"/>
    <mergeCell ref="B748:B750"/>
    <mergeCell ref="C748:D748"/>
    <mergeCell ref="E748:F748"/>
    <mergeCell ref="G748:H748"/>
    <mergeCell ref="I748:J748"/>
    <mergeCell ref="K748:L748"/>
    <mergeCell ref="C749:D749"/>
    <mergeCell ref="E749:F749"/>
    <mergeCell ref="G749:H749"/>
    <mergeCell ref="I749:J749"/>
    <mergeCell ref="K749:L749"/>
    <mergeCell ref="C750:D750"/>
    <mergeCell ref="E750:F750"/>
    <mergeCell ref="G750:H750"/>
    <mergeCell ref="I750:J750"/>
    <mergeCell ref="K750:L750"/>
    <mergeCell ref="C737:L737"/>
    <mergeCell ref="C738:L738"/>
    <mergeCell ref="C682:E682"/>
    <mergeCell ref="F682:L682"/>
    <mergeCell ref="B683:L683"/>
    <mergeCell ref="C685:L685"/>
    <mergeCell ref="C686:L686"/>
    <mergeCell ref="C687:L687"/>
    <mergeCell ref="A689:L689"/>
    <mergeCell ref="B690:L690"/>
    <mergeCell ref="B692:L692"/>
    <mergeCell ref="C696:L696"/>
    <mergeCell ref="B698:L698"/>
    <mergeCell ref="B712:B714"/>
    <mergeCell ref="C712:D712"/>
    <mergeCell ref="E712:F712"/>
    <mergeCell ref="G712:H712"/>
    <mergeCell ref="I712:J712"/>
    <mergeCell ref="K712:L712"/>
    <mergeCell ref="B710:B711"/>
    <mergeCell ref="I713:J713"/>
    <mergeCell ref="K713:L713"/>
    <mergeCell ref="C714:D714"/>
    <mergeCell ref="E714:F714"/>
    <mergeCell ref="C697:L697"/>
    <mergeCell ref="C699:L699"/>
    <mergeCell ref="C700:L700"/>
    <mergeCell ref="C701:L701"/>
    <mergeCell ref="C702:L702"/>
    <mergeCell ref="C691:L691"/>
    <mergeCell ref="C693:L693"/>
    <mergeCell ref="C694:L694"/>
    <mergeCell ref="C695:L695"/>
    <mergeCell ref="C705:L705"/>
    <mergeCell ref="B640:B642"/>
    <mergeCell ref="C640:D640"/>
    <mergeCell ref="E640:F640"/>
    <mergeCell ref="G640:H640"/>
    <mergeCell ref="I640:J640"/>
    <mergeCell ref="K640:L640"/>
    <mergeCell ref="C641:D641"/>
    <mergeCell ref="E641:F641"/>
    <mergeCell ref="G641:H641"/>
    <mergeCell ref="I641:J641"/>
    <mergeCell ref="K641:L641"/>
    <mergeCell ref="C642:D642"/>
    <mergeCell ref="E642:F642"/>
    <mergeCell ref="G642:H642"/>
    <mergeCell ref="I642:J642"/>
    <mergeCell ref="K642:L642"/>
    <mergeCell ref="F681:L681"/>
    <mergeCell ref="C671:L671"/>
    <mergeCell ref="C672:L672"/>
    <mergeCell ref="B644:B646"/>
    <mergeCell ref="C644:E644"/>
    <mergeCell ref="F644:L644"/>
    <mergeCell ref="C645:E645"/>
    <mergeCell ref="F645:L645"/>
    <mergeCell ref="C646:E646"/>
    <mergeCell ref="F646:L646"/>
    <mergeCell ref="B647:L647"/>
    <mergeCell ref="A653:L653"/>
    <mergeCell ref="B654:L654"/>
    <mergeCell ref="B656:L656"/>
    <mergeCell ref="B662:L662"/>
    <mergeCell ref="C666:L666"/>
    <mergeCell ref="C577:L577"/>
    <mergeCell ref="C578:L578"/>
    <mergeCell ref="C579:L579"/>
    <mergeCell ref="C583:L583"/>
    <mergeCell ref="A581:L581"/>
    <mergeCell ref="B582:L582"/>
    <mergeCell ref="B584:L584"/>
    <mergeCell ref="C585:L585"/>
    <mergeCell ref="C586:L586"/>
    <mergeCell ref="C587:L587"/>
    <mergeCell ref="C592:L592"/>
    <mergeCell ref="C593:L593"/>
    <mergeCell ref="C631:L631"/>
    <mergeCell ref="C632:L632"/>
    <mergeCell ref="C633:L633"/>
    <mergeCell ref="C634:L634"/>
    <mergeCell ref="B638:B639"/>
    <mergeCell ref="C605:D605"/>
    <mergeCell ref="E605:F605"/>
    <mergeCell ref="G605:H605"/>
    <mergeCell ref="I605:J605"/>
    <mergeCell ref="K605:L605"/>
    <mergeCell ref="C606:D606"/>
    <mergeCell ref="E606:F606"/>
    <mergeCell ref="G606:H606"/>
    <mergeCell ref="I606:J606"/>
    <mergeCell ref="K606:L606"/>
    <mergeCell ref="B608:B610"/>
    <mergeCell ref="C608:E608"/>
    <mergeCell ref="F608:L608"/>
    <mergeCell ref="C609:E609"/>
    <mergeCell ref="F609:L609"/>
    <mergeCell ref="C610:E610"/>
    <mergeCell ref="F610:L610"/>
    <mergeCell ref="C525:L525"/>
    <mergeCell ref="C542:L542"/>
    <mergeCell ref="C543:L543"/>
    <mergeCell ref="A545:L545"/>
    <mergeCell ref="B546:L546"/>
    <mergeCell ref="C547:L547"/>
    <mergeCell ref="B554:L554"/>
    <mergeCell ref="C556:L556"/>
    <mergeCell ref="B536:B538"/>
    <mergeCell ref="C536:E536"/>
    <mergeCell ref="F536:L536"/>
    <mergeCell ref="C537:E537"/>
    <mergeCell ref="F537:L537"/>
    <mergeCell ref="C538:E538"/>
    <mergeCell ref="F538:L538"/>
    <mergeCell ref="B539:L539"/>
    <mergeCell ref="C541:L541"/>
    <mergeCell ref="B548:L548"/>
    <mergeCell ref="C549:L549"/>
    <mergeCell ref="C550:L550"/>
    <mergeCell ref="C551:L551"/>
    <mergeCell ref="C552:L552"/>
    <mergeCell ref="C553:L553"/>
    <mergeCell ref="C573:E573"/>
    <mergeCell ref="F573:L573"/>
    <mergeCell ref="C574:E574"/>
    <mergeCell ref="F574:L574"/>
    <mergeCell ref="B575:L575"/>
    <mergeCell ref="C557:L557"/>
    <mergeCell ref="C558:L558"/>
    <mergeCell ref="C477:L477"/>
    <mergeCell ref="C478:L478"/>
    <mergeCell ref="B503:L503"/>
    <mergeCell ref="C504:L504"/>
    <mergeCell ref="C505:L505"/>
    <mergeCell ref="A509:L509"/>
    <mergeCell ref="B510:L510"/>
    <mergeCell ref="B512:L512"/>
    <mergeCell ref="C513:L513"/>
    <mergeCell ref="C514:L514"/>
    <mergeCell ref="C515:L515"/>
    <mergeCell ref="C517:L517"/>
    <mergeCell ref="B518:L518"/>
    <mergeCell ref="C507:L507"/>
    <mergeCell ref="C489:L489"/>
    <mergeCell ref="C490:L490"/>
    <mergeCell ref="C491:L491"/>
    <mergeCell ref="C492:L492"/>
    <mergeCell ref="C493:L493"/>
    <mergeCell ref="C498:D498"/>
    <mergeCell ref="C502:E502"/>
    <mergeCell ref="F502:L502"/>
    <mergeCell ref="G496:H496"/>
    <mergeCell ref="I496:J496"/>
    <mergeCell ref="K496:L496"/>
    <mergeCell ref="C497:D497"/>
    <mergeCell ref="E497:F497"/>
    <mergeCell ref="G497:H497"/>
    <mergeCell ref="I497:J497"/>
    <mergeCell ref="K497:L497"/>
    <mergeCell ref="C479:L479"/>
    <mergeCell ref="C480:L480"/>
    <mergeCell ref="C483:L483"/>
    <mergeCell ref="E498:F498"/>
    <mergeCell ref="G498:H498"/>
    <mergeCell ref="I498:J498"/>
    <mergeCell ref="K498:L498"/>
    <mergeCell ref="C484:L484"/>
    <mergeCell ref="C485:L485"/>
    <mergeCell ref="C486:L486"/>
    <mergeCell ref="C487:L487"/>
    <mergeCell ref="C488:L488"/>
    <mergeCell ref="C433:L433"/>
    <mergeCell ref="C434:L434"/>
    <mergeCell ref="C435:L435"/>
    <mergeCell ref="C449:L449"/>
    <mergeCell ref="C450:L450"/>
    <mergeCell ref="C451:L451"/>
    <mergeCell ref="B464:B466"/>
    <mergeCell ref="C464:E464"/>
    <mergeCell ref="F464:L464"/>
    <mergeCell ref="C465:E465"/>
    <mergeCell ref="F465:L465"/>
    <mergeCell ref="C466:E466"/>
    <mergeCell ref="F466:L466"/>
    <mergeCell ref="B467:L467"/>
    <mergeCell ref="C470:L470"/>
    <mergeCell ref="C471:L471"/>
    <mergeCell ref="A473:L473"/>
    <mergeCell ref="B458:B459"/>
    <mergeCell ref="B460:B462"/>
    <mergeCell ref="C460:D460"/>
    <mergeCell ref="E460:F460"/>
    <mergeCell ref="G460:H460"/>
    <mergeCell ref="G388:H388"/>
    <mergeCell ref="I388:J388"/>
    <mergeCell ref="K388:L388"/>
    <mergeCell ref="C389:D389"/>
    <mergeCell ref="E389:F389"/>
    <mergeCell ref="G389:H389"/>
    <mergeCell ref="I460:J460"/>
    <mergeCell ref="K460:L460"/>
    <mergeCell ref="C461:D461"/>
    <mergeCell ref="E461:F461"/>
    <mergeCell ref="G461:H461"/>
    <mergeCell ref="I461:J461"/>
    <mergeCell ref="K461:L461"/>
    <mergeCell ref="C462:D462"/>
    <mergeCell ref="E462:F462"/>
    <mergeCell ref="G462:H462"/>
    <mergeCell ref="C394:E394"/>
    <mergeCell ref="F394:L394"/>
    <mergeCell ref="A401:L401"/>
    <mergeCell ref="B402:L402"/>
    <mergeCell ref="B404:L404"/>
    <mergeCell ref="C409:L409"/>
    <mergeCell ref="B410:L410"/>
    <mergeCell ref="C412:L412"/>
    <mergeCell ref="C413:L413"/>
    <mergeCell ref="C414:L414"/>
    <mergeCell ref="C416:L416"/>
    <mergeCell ref="C417:L417"/>
    <mergeCell ref="C418:L418"/>
    <mergeCell ref="C419:L419"/>
    <mergeCell ref="B422:B423"/>
    <mergeCell ref="B424:B426"/>
    <mergeCell ref="E425:F425"/>
    <mergeCell ref="G425:H425"/>
    <mergeCell ref="I425:J425"/>
    <mergeCell ref="K425:L425"/>
    <mergeCell ref="C420:L420"/>
    <mergeCell ref="C421:L421"/>
    <mergeCell ref="C399:L399"/>
    <mergeCell ref="C403:L403"/>
    <mergeCell ref="B392:B394"/>
    <mergeCell ref="C392:E392"/>
    <mergeCell ref="F392:L392"/>
    <mergeCell ref="C393:E393"/>
    <mergeCell ref="F393:L393"/>
    <mergeCell ref="C426:D426"/>
    <mergeCell ref="E426:F426"/>
    <mergeCell ref="G426:H426"/>
    <mergeCell ref="I426:J426"/>
    <mergeCell ref="K426:L426"/>
    <mergeCell ref="C415:L415"/>
    <mergeCell ref="C424:D424"/>
    <mergeCell ref="E424:F424"/>
    <mergeCell ref="G424:H424"/>
    <mergeCell ref="I424:J424"/>
    <mergeCell ref="K424:L424"/>
    <mergeCell ref="C425:D425"/>
    <mergeCell ref="G280:H280"/>
    <mergeCell ref="I280:J280"/>
    <mergeCell ref="K280:L280"/>
    <mergeCell ref="C281:D281"/>
    <mergeCell ref="B359:L359"/>
    <mergeCell ref="A365:L365"/>
    <mergeCell ref="B350:B351"/>
    <mergeCell ref="B352:B354"/>
    <mergeCell ref="G352:H352"/>
    <mergeCell ref="I352:J352"/>
    <mergeCell ref="K352:L352"/>
    <mergeCell ref="C353:D353"/>
    <mergeCell ref="E353:F353"/>
    <mergeCell ref="G353:H353"/>
    <mergeCell ref="I353:J353"/>
    <mergeCell ref="C355:L355"/>
    <mergeCell ref="C380:L380"/>
    <mergeCell ref="B366:L366"/>
    <mergeCell ref="C367:L367"/>
    <mergeCell ref="C373:L373"/>
    <mergeCell ref="B374:L374"/>
    <mergeCell ref="C375:L375"/>
    <mergeCell ref="B368:L368"/>
    <mergeCell ref="C369:L369"/>
    <mergeCell ref="C370:L370"/>
    <mergeCell ref="C371:L371"/>
    <mergeCell ref="C376:L376"/>
    <mergeCell ref="I318:J318"/>
    <mergeCell ref="K318:L318"/>
    <mergeCell ref="C301:L301"/>
    <mergeCell ref="B302:L302"/>
    <mergeCell ref="C310:L310"/>
    <mergeCell ref="C237:L237"/>
    <mergeCell ref="C238:L238"/>
    <mergeCell ref="C240:L240"/>
    <mergeCell ref="C241:L241"/>
    <mergeCell ref="C286:E286"/>
    <mergeCell ref="F286:L286"/>
    <mergeCell ref="B287:L287"/>
    <mergeCell ref="C288:L288"/>
    <mergeCell ref="C289:L289"/>
    <mergeCell ref="C290:L290"/>
    <mergeCell ref="A293:L293"/>
    <mergeCell ref="B294:L294"/>
    <mergeCell ref="B296:L296"/>
    <mergeCell ref="C291:L291"/>
    <mergeCell ref="C295:L295"/>
    <mergeCell ref="C267:L267"/>
    <mergeCell ref="C268:L268"/>
    <mergeCell ref="C269:L269"/>
    <mergeCell ref="C270:L270"/>
    <mergeCell ref="C271:L271"/>
    <mergeCell ref="C272:L272"/>
    <mergeCell ref="C273:L273"/>
    <mergeCell ref="C274:L274"/>
    <mergeCell ref="C283:L283"/>
    <mergeCell ref="B284:B286"/>
    <mergeCell ref="C284:E284"/>
    <mergeCell ref="F284:L284"/>
    <mergeCell ref="C285:E285"/>
    <mergeCell ref="F285:L285"/>
    <mergeCell ref="B280:B282"/>
    <mergeCell ref="C280:D280"/>
    <mergeCell ref="E280:F280"/>
    <mergeCell ref="E246:F246"/>
    <mergeCell ref="G246:H246"/>
    <mergeCell ref="I246:J246"/>
    <mergeCell ref="K246:L246"/>
    <mergeCell ref="G281:H281"/>
    <mergeCell ref="I281:J281"/>
    <mergeCell ref="K281:L281"/>
    <mergeCell ref="C282:D282"/>
    <mergeCell ref="E282:F282"/>
    <mergeCell ref="G282:H282"/>
    <mergeCell ref="I282:J282"/>
    <mergeCell ref="K282:L282"/>
    <mergeCell ref="C261:L261"/>
    <mergeCell ref="C277:L277"/>
    <mergeCell ref="B266:L266"/>
    <mergeCell ref="B206:B207"/>
    <mergeCell ref="B208:B210"/>
    <mergeCell ref="C247:L247"/>
    <mergeCell ref="B248:B250"/>
    <mergeCell ref="C248:E248"/>
    <mergeCell ref="F248:L248"/>
    <mergeCell ref="C249:E249"/>
    <mergeCell ref="F249:L249"/>
    <mergeCell ref="C250:E250"/>
    <mergeCell ref="F250:L250"/>
    <mergeCell ref="B251:L251"/>
    <mergeCell ref="C255:L255"/>
    <mergeCell ref="A257:L257"/>
    <mergeCell ref="B258:L258"/>
    <mergeCell ref="C259:L259"/>
    <mergeCell ref="B260:L260"/>
    <mergeCell ref="B278:B279"/>
    <mergeCell ref="C205:L205"/>
    <mergeCell ref="C174:D174"/>
    <mergeCell ref="E174:F174"/>
    <mergeCell ref="G174:H174"/>
    <mergeCell ref="I174:J174"/>
    <mergeCell ref="K174:L174"/>
    <mergeCell ref="C200:L200"/>
    <mergeCell ref="C201:L201"/>
    <mergeCell ref="C202:L202"/>
    <mergeCell ref="C203:L203"/>
    <mergeCell ref="C204:L204"/>
    <mergeCell ref="C189:L189"/>
    <mergeCell ref="C190:L190"/>
    <mergeCell ref="C191:L191"/>
    <mergeCell ref="C192:L192"/>
    <mergeCell ref="B242:B243"/>
    <mergeCell ref="C244:D244"/>
    <mergeCell ref="E244:F244"/>
    <mergeCell ref="G244:H244"/>
    <mergeCell ref="I244:J244"/>
    <mergeCell ref="K244:L244"/>
    <mergeCell ref="C234:L234"/>
    <mergeCell ref="C235:L235"/>
    <mergeCell ref="C236:L236"/>
    <mergeCell ref="B244:B246"/>
    <mergeCell ref="C239:L239"/>
    <mergeCell ref="C245:D245"/>
    <mergeCell ref="E245:F245"/>
    <mergeCell ref="G245:H245"/>
    <mergeCell ref="I245:J245"/>
    <mergeCell ref="K245:L245"/>
    <mergeCell ref="C246:D246"/>
    <mergeCell ref="B150:L150"/>
    <mergeCell ref="C151:L151"/>
    <mergeCell ref="B152:L152"/>
    <mergeCell ref="C154:L154"/>
    <mergeCell ref="C155:L155"/>
    <mergeCell ref="C156:L156"/>
    <mergeCell ref="B158:L158"/>
    <mergeCell ref="C159:L159"/>
    <mergeCell ref="C144:L144"/>
    <mergeCell ref="C157:L157"/>
    <mergeCell ref="B176:B178"/>
    <mergeCell ref="B179:L179"/>
    <mergeCell ref="C180:L180"/>
    <mergeCell ref="A185:L185"/>
    <mergeCell ref="B186:L186"/>
    <mergeCell ref="B188:L188"/>
    <mergeCell ref="C187:L187"/>
    <mergeCell ref="C176:E176"/>
    <mergeCell ref="F176:L176"/>
    <mergeCell ref="C177:E177"/>
    <mergeCell ref="F177:L177"/>
    <mergeCell ref="C178:E178"/>
    <mergeCell ref="F178:L178"/>
    <mergeCell ref="C183:L183"/>
    <mergeCell ref="C160:L160"/>
    <mergeCell ref="C161:L161"/>
    <mergeCell ref="C169:L169"/>
    <mergeCell ref="B170:B171"/>
    <mergeCell ref="B172:B174"/>
    <mergeCell ref="C172:D172"/>
    <mergeCell ref="E172:F172"/>
    <mergeCell ref="G172:H172"/>
    <mergeCell ref="G137:H137"/>
    <mergeCell ref="I137:J137"/>
    <mergeCell ref="K137:L137"/>
    <mergeCell ref="C138:D138"/>
    <mergeCell ref="E138:F138"/>
    <mergeCell ref="G138:H138"/>
    <mergeCell ref="I138:J138"/>
    <mergeCell ref="K138:L138"/>
    <mergeCell ref="B140:B142"/>
    <mergeCell ref="C140:E140"/>
    <mergeCell ref="F140:L140"/>
    <mergeCell ref="C141:E141"/>
    <mergeCell ref="F141:L141"/>
    <mergeCell ref="C142:E142"/>
    <mergeCell ref="F142:L142"/>
    <mergeCell ref="B143:L143"/>
    <mergeCell ref="A149:L149"/>
    <mergeCell ref="B104:B106"/>
    <mergeCell ref="C104:E104"/>
    <mergeCell ref="F104:L104"/>
    <mergeCell ref="C105:E105"/>
    <mergeCell ref="F105:L105"/>
    <mergeCell ref="C106:E106"/>
    <mergeCell ref="F106:L106"/>
    <mergeCell ref="B107:L107"/>
    <mergeCell ref="C108:L108"/>
    <mergeCell ref="C109:L109"/>
    <mergeCell ref="C111:L111"/>
    <mergeCell ref="A113:L113"/>
    <mergeCell ref="B114:L114"/>
    <mergeCell ref="C115:L115"/>
    <mergeCell ref="B116:L116"/>
    <mergeCell ref="C117:L117"/>
    <mergeCell ref="C118:L118"/>
    <mergeCell ref="C110:L110"/>
    <mergeCell ref="C83:L83"/>
    <mergeCell ref="C84:L84"/>
    <mergeCell ref="C85:L85"/>
    <mergeCell ref="B86:L86"/>
    <mergeCell ref="C87:L87"/>
    <mergeCell ref="C90:L90"/>
    <mergeCell ref="C92:L92"/>
    <mergeCell ref="C94:L94"/>
    <mergeCell ref="C97:L97"/>
    <mergeCell ref="B98:B99"/>
    <mergeCell ref="B100:B102"/>
    <mergeCell ref="C100:D100"/>
    <mergeCell ref="E100:F100"/>
    <mergeCell ref="G100:H100"/>
    <mergeCell ref="I100:J100"/>
    <mergeCell ref="K100:L100"/>
    <mergeCell ref="C101:D101"/>
    <mergeCell ref="E101:F101"/>
    <mergeCell ref="G101:H101"/>
    <mergeCell ref="I101:J101"/>
    <mergeCell ref="K101:L101"/>
    <mergeCell ref="C102:D102"/>
    <mergeCell ref="E102:F102"/>
    <mergeCell ref="G102:H102"/>
    <mergeCell ref="I102:J102"/>
    <mergeCell ref="K102:L102"/>
    <mergeCell ref="C95:L95"/>
    <mergeCell ref="C64:D64"/>
    <mergeCell ref="E64:F64"/>
    <mergeCell ref="G64:H64"/>
    <mergeCell ref="I64:J64"/>
    <mergeCell ref="K64:L64"/>
    <mergeCell ref="C65:D65"/>
    <mergeCell ref="E65:F65"/>
    <mergeCell ref="G65:H65"/>
    <mergeCell ref="I65:J65"/>
    <mergeCell ref="C73:L73"/>
    <mergeCell ref="C74:L74"/>
    <mergeCell ref="C75:L75"/>
    <mergeCell ref="A77:L77"/>
    <mergeCell ref="B78:L78"/>
    <mergeCell ref="B80:L80"/>
    <mergeCell ref="C81:L81"/>
    <mergeCell ref="C82:L82"/>
    <mergeCell ref="C79:L79"/>
    <mergeCell ref="F69:L69"/>
    <mergeCell ref="C70:E70"/>
    <mergeCell ref="F70:L70"/>
    <mergeCell ref="B71:L71"/>
    <mergeCell ref="C72:L72"/>
    <mergeCell ref="G2368:H2368"/>
    <mergeCell ref="I2368:J2368"/>
    <mergeCell ref="K2368:L2368"/>
    <mergeCell ref="C2369:D2369"/>
    <mergeCell ref="E2369:F2369"/>
    <mergeCell ref="G2369:H2369"/>
    <mergeCell ref="I2369:J2369"/>
    <mergeCell ref="C2399:L2399"/>
    <mergeCell ref="C2400:L2400"/>
    <mergeCell ref="C2395:L2395"/>
    <mergeCell ref="C2396:L2396"/>
    <mergeCell ref="C2397:L2397"/>
    <mergeCell ref="K2369:L2369"/>
    <mergeCell ref="C2370:D2370"/>
    <mergeCell ref="E2370:F2370"/>
    <mergeCell ref="G2370:H2370"/>
    <mergeCell ref="I2370:J2370"/>
    <mergeCell ref="K2370:L2370"/>
    <mergeCell ref="C2372:E2372"/>
    <mergeCell ref="F2372:L2372"/>
    <mergeCell ref="C2373:E2373"/>
    <mergeCell ref="F2373:L2373"/>
    <mergeCell ref="C2374:E2374"/>
    <mergeCell ref="F2374:L2374"/>
    <mergeCell ref="C2368:D2368"/>
    <mergeCell ref="E2368:F2368"/>
    <mergeCell ref="C2221:L2221"/>
    <mergeCell ref="C2220:L2220"/>
    <mergeCell ref="B2222:B2223"/>
    <mergeCell ref="B2224:B2226"/>
    <mergeCell ref="C2224:D2224"/>
    <mergeCell ref="E2224:F2224"/>
    <mergeCell ref="G2224:H2224"/>
    <mergeCell ref="I2224:J2224"/>
    <mergeCell ref="K2224:L2224"/>
    <mergeCell ref="C2225:D2225"/>
    <mergeCell ref="C2313:L2313"/>
    <mergeCell ref="C2314:L2314"/>
    <mergeCell ref="E2225:F2225"/>
    <mergeCell ref="G2225:H2225"/>
    <mergeCell ref="I2225:J2225"/>
    <mergeCell ref="K2225:L2225"/>
    <mergeCell ref="C2226:D2226"/>
    <mergeCell ref="E2226:F2226"/>
    <mergeCell ref="G2226:H2226"/>
    <mergeCell ref="I2226:J2226"/>
    <mergeCell ref="K2226:L2226"/>
    <mergeCell ref="B2228:B2230"/>
    <mergeCell ref="C2228:E2228"/>
    <mergeCell ref="F2228:L2228"/>
    <mergeCell ref="C2262:D2262"/>
    <mergeCell ref="E2262:F2262"/>
    <mergeCell ref="G2262:H2262"/>
    <mergeCell ref="I2262:J2262"/>
    <mergeCell ref="K2262:L2262"/>
    <mergeCell ref="C2247:L2247"/>
    <mergeCell ref="C2248:L2248"/>
    <mergeCell ref="C2263:L2263"/>
    <mergeCell ref="C2468:L2468"/>
    <mergeCell ref="C2469:L2469"/>
    <mergeCell ref="C2470:L2470"/>
    <mergeCell ref="C2471:L2471"/>
    <mergeCell ref="C2472:L2472"/>
    <mergeCell ref="B2476:B2478"/>
    <mergeCell ref="C2385:L2385"/>
    <mergeCell ref="C2386:L2386"/>
    <mergeCell ref="C2371:L2371"/>
    <mergeCell ref="C2376:L2376"/>
    <mergeCell ref="C2377:L2377"/>
    <mergeCell ref="C2378:L2378"/>
    <mergeCell ref="C2383:L2383"/>
    <mergeCell ref="C2335:L2335"/>
    <mergeCell ref="C2340:L2340"/>
    <mergeCell ref="C2341:L2341"/>
    <mergeCell ref="C2342:L2342"/>
    <mergeCell ref="C2476:D2476"/>
    <mergeCell ref="K2404:L2404"/>
    <mergeCell ref="C2405:D2405"/>
    <mergeCell ref="E2405:F2405"/>
    <mergeCell ref="G2405:H2405"/>
    <mergeCell ref="I2405:J2405"/>
    <mergeCell ref="K2405:L2405"/>
    <mergeCell ref="C2406:D2406"/>
    <mergeCell ref="C2401:L2401"/>
    <mergeCell ref="E2406:F2406"/>
    <mergeCell ref="G2406:H2406"/>
    <mergeCell ref="I2406:J2406"/>
    <mergeCell ref="K2406:L2406"/>
    <mergeCell ref="C2365:L2365"/>
    <mergeCell ref="B2372:B2374"/>
    <mergeCell ref="B2264:B2266"/>
    <mergeCell ref="F2230:L2230"/>
    <mergeCell ref="B2231:L2231"/>
    <mergeCell ref="C2234:L2234"/>
    <mergeCell ref="C2235:L2235"/>
    <mergeCell ref="A2237:L2237"/>
    <mergeCell ref="B2238:L2238"/>
    <mergeCell ref="B2240:L2240"/>
    <mergeCell ref="C2244:L2244"/>
    <mergeCell ref="B2246:L2246"/>
    <mergeCell ref="B2260:B2262"/>
    <mergeCell ref="C2260:D2260"/>
    <mergeCell ref="E2260:F2260"/>
    <mergeCell ref="G2260:H2260"/>
    <mergeCell ref="I2260:J2260"/>
    <mergeCell ref="K2260:L2260"/>
    <mergeCell ref="C2243:L2243"/>
    <mergeCell ref="C2245:L2245"/>
    <mergeCell ref="C2249:L2249"/>
    <mergeCell ref="C2250:L2250"/>
    <mergeCell ref="C2251:L2251"/>
    <mergeCell ref="C2252:L2252"/>
    <mergeCell ref="C2253:L2253"/>
    <mergeCell ref="C2254:L2254"/>
    <mergeCell ref="C2255:L2255"/>
    <mergeCell ref="C2256:L2256"/>
    <mergeCell ref="C2257:L2257"/>
    <mergeCell ref="B2258:B2259"/>
    <mergeCell ref="C2261:D2261"/>
    <mergeCell ref="E2261:F2261"/>
    <mergeCell ref="G2261:H2261"/>
    <mergeCell ref="C2135:L2135"/>
    <mergeCell ref="C2067:L2067"/>
    <mergeCell ref="C2068:L2068"/>
    <mergeCell ref="C2069:L2069"/>
    <mergeCell ref="C2070:L2070"/>
    <mergeCell ref="C2071:L2071"/>
    <mergeCell ref="C2073:L2073"/>
    <mergeCell ref="C2074:L2074"/>
    <mergeCell ref="C2075:L2075"/>
    <mergeCell ref="C2076:L2076"/>
    <mergeCell ref="C2077:L2077"/>
    <mergeCell ref="C2083:L2083"/>
    <mergeCell ref="C2072:L2072"/>
    <mergeCell ref="C2098:L2098"/>
    <mergeCell ref="C2101:L2101"/>
    <mergeCell ref="B2096:L2096"/>
    <mergeCell ref="C2097:L2097"/>
    <mergeCell ref="C2103:L2103"/>
    <mergeCell ref="C2095:L2095"/>
    <mergeCell ref="B2102:L2102"/>
    <mergeCell ref="C2104:L2104"/>
    <mergeCell ref="C2105:L2105"/>
    <mergeCell ref="C2106:L2106"/>
    <mergeCell ref="C2108:L2108"/>
    <mergeCell ref="B2114:B2115"/>
    <mergeCell ref="B2116:B2118"/>
    <mergeCell ref="C2116:D2116"/>
    <mergeCell ref="E2082:F2082"/>
    <mergeCell ref="G2082:H2082"/>
    <mergeCell ref="C2107:L2107"/>
    <mergeCell ref="I2082:J2082"/>
    <mergeCell ref="K2082:L2082"/>
    <mergeCell ref="C1905:E1905"/>
    <mergeCell ref="F1905:L1905"/>
    <mergeCell ref="C1906:E1906"/>
    <mergeCell ref="F1906:L1906"/>
    <mergeCell ref="B1907:L1907"/>
    <mergeCell ref="A1913:L1913"/>
    <mergeCell ref="B1914:L1914"/>
    <mergeCell ref="B2078:B2079"/>
    <mergeCell ref="B2080:B2082"/>
    <mergeCell ref="C2080:D2080"/>
    <mergeCell ref="E2080:F2080"/>
    <mergeCell ref="G2080:H2080"/>
    <mergeCell ref="I2080:J2080"/>
    <mergeCell ref="K2080:L2080"/>
    <mergeCell ref="C2081:D2081"/>
    <mergeCell ref="E2081:F2081"/>
    <mergeCell ref="G2081:H2081"/>
    <mergeCell ref="I2081:J2081"/>
    <mergeCell ref="K2081:L2081"/>
    <mergeCell ref="C2082:D2082"/>
    <mergeCell ref="C2016:L2016"/>
    <mergeCell ref="C2017:L2017"/>
    <mergeCell ref="B2022:L2022"/>
    <mergeCell ref="C2023:L2023"/>
    <mergeCell ref="C2025:L2025"/>
    <mergeCell ref="G2046:H2046"/>
    <mergeCell ref="I2046:J2046"/>
    <mergeCell ref="C2026:L2026"/>
    <mergeCell ref="C1917:L1917"/>
    <mergeCell ref="C1918:L1918"/>
    <mergeCell ref="C1919:L1919"/>
    <mergeCell ref="C1921:L1921"/>
    <mergeCell ref="C1800:L1800"/>
    <mergeCell ref="C1801:L1801"/>
    <mergeCell ref="C1802:L1802"/>
    <mergeCell ref="C1809:L1809"/>
    <mergeCell ref="C1810:L1810"/>
    <mergeCell ref="C1816:L1816"/>
    <mergeCell ref="C1817:L1817"/>
    <mergeCell ref="C1818:L1818"/>
    <mergeCell ref="C1997:L1997"/>
    <mergeCell ref="C1998:L1998"/>
    <mergeCell ref="B1979:L1979"/>
    <mergeCell ref="C1951:L1951"/>
    <mergeCell ref="C1953:L1953"/>
    <mergeCell ref="C1954:L1954"/>
    <mergeCell ref="C1955:L1955"/>
    <mergeCell ref="C1956:L1956"/>
    <mergeCell ref="C1959:L1959"/>
    <mergeCell ref="C1966:L1966"/>
    <mergeCell ref="C1885:L1885"/>
    <mergeCell ref="C1887:L1887"/>
    <mergeCell ref="C1888:L1888"/>
    <mergeCell ref="C1892:L1892"/>
    <mergeCell ref="C1925:L1925"/>
    <mergeCell ref="C1926:L1926"/>
    <mergeCell ref="C1927:L1927"/>
    <mergeCell ref="C1928:L1928"/>
    <mergeCell ref="C1894:L1894"/>
    <mergeCell ref="C1895:L1895"/>
    <mergeCell ref="C1896:L1896"/>
    <mergeCell ref="C1897:L1897"/>
    <mergeCell ref="B1904:B1906"/>
    <mergeCell ref="K1866:L1866"/>
    <mergeCell ref="C1695:L1695"/>
    <mergeCell ref="C1710:L1710"/>
    <mergeCell ref="C1711:L1711"/>
    <mergeCell ref="C1712:L1712"/>
    <mergeCell ref="C1713:L1713"/>
    <mergeCell ref="C1714:L1714"/>
    <mergeCell ref="C1705:L1705"/>
    <mergeCell ref="C1915:L1915"/>
    <mergeCell ref="B1916:L1916"/>
    <mergeCell ref="C1811:L1811"/>
    <mergeCell ref="C1812:L1812"/>
    <mergeCell ref="C1813:L1813"/>
    <mergeCell ref="B1814:L1814"/>
    <mergeCell ref="C1815:L1815"/>
    <mergeCell ref="C1839:L1839"/>
    <mergeCell ref="C1843:L1843"/>
    <mergeCell ref="C1845:L1845"/>
    <mergeCell ref="C1849:L1849"/>
    <mergeCell ref="B1792:B1794"/>
    <mergeCell ref="C1783:L1783"/>
    <mergeCell ref="C1784:L1784"/>
    <mergeCell ref="C1787:L1787"/>
    <mergeCell ref="C1789:L1789"/>
    <mergeCell ref="B1790:B1791"/>
    <mergeCell ref="C1792:D1792"/>
    <mergeCell ref="E1792:F1792"/>
    <mergeCell ref="G1792:H1792"/>
    <mergeCell ref="I1792:J1792"/>
    <mergeCell ref="K1792:L1792"/>
    <mergeCell ref="C1793:D1793"/>
    <mergeCell ref="C1701:L1701"/>
    <mergeCell ref="C1715:L1715"/>
    <mergeCell ref="C1599:L1599"/>
    <mergeCell ref="B1610:B1611"/>
    <mergeCell ref="B1612:B1614"/>
    <mergeCell ref="C1612:D1612"/>
    <mergeCell ref="E1612:F1612"/>
    <mergeCell ref="G1612:H1612"/>
    <mergeCell ref="I1612:J1612"/>
    <mergeCell ref="K1612:L1612"/>
    <mergeCell ref="C1613:D1613"/>
    <mergeCell ref="E1613:F1613"/>
    <mergeCell ref="G1613:H1613"/>
    <mergeCell ref="I1613:J1613"/>
    <mergeCell ref="K1613:L1613"/>
    <mergeCell ref="C1614:D1614"/>
    <mergeCell ref="E1614:F1614"/>
    <mergeCell ref="C1414:L1414"/>
    <mergeCell ref="C1415:L1415"/>
    <mergeCell ref="B1418:L1418"/>
    <mergeCell ref="C1584:L1584"/>
    <mergeCell ref="C1585:L1585"/>
    <mergeCell ref="C1586:L1586"/>
    <mergeCell ref="C1587:L1587"/>
    <mergeCell ref="A1589:L1589"/>
    <mergeCell ref="C1579:L1579"/>
    <mergeCell ref="B1580:B1582"/>
    <mergeCell ref="C1580:E1580"/>
    <mergeCell ref="F1580:L1580"/>
    <mergeCell ref="C1581:E1581"/>
    <mergeCell ref="F1581:L1581"/>
    <mergeCell ref="C1582:E1582"/>
    <mergeCell ref="F1582:L1582"/>
    <mergeCell ref="B1583:L1583"/>
    <mergeCell ref="C1425:L1425"/>
    <mergeCell ref="C1406:L1406"/>
    <mergeCell ref="C1429:L1429"/>
    <mergeCell ref="B1436:B1438"/>
    <mergeCell ref="B1439:L1439"/>
    <mergeCell ref="C1339:L1339"/>
    <mergeCell ref="C1342:L1342"/>
    <mergeCell ref="C1343:L1343"/>
    <mergeCell ref="C1344:L1344"/>
    <mergeCell ref="C1345:L1345"/>
    <mergeCell ref="C1360:D1360"/>
    <mergeCell ref="E1360:F1360"/>
    <mergeCell ref="G1360:H1360"/>
    <mergeCell ref="I1360:J1360"/>
    <mergeCell ref="K1360:L1360"/>
    <mergeCell ref="C1327:L1327"/>
    <mergeCell ref="B1328:B1330"/>
    <mergeCell ref="B1331:L1331"/>
    <mergeCell ref="C1332:L1332"/>
    <mergeCell ref="C1334:L1334"/>
    <mergeCell ref="C1333:L1333"/>
    <mergeCell ref="C1335:L1335"/>
    <mergeCell ref="B1338:L1338"/>
    <mergeCell ref="B1340:L1340"/>
    <mergeCell ref="C1341:L1341"/>
    <mergeCell ref="B1346:L1346"/>
    <mergeCell ref="C1355:L1355"/>
    <mergeCell ref="C1356:L1356"/>
    <mergeCell ref="B1358:B1359"/>
    <mergeCell ref="B1360:B1362"/>
    <mergeCell ref="C1361:D1361"/>
    <mergeCell ref="A1337:L1337"/>
    <mergeCell ref="C1328:E1328"/>
    <mergeCell ref="F1328:L1328"/>
    <mergeCell ref="C1329:E1329"/>
    <mergeCell ref="F1329:L1329"/>
    <mergeCell ref="C1330:E1330"/>
    <mergeCell ref="C1220:E1220"/>
    <mergeCell ref="C1296:L1296"/>
    <mergeCell ref="C1297:L1297"/>
    <mergeCell ref="C1299:L1299"/>
    <mergeCell ref="C1303:L1303"/>
    <mergeCell ref="C1305:L1305"/>
    <mergeCell ref="C1306:L1306"/>
    <mergeCell ref="C1307:L1307"/>
    <mergeCell ref="C1280:L1280"/>
    <mergeCell ref="C1281:L1281"/>
    <mergeCell ref="C1282:L1282"/>
    <mergeCell ref="C1283:L1283"/>
    <mergeCell ref="C1284:L1284"/>
    <mergeCell ref="C1285:L1285"/>
    <mergeCell ref="C1279:L1279"/>
    <mergeCell ref="C1309:L1309"/>
    <mergeCell ref="C1311:L1311"/>
    <mergeCell ref="K1325:L1325"/>
    <mergeCell ref="C1326:D1326"/>
    <mergeCell ref="E1326:F1326"/>
    <mergeCell ref="G1326:H1326"/>
    <mergeCell ref="I1326:J1326"/>
    <mergeCell ref="K1326:L1326"/>
    <mergeCell ref="C1318:L1318"/>
    <mergeCell ref="C1317:L1317"/>
    <mergeCell ref="C1319:L1319"/>
    <mergeCell ref="C1320:L1320"/>
    <mergeCell ref="B1286:B1287"/>
    <mergeCell ref="B1288:B1290"/>
    <mergeCell ref="C1288:D1288"/>
    <mergeCell ref="E1288:F1288"/>
    <mergeCell ref="G1288:H1288"/>
    <mergeCell ref="I1288:J1288"/>
    <mergeCell ref="K1288:L1288"/>
    <mergeCell ref="C1276:L1276"/>
    <mergeCell ref="C1277:L1277"/>
    <mergeCell ref="C1278:L1278"/>
    <mergeCell ref="F1220:L1220"/>
    <mergeCell ref="C1221:E1221"/>
    <mergeCell ref="F1221:L1221"/>
    <mergeCell ref="C1222:E1222"/>
    <mergeCell ref="F1222:L1222"/>
    <mergeCell ref="C1256:E1256"/>
    <mergeCell ref="F1256:L1256"/>
    <mergeCell ref="C1185:E1185"/>
    <mergeCell ref="F1185:L1185"/>
    <mergeCell ref="C1186:E1186"/>
    <mergeCell ref="F1186:L1186"/>
    <mergeCell ref="C1208:L1208"/>
    <mergeCell ref="C1209:L1209"/>
    <mergeCell ref="C1210:L1210"/>
    <mergeCell ref="C1211:L1211"/>
    <mergeCell ref="C1237:L1237"/>
    <mergeCell ref="C1213:L1213"/>
    <mergeCell ref="C1219:L1219"/>
    <mergeCell ref="C1224:L1224"/>
    <mergeCell ref="C1225:L1225"/>
    <mergeCell ref="C1261:L1261"/>
    <mergeCell ref="C1262:L1262"/>
    <mergeCell ref="C1263:L1263"/>
    <mergeCell ref="C1239:L1239"/>
    <mergeCell ref="C1240:L1240"/>
    <mergeCell ref="C1241:L1241"/>
    <mergeCell ref="C1242:L1242"/>
    <mergeCell ref="C1243:L1243"/>
    <mergeCell ref="C1236:L1236"/>
    <mergeCell ref="B1238:L1238"/>
    <mergeCell ref="C1244:L1244"/>
    <mergeCell ref="C1245:L1245"/>
    <mergeCell ref="C1246:L1246"/>
    <mergeCell ref="C1248:L1248"/>
    <mergeCell ref="B1250:B1251"/>
    <mergeCell ref="B1252:B1254"/>
    <mergeCell ref="C1252:D1252"/>
    <mergeCell ref="E1252:F1252"/>
    <mergeCell ref="G1252:H1252"/>
    <mergeCell ref="C1168:L1168"/>
    <mergeCell ref="C1170:L1170"/>
    <mergeCell ref="C1171:L1171"/>
    <mergeCell ref="C1172:L1172"/>
    <mergeCell ref="C1173:L1173"/>
    <mergeCell ref="C1174:L1174"/>
    <mergeCell ref="C1175:L1175"/>
    <mergeCell ref="C1176:L1176"/>
    <mergeCell ref="C1177:L1177"/>
    <mergeCell ref="A1157:L1157"/>
    <mergeCell ref="B1158:L1158"/>
    <mergeCell ref="C1159:L1159"/>
    <mergeCell ref="C1162:L1162"/>
    <mergeCell ref="B1166:L1166"/>
    <mergeCell ref="C1169:L1169"/>
    <mergeCell ref="B1178:B1179"/>
    <mergeCell ref="C1184:E1184"/>
    <mergeCell ref="F1184:L1184"/>
    <mergeCell ref="B1180:B1182"/>
    <mergeCell ref="C1180:D1180"/>
    <mergeCell ref="E1180:F1180"/>
    <mergeCell ref="G1180:H1180"/>
    <mergeCell ref="I1180:J1180"/>
    <mergeCell ref="K1180:L1180"/>
    <mergeCell ref="C1181:D1181"/>
    <mergeCell ref="E1181:F1181"/>
    <mergeCell ref="G1181:H1181"/>
    <mergeCell ref="I1181:J1181"/>
    <mergeCell ref="K1181:L1181"/>
    <mergeCell ref="C1182:D1182"/>
    <mergeCell ref="E1182:F1182"/>
    <mergeCell ref="G1182:H1182"/>
    <mergeCell ref="C1189:L1189"/>
    <mergeCell ref="B1187:L1187"/>
    <mergeCell ref="C1188:L1188"/>
    <mergeCell ref="C1190:L1190"/>
    <mergeCell ref="C1191:L1191"/>
    <mergeCell ref="C1144:D1144"/>
    <mergeCell ref="E1144:F1144"/>
    <mergeCell ref="G1144:H1144"/>
    <mergeCell ref="I1144:J1144"/>
    <mergeCell ref="K1144:L1144"/>
    <mergeCell ref="C1145:D1145"/>
    <mergeCell ref="E1145:F1145"/>
    <mergeCell ref="G1145:H1145"/>
    <mergeCell ref="I1145:J1145"/>
    <mergeCell ref="K1145:L1145"/>
    <mergeCell ref="B1144:B1146"/>
    <mergeCell ref="C1146:D1146"/>
    <mergeCell ref="E1146:F1146"/>
    <mergeCell ref="G1146:H1146"/>
    <mergeCell ref="I1146:J1146"/>
    <mergeCell ref="K1146:L1146"/>
    <mergeCell ref="C1147:L1147"/>
    <mergeCell ref="B1151:L1151"/>
    <mergeCell ref="C1152:L1152"/>
    <mergeCell ref="C1153:L1153"/>
    <mergeCell ref="C1154:L1154"/>
    <mergeCell ref="C1155:L1155"/>
    <mergeCell ref="B1160:L1160"/>
    <mergeCell ref="C1183:L1183"/>
    <mergeCell ref="B1184:B1186"/>
    <mergeCell ref="C1165:L1165"/>
    <mergeCell ref="C1167:L1167"/>
    <mergeCell ref="C1091:L1091"/>
    <mergeCell ref="C1092:L1092"/>
    <mergeCell ref="C1093:L1093"/>
    <mergeCell ref="C964:D964"/>
    <mergeCell ref="E964:F964"/>
    <mergeCell ref="G964:H964"/>
    <mergeCell ref="I964:J964"/>
    <mergeCell ref="K964:L964"/>
    <mergeCell ref="C965:D965"/>
    <mergeCell ref="E965:F965"/>
    <mergeCell ref="G965:H965"/>
    <mergeCell ref="I965:J965"/>
    <mergeCell ref="K965:L965"/>
    <mergeCell ref="C966:D966"/>
    <mergeCell ref="E966:F966"/>
    <mergeCell ref="G966:H966"/>
    <mergeCell ref="I966:J966"/>
    <mergeCell ref="K966:L966"/>
    <mergeCell ref="B971:L971"/>
    <mergeCell ref="C1062:L1062"/>
    <mergeCell ref="C1003:L1003"/>
    <mergeCell ref="C1008:L1008"/>
    <mergeCell ref="C1009:L1009"/>
    <mergeCell ref="C1010:L1010"/>
    <mergeCell ref="B1004:B1006"/>
    <mergeCell ref="C1023:L1023"/>
    <mergeCell ref="C969:E969"/>
    <mergeCell ref="F969:L969"/>
    <mergeCell ref="C970:E970"/>
    <mergeCell ref="F970:L970"/>
    <mergeCell ref="C1004:E1004"/>
    <mergeCell ref="F1004:L1004"/>
    <mergeCell ref="C956:L956"/>
    <mergeCell ref="C957:L957"/>
    <mergeCell ref="C958:L958"/>
    <mergeCell ref="C974:L974"/>
    <mergeCell ref="C959:L959"/>
    <mergeCell ref="C960:L960"/>
    <mergeCell ref="C961:L961"/>
    <mergeCell ref="C967:L967"/>
    <mergeCell ref="C991:L991"/>
    <mergeCell ref="C992:L992"/>
    <mergeCell ref="C993:L993"/>
    <mergeCell ref="C994:L994"/>
    <mergeCell ref="C1017:L1017"/>
    <mergeCell ref="C972:L972"/>
    <mergeCell ref="C973:L973"/>
    <mergeCell ref="C975:L975"/>
    <mergeCell ref="A977:L977"/>
    <mergeCell ref="B980:L980"/>
    <mergeCell ref="B1000:B1002"/>
    <mergeCell ref="C1000:D1000"/>
    <mergeCell ref="E1000:F1000"/>
    <mergeCell ref="G1000:H1000"/>
    <mergeCell ref="I1000:J1000"/>
    <mergeCell ref="K1000:L1000"/>
    <mergeCell ref="C1001:D1001"/>
    <mergeCell ref="E1001:F1001"/>
    <mergeCell ref="G1001:H1001"/>
    <mergeCell ref="I1001:J1001"/>
    <mergeCell ref="K1001:L1001"/>
    <mergeCell ref="C1002:D1002"/>
    <mergeCell ref="E1002:F1002"/>
    <mergeCell ref="G1002:H1002"/>
    <mergeCell ref="C253:L253"/>
    <mergeCell ref="C254:L254"/>
    <mergeCell ref="C344:L344"/>
    <mergeCell ref="C346:L346"/>
    <mergeCell ref="C879:L879"/>
    <mergeCell ref="C880:L880"/>
    <mergeCell ref="C881:L881"/>
    <mergeCell ref="C884:L884"/>
    <mergeCell ref="C347:L347"/>
    <mergeCell ref="C348:L348"/>
    <mergeCell ref="C349:L349"/>
    <mergeCell ref="C334:L334"/>
    <mergeCell ref="C335:L335"/>
    <mergeCell ref="C336:L336"/>
    <mergeCell ref="C337:L337"/>
    <mergeCell ref="C341:L341"/>
    <mergeCell ref="C342:L342"/>
    <mergeCell ref="C343:L343"/>
    <mergeCell ref="C345:L345"/>
    <mergeCell ref="C360:L360"/>
    <mergeCell ref="C361:L361"/>
    <mergeCell ref="C362:L362"/>
    <mergeCell ref="C363:L363"/>
    <mergeCell ref="C352:D352"/>
    <mergeCell ref="E352:F352"/>
    <mergeCell ref="C262:L262"/>
    <mergeCell ref="C263:L263"/>
    <mergeCell ref="C264:L264"/>
    <mergeCell ref="C265:L265"/>
    <mergeCell ref="C275:L275"/>
    <mergeCell ref="C276:L276"/>
    <mergeCell ref="E281:F281"/>
    <mergeCell ref="B14:L14"/>
    <mergeCell ref="C15:L15"/>
    <mergeCell ref="C16:L16"/>
    <mergeCell ref="C17:L17"/>
    <mergeCell ref="C23:L23"/>
    <mergeCell ref="C24:L24"/>
    <mergeCell ref="C25:L25"/>
    <mergeCell ref="C36:L36"/>
    <mergeCell ref="C37:L37"/>
    <mergeCell ref="C38:L38"/>
    <mergeCell ref="C39:L39"/>
    <mergeCell ref="C34:E34"/>
    <mergeCell ref="K29:L29"/>
    <mergeCell ref="C30:D30"/>
    <mergeCell ref="B35:L35"/>
    <mergeCell ref="C233:L233"/>
    <mergeCell ref="C139:L139"/>
    <mergeCell ref="C146:L146"/>
    <mergeCell ref="C147:L147"/>
    <mergeCell ref="C153:L153"/>
    <mergeCell ref="C168:L168"/>
    <mergeCell ref="K30:L30"/>
    <mergeCell ref="I28:J28"/>
    <mergeCell ref="I29:J29"/>
    <mergeCell ref="C28:D28"/>
    <mergeCell ref="C57:L57"/>
    <mergeCell ref="C58:L58"/>
    <mergeCell ref="C59:L59"/>
    <mergeCell ref="B42:L42"/>
    <mergeCell ref="C45:L45"/>
    <mergeCell ref="C120:L120"/>
    <mergeCell ref="C121:L121"/>
    <mergeCell ref="E28:F28"/>
    <mergeCell ref="K65:L65"/>
    <mergeCell ref="C66:D66"/>
    <mergeCell ref="E66:F66"/>
    <mergeCell ref="G66:H66"/>
    <mergeCell ref="I66:J66"/>
    <mergeCell ref="K66:L66"/>
    <mergeCell ref="C55:L55"/>
    <mergeCell ref="C56:L56"/>
    <mergeCell ref="C67:L67"/>
    <mergeCell ref="B68:B70"/>
    <mergeCell ref="C68:E68"/>
    <mergeCell ref="F68:L68"/>
    <mergeCell ref="C69:E69"/>
    <mergeCell ref="C298:L298"/>
    <mergeCell ref="C299:L299"/>
    <mergeCell ref="C60:L60"/>
    <mergeCell ref="C61:L61"/>
    <mergeCell ref="B62:B63"/>
    <mergeCell ref="B64:B66"/>
    <mergeCell ref="C162:L162"/>
    <mergeCell ref="C163:L163"/>
    <mergeCell ref="C164:L164"/>
    <mergeCell ref="C165:L165"/>
    <mergeCell ref="C166:L166"/>
    <mergeCell ref="C167:L167"/>
    <mergeCell ref="C145:L145"/>
    <mergeCell ref="C193:L193"/>
    <mergeCell ref="C175:L175"/>
    <mergeCell ref="C181:L181"/>
    <mergeCell ref="C182:L182"/>
    <mergeCell ref="C252:L252"/>
    <mergeCell ref="C311:L311"/>
    <mergeCell ref="C312:L312"/>
    <mergeCell ref="C313:L313"/>
    <mergeCell ref="G316:H316"/>
    <mergeCell ref="I316:J316"/>
    <mergeCell ref="K316:L316"/>
    <mergeCell ref="C317:D317"/>
    <mergeCell ref="E317:F317"/>
    <mergeCell ref="G317:H317"/>
    <mergeCell ref="I317:J317"/>
    <mergeCell ref="K317:L317"/>
    <mergeCell ref="C318:D318"/>
    <mergeCell ref="E318:F318"/>
    <mergeCell ref="G318:H318"/>
    <mergeCell ref="B431:L431"/>
    <mergeCell ref="C432:L432"/>
    <mergeCell ref="C411:L411"/>
    <mergeCell ref="C325:L325"/>
    <mergeCell ref="C319:L319"/>
    <mergeCell ref="C378:L378"/>
    <mergeCell ref="C379:L379"/>
    <mergeCell ref="I389:J389"/>
    <mergeCell ref="K389:L389"/>
    <mergeCell ref="C390:D390"/>
    <mergeCell ref="C408:L408"/>
    <mergeCell ref="C398:L398"/>
    <mergeCell ref="B330:L330"/>
    <mergeCell ref="E390:F390"/>
    <mergeCell ref="G390:H390"/>
    <mergeCell ref="I390:J390"/>
    <mergeCell ref="K390:L390"/>
    <mergeCell ref="C377:L377"/>
    <mergeCell ref="C303:L303"/>
    <mergeCell ref="C304:L304"/>
    <mergeCell ref="C305:L305"/>
    <mergeCell ref="C306:L306"/>
    <mergeCell ref="C307:L307"/>
    <mergeCell ref="C308:L308"/>
    <mergeCell ref="C331:L331"/>
    <mergeCell ref="B332:L332"/>
    <mergeCell ref="C333:L333"/>
    <mergeCell ref="B338:L338"/>
    <mergeCell ref="K353:L353"/>
    <mergeCell ref="C354:D354"/>
    <mergeCell ref="E354:F354"/>
    <mergeCell ref="G354:H354"/>
    <mergeCell ref="I354:J354"/>
    <mergeCell ref="K354:L354"/>
    <mergeCell ref="B356:B358"/>
    <mergeCell ref="C356:E356"/>
    <mergeCell ref="F356:L356"/>
    <mergeCell ref="C357:E357"/>
    <mergeCell ref="B320:B322"/>
    <mergeCell ref="C320:E320"/>
    <mergeCell ref="F320:L320"/>
    <mergeCell ref="C321:E321"/>
    <mergeCell ref="F321:L321"/>
    <mergeCell ref="C322:E322"/>
    <mergeCell ref="F322:L322"/>
    <mergeCell ref="B323:L323"/>
    <mergeCell ref="C324:L324"/>
    <mergeCell ref="C326:L326"/>
    <mergeCell ref="C327:L327"/>
    <mergeCell ref="A329:L329"/>
    <mergeCell ref="C445:L445"/>
    <mergeCell ref="C447:L447"/>
    <mergeCell ref="C448:L448"/>
    <mergeCell ref="C463:L463"/>
    <mergeCell ref="C468:L468"/>
    <mergeCell ref="C469:L469"/>
    <mergeCell ref="B474:L474"/>
    <mergeCell ref="C427:L427"/>
    <mergeCell ref="B428:B430"/>
    <mergeCell ref="C428:E428"/>
    <mergeCell ref="F428:L428"/>
    <mergeCell ref="C429:E429"/>
    <mergeCell ref="F429:L429"/>
    <mergeCell ref="C430:E430"/>
    <mergeCell ref="C454:L454"/>
    <mergeCell ref="F430:L430"/>
    <mergeCell ref="A437:L437"/>
    <mergeCell ref="B440:L440"/>
    <mergeCell ref="B446:L446"/>
    <mergeCell ref="C452:L452"/>
    <mergeCell ref="C453:L453"/>
    <mergeCell ref="C455:L455"/>
    <mergeCell ref="C456:L456"/>
    <mergeCell ref="C457:L457"/>
    <mergeCell ref="I462:J462"/>
    <mergeCell ref="K462:L462"/>
    <mergeCell ref="C619:L619"/>
    <mergeCell ref="C621:L621"/>
    <mergeCell ref="C622:L622"/>
    <mergeCell ref="C623:L623"/>
    <mergeCell ref="C571:L571"/>
    <mergeCell ref="C576:L576"/>
    <mergeCell ref="C607:L607"/>
    <mergeCell ref="C612:L612"/>
    <mergeCell ref="C613:L613"/>
    <mergeCell ref="C614:L614"/>
    <mergeCell ref="C615:L615"/>
    <mergeCell ref="C598:L598"/>
    <mergeCell ref="C511:L511"/>
    <mergeCell ref="C516:L516"/>
    <mergeCell ref="C519:L519"/>
    <mergeCell ref="C520:L520"/>
    <mergeCell ref="C521:L521"/>
    <mergeCell ref="C522:L522"/>
    <mergeCell ref="C540:L540"/>
    <mergeCell ref="C528:L528"/>
    <mergeCell ref="C529:L529"/>
    <mergeCell ref="C535:L535"/>
    <mergeCell ref="C523:L523"/>
    <mergeCell ref="I533:J533"/>
    <mergeCell ref="K533:L533"/>
    <mergeCell ref="C534:D534"/>
    <mergeCell ref="E534:F534"/>
    <mergeCell ref="G534:H534"/>
    <mergeCell ref="I534:J534"/>
    <mergeCell ref="K534:L534"/>
    <mergeCell ref="C527:L527"/>
    <mergeCell ref="C526:L526"/>
    <mergeCell ref="C706:L706"/>
    <mergeCell ref="C707:L707"/>
    <mergeCell ref="C708:L708"/>
    <mergeCell ref="C709:L709"/>
    <mergeCell ref="C713:D713"/>
    <mergeCell ref="E713:F713"/>
    <mergeCell ref="G713:H713"/>
    <mergeCell ref="C643:L643"/>
    <mergeCell ref="C499:L499"/>
    <mergeCell ref="B500:B502"/>
    <mergeCell ref="C500:E500"/>
    <mergeCell ref="F500:L500"/>
    <mergeCell ref="C501:E501"/>
    <mergeCell ref="F501:L501"/>
    <mergeCell ref="C524:L524"/>
    <mergeCell ref="B530:B531"/>
    <mergeCell ref="B532:B534"/>
    <mergeCell ref="C532:D532"/>
    <mergeCell ref="E532:F532"/>
    <mergeCell ref="G532:H532"/>
    <mergeCell ref="I532:J532"/>
    <mergeCell ref="K532:L532"/>
    <mergeCell ref="C533:D533"/>
    <mergeCell ref="E533:F533"/>
    <mergeCell ref="G533:H533"/>
    <mergeCell ref="C562:L562"/>
    <mergeCell ref="C563:L563"/>
    <mergeCell ref="C564:L564"/>
    <mergeCell ref="C565:L565"/>
    <mergeCell ref="B572:B574"/>
    <mergeCell ref="C572:E572"/>
    <mergeCell ref="F572:L572"/>
    <mergeCell ref="B950:L950"/>
    <mergeCell ref="C954:L954"/>
    <mergeCell ref="B962:B963"/>
    <mergeCell ref="B964:B966"/>
    <mergeCell ref="C995:L995"/>
    <mergeCell ref="C996:L996"/>
    <mergeCell ref="B978:L978"/>
    <mergeCell ref="C979:L979"/>
    <mergeCell ref="C981:L981"/>
    <mergeCell ref="C982:L982"/>
    <mergeCell ref="C983:L983"/>
    <mergeCell ref="C984:L984"/>
    <mergeCell ref="C985:L985"/>
    <mergeCell ref="C989:L989"/>
    <mergeCell ref="C751:L751"/>
    <mergeCell ref="C850:L850"/>
    <mergeCell ref="C851:L851"/>
    <mergeCell ref="C852:L852"/>
    <mergeCell ref="C772:L772"/>
    <mergeCell ref="C773:L773"/>
    <mergeCell ref="C775:L775"/>
    <mergeCell ref="C787:L787"/>
    <mergeCell ref="C792:L792"/>
    <mergeCell ref="C793:L793"/>
    <mergeCell ref="C794:L794"/>
    <mergeCell ref="C795:L795"/>
    <mergeCell ref="B806:L806"/>
    <mergeCell ref="C807:L807"/>
    <mergeCell ref="C951:L951"/>
    <mergeCell ref="C952:L952"/>
    <mergeCell ref="C953:L953"/>
    <mergeCell ref="C955:L955"/>
    <mergeCell ref="B3:L3"/>
    <mergeCell ref="A5:L5"/>
    <mergeCell ref="B6:L6"/>
    <mergeCell ref="C7:L7"/>
    <mergeCell ref="B32:B34"/>
    <mergeCell ref="B8:L8"/>
    <mergeCell ref="C9:L9"/>
    <mergeCell ref="C10:L10"/>
    <mergeCell ref="C11:L11"/>
    <mergeCell ref="B26:B27"/>
    <mergeCell ref="C18:L18"/>
    <mergeCell ref="C19:L19"/>
    <mergeCell ref="C20:L20"/>
    <mergeCell ref="C21:L21"/>
    <mergeCell ref="C32:E32"/>
    <mergeCell ref="F32:L32"/>
    <mergeCell ref="C33:E33"/>
    <mergeCell ref="F33:L33"/>
    <mergeCell ref="F34:L34"/>
    <mergeCell ref="C22:L22"/>
    <mergeCell ref="E30:F30"/>
    <mergeCell ref="G30:H30"/>
    <mergeCell ref="B28:B30"/>
    <mergeCell ref="G28:H28"/>
    <mergeCell ref="K28:L28"/>
    <mergeCell ref="C29:D29"/>
    <mergeCell ref="E29:F29"/>
    <mergeCell ref="G29:H29"/>
    <mergeCell ref="I30:J30"/>
    <mergeCell ref="C31:L31"/>
    <mergeCell ref="C12:L12"/>
    <mergeCell ref="C13:L13"/>
    <mergeCell ref="C119:L119"/>
    <mergeCell ref="C96:L96"/>
    <mergeCell ref="C88:L88"/>
    <mergeCell ref="C89:L89"/>
    <mergeCell ref="C91:L91"/>
    <mergeCell ref="C93:L93"/>
    <mergeCell ref="C123:L123"/>
    <mergeCell ref="C124:L124"/>
    <mergeCell ref="C125:L125"/>
    <mergeCell ref="C129:L129"/>
    <mergeCell ref="C131:L131"/>
    <mergeCell ref="C132:L132"/>
    <mergeCell ref="C133:L133"/>
    <mergeCell ref="E173:F173"/>
    <mergeCell ref="G173:H173"/>
    <mergeCell ref="I173:J173"/>
    <mergeCell ref="K173:L173"/>
    <mergeCell ref="C103:L103"/>
    <mergeCell ref="B122:L122"/>
    <mergeCell ref="C126:L126"/>
    <mergeCell ref="C127:L127"/>
    <mergeCell ref="C128:L128"/>
    <mergeCell ref="C130:L130"/>
    <mergeCell ref="B134:B135"/>
    <mergeCell ref="B136:B138"/>
    <mergeCell ref="C136:D136"/>
    <mergeCell ref="E136:F136"/>
    <mergeCell ref="G136:H136"/>
    <mergeCell ref="I136:J136"/>
    <mergeCell ref="K136:L136"/>
    <mergeCell ref="C137:D137"/>
    <mergeCell ref="E137:F137"/>
    <mergeCell ref="I172:J172"/>
    <mergeCell ref="K172:L172"/>
    <mergeCell ref="C173:D173"/>
    <mergeCell ref="B212:B214"/>
    <mergeCell ref="C212:E212"/>
    <mergeCell ref="F212:L212"/>
    <mergeCell ref="C213:E213"/>
    <mergeCell ref="F213:L213"/>
    <mergeCell ref="C214:E214"/>
    <mergeCell ref="F214:L214"/>
    <mergeCell ref="C211:L211"/>
    <mergeCell ref="B194:L194"/>
    <mergeCell ref="C195:L195"/>
    <mergeCell ref="C197:L197"/>
    <mergeCell ref="C198:L198"/>
    <mergeCell ref="C199:L199"/>
    <mergeCell ref="C196:L196"/>
    <mergeCell ref="C208:D208"/>
    <mergeCell ref="E208:F208"/>
    <mergeCell ref="G208:H208"/>
    <mergeCell ref="I208:J208"/>
    <mergeCell ref="K208:L208"/>
    <mergeCell ref="C209:D209"/>
    <mergeCell ref="E209:F209"/>
    <mergeCell ref="G209:H209"/>
    <mergeCell ref="I209:J209"/>
    <mergeCell ref="K209:L209"/>
    <mergeCell ref="C210:D210"/>
    <mergeCell ref="E210:F210"/>
    <mergeCell ref="G210:H210"/>
    <mergeCell ref="I210:J210"/>
    <mergeCell ref="K210:L210"/>
    <mergeCell ref="B215:L215"/>
    <mergeCell ref="C216:L216"/>
    <mergeCell ref="C217:L217"/>
    <mergeCell ref="C218:L218"/>
    <mergeCell ref="C219:L219"/>
    <mergeCell ref="A221:L221"/>
    <mergeCell ref="B222:L222"/>
    <mergeCell ref="C223:L223"/>
    <mergeCell ref="B224:L224"/>
    <mergeCell ref="B230:L230"/>
    <mergeCell ref="C391:L391"/>
    <mergeCell ref="C405:L405"/>
    <mergeCell ref="C406:L406"/>
    <mergeCell ref="B395:L395"/>
    <mergeCell ref="C396:L396"/>
    <mergeCell ref="C397:L397"/>
    <mergeCell ref="C407:L407"/>
    <mergeCell ref="C228:L228"/>
    <mergeCell ref="C229:L229"/>
    <mergeCell ref="C231:L231"/>
    <mergeCell ref="C232:L232"/>
    <mergeCell ref="C225:L225"/>
    <mergeCell ref="C226:L226"/>
    <mergeCell ref="C227:L227"/>
    <mergeCell ref="C297:L297"/>
    <mergeCell ref="C372:L372"/>
    <mergeCell ref="C300:L300"/>
    <mergeCell ref="C309:L309"/>
    <mergeCell ref="B314:B315"/>
    <mergeCell ref="B316:B318"/>
    <mergeCell ref="C316:D316"/>
    <mergeCell ref="E316:F316"/>
    <mergeCell ref="F357:L357"/>
    <mergeCell ref="C358:E358"/>
    <mergeCell ref="F358:L358"/>
    <mergeCell ref="C339:L339"/>
    <mergeCell ref="C340:L340"/>
    <mergeCell ref="C381:L381"/>
    <mergeCell ref="C382:L382"/>
    <mergeCell ref="C383:L383"/>
    <mergeCell ref="C384:L384"/>
    <mergeCell ref="C385:L385"/>
    <mergeCell ref="B386:B387"/>
    <mergeCell ref="B388:B390"/>
    <mergeCell ref="C388:D388"/>
    <mergeCell ref="E388:F388"/>
    <mergeCell ref="C555:L555"/>
    <mergeCell ref="C559:L559"/>
    <mergeCell ref="C561:L561"/>
    <mergeCell ref="C475:L475"/>
    <mergeCell ref="C506:L506"/>
    <mergeCell ref="B476:L476"/>
    <mergeCell ref="C481:L481"/>
    <mergeCell ref="B482:L482"/>
    <mergeCell ref="B494:B495"/>
    <mergeCell ref="B496:B498"/>
    <mergeCell ref="C496:D496"/>
    <mergeCell ref="E496:F496"/>
    <mergeCell ref="B438:L438"/>
    <mergeCell ref="C439:L439"/>
    <mergeCell ref="C441:L441"/>
    <mergeCell ref="C442:L442"/>
    <mergeCell ref="C443:L443"/>
    <mergeCell ref="C444:L444"/>
    <mergeCell ref="C560:L560"/>
    <mergeCell ref="B566:B567"/>
    <mergeCell ref="B568:B570"/>
    <mergeCell ref="C568:D568"/>
    <mergeCell ref="E568:F568"/>
    <mergeCell ref="G568:H568"/>
    <mergeCell ref="I568:J568"/>
    <mergeCell ref="K568:L568"/>
    <mergeCell ref="C569:D569"/>
    <mergeCell ref="E569:F569"/>
    <mergeCell ref="G569:H569"/>
    <mergeCell ref="I569:J569"/>
    <mergeCell ref="K569:L569"/>
    <mergeCell ref="C570:D570"/>
    <mergeCell ref="E570:F570"/>
    <mergeCell ref="G570:H570"/>
    <mergeCell ref="I570:J570"/>
    <mergeCell ref="K570:L570"/>
    <mergeCell ref="C594:L594"/>
    <mergeCell ref="C595:L595"/>
    <mergeCell ref="C596:L596"/>
    <mergeCell ref="C597:L597"/>
    <mergeCell ref="C636:L636"/>
    <mergeCell ref="C637:L637"/>
    <mergeCell ref="C635:L635"/>
    <mergeCell ref="C630:L630"/>
    <mergeCell ref="C588:L588"/>
    <mergeCell ref="C589:L589"/>
    <mergeCell ref="B590:L590"/>
    <mergeCell ref="C591:L591"/>
    <mergeCell ref="C599:L599"/>
    <mergeCell ref="C600:L600"/>
    <mergeCell ref="C601:L601"/>
    <mergeCell ref="B602:B603"/>
    <mergeCell ref="B604:B606"/>
    <mergeCell ref="C604:D604"/>
    <mergeCell ref="E604:F604"/>
    <mergeCell ref="G604:H604"/>
    <mergeCell ref="I604:J604"/>
    <mergeCell ref="K604:L604"/>
    <mergeCell ref="B611:L611"/>
    <mergeCell ref="A617:L617"/>
    <mergeCell ref="B618:L618"/>
    <mergeCell ref="B620:L620"/>
    <mergeCell ref="C624:L624"/>
    <mergeCell ref="C625:L625"/>
    <mergeCell ref="B626:L626"/>
    <mergeCell ref="C627:L627"/>
    <mergeCell ref="C628:L628"/>
    <mergeCell ref="C629:L629"/>
    <mergeCell ref="C669:L669"/>
    <mergeCell ref="C667:L667"/>
    <mergeCell ref="C668:L668"/>
    <mergeCell ref="C670:L670"/>
    <mergeCell ref="C648:L648"/>
    <mergeCell ref="C649:L649"/>
    <mergeCell ref="C650:L650"/>
    <mergeCell ref="C651:L651"/>
    <mergeCell ref="C663:L663"/>
    <mergeCell ref="C664:L664"/>
    <mergeCell ref="C665:L665"/>
    <mergeCell ref="C655:L655"/>
    <mergeCell ref="C657:L657"/>
    <mergeCell ref="C658:L658"/>
    <mergeCell ref="C659:L659"/>
    <mergeCell ref="C660:L660"/>
    <mergeCell ref="C661:L661"/>
    <mergeCell ref="C715:L715"/>
    <mergeCell ref="B716:B718"/>
    <mergeCell ref="C716:E716"/>
    <mergeCell ref="I714:J714"/>
    <mergeCell ref="K714:L714"/>
    <mergeCell ref="C673:L673"/>
    <mergeCell ref="C679:L679"/>
    <mergeCell ref="C684:L684"/>
    <mergeCell ref="B674:B675"/>
    <mergeCell ref="B676:B678"/>
    <mergeCell ref="C676:D676"/>
    <mergeCell ref="E676:F676"/>
    <mergeCell ref="G676:H676"/>
    <mergeCell ref="I676:J676"/>
    <mergeCell ref="K676:L676"/>
    <mergeCell ref="C677:D677"/>
    <mergeCell ref="E677:F677"/>
    <mergeCell ref="G677:H677"/>
    <mergeCell ref="I677:J677"/>
    <mergeCell ref="K677:L677"/>
    <mergeCell ref="C678:D678"/>
    <mergeCell ref="E678:F678"/>
    <mergeCell ref="G678:H678"/>
    <mergeCell ref="I678:J678"/>
    <mergeCell ref="K678:L678"/>
    <mergeCell ref="C703:L703"/>
    <mergeCell ref="C704:L704"/>
    <mergeCell ref="G714:H714"/>
    <mergeCell ref="B680:B682"/>
    <mergeCell ref="C680:E680"/>
    <mergeCell ref="F680:L680"/>
    <mergeCell ref="C681:E681"/>
    <mergeCell ref="C808:L808"/>
    <mergeCell ref="C809:L809"/>
    <mergeCell ref="C810:L810"/>
    <mergeCell ref="C811:L811"/>
    <mergeCell ref="C812:L812"/>
    <mergeCell ref="C813:L813"/>
    <mergeCell ref="C817:L817"/>
    <mergeCell ref="C802:L802"/>
    <mergeCell ref="C815:L815"/>
    <mergeCell ref="C816:L816"/>
    <mergeCell ref="C727:L727"/>
    <mergeCell ref="C731:L731"/>
    <mergeCell ref="C717:E717"/>
    <mergeCell ref="F717:L717"/>
    <mergeCell ref="C718:E718"/>
    <mergeCell ref="F718:L718"/>
    <mergeCell ref="C721:L721"/>
    <mergeCell ref="C733:L733"/>
    <mergeCell ref="C735:L735"/>
    <mergeCell ref="C736:L736"/>
    <mergeCell ref="C740:L740"/>
    <mergeCell ref="C744:L744"/>
    <mergeCell ref="C745:L745"/>
    <mergeCell ref="C741:L741"/>
    <mergeCell ref="C742:L742"/>
    <mergeCell ref="C743:L743"/>
    <mergeCell ref="C771:L771"/>
    <mergeCell ref="C786:D786"/>
    <mergeCell ref="E784:F784"/>
    <mergeCell ref="G784:H784"/>
    <mergeCell ref="I784:J784"/>
    <mergeCell ref="K784:L784"/>
    <mergeCell ref="C938:L938"/>
    <mergeCell ref="C939:L939"/>
    <mergeCell ref="C946:L946"/>
    <mergeCell ref="C948:L948"/>
    <mergeCell ref="I929:J929"/>
    <mergeCell ref="K929:L929"/>
    <mergeCell ref="C930:D930"/>
    <mergeCell ref="C888:L888"/>
    <mergeCell ref="K928:L928"/>
    <mergeCell ref="C929:D929"/>
    <mergeCell ref="E929:F929"/>
    <mergeCell ref="G929:H929"/>
    <mergeCell ref="C928:D928"/>
    <mergeCell ref="E928:F928"/>
    <mergeCell ref="G928:H928"/>
    <mergeCell ref="I928:J928"/>
    <mergeCell ref="E930:F930"/>
    <mergeCell ref="G930:H930"/>
    <mergeCell ref="I930:J930"/>
    <mergeCell ref="C932:E932"/>
    <mergeCell ref="F932:L932"/>
    <mergeCell ref="C933:E933"/>
    <mergeCell ref="F933:L933"/>
    <mergeCell ref="C889:L889"/>
    <mergeCell ref="C892:D892"/>
    <mergeCell ref="E892:F892"/>
    <mergeCell ref="G892:H892"/>
    <mergeCell ref="I892:J892"/>
    <mergeCell ref="K892:L892"/>
    <mergeCell ref="C893:D893"/>
    <mergeCell ref="E893:F893"/>
    <mergeCell ref="G893:H893"/>
    <mergeCell ref="C895:L895"/>
    <mergeCell ref="C903:L903"/>
    <mergeCell ref="B928:B930"/>
    <mergeCell ref="K930:L930"/>
    <mergeCell ref="B926:B927"/>
    <mergeCell ref="B935:L935"/>
    <mergeCell ref="C910:L910"/>
    <mergeCell ref="C912:L912"/>
    <mergeCell ref="C913:L913"/>
    <mergeCell ref="C886:L886"/>
    <mergeCell ref="C887:L887"/>
    <mergeCell ref="C936:L936"/>
    <mergeCell ref="C937:L937"/>
    <mergeCell ref="B890:B891"/>
    <mergeCell ref="B892:B894"/>
    <mergeCell ref="I893:J893"/>
    <mergeCell ref="K893:L893"/>
    <mergeCell ref="C894:D894"/>
    <mergeCell ref="E894:F894"/>
    <mergeCell ref="G894:H894"/>
    <mergeCell ref="I894:J894"/>
    <mergeCell ref="K894:L894"/>
    <mergeCell ref="B896:B898"/>
    <mergeCell ref="C896:E896"/>
    <mergeCell ref="F896:L896"/>
    <mergeCell ref="C897:E897"/>
    <mergeCell ref="F897:L897"/>
    <mergeCell ref="C898:E898"/>
    <mergeCell ref="F898:L898"/>
    <mergeCell ref="B899:L899"/>
    <mergeCell ref="C900:L900"/>
    <mergeCell ref="C901:L901"/>
    <mergeCell ref="C1118:L1118"/>
    <mergeCell ref="C1123:L1123"/>
    <mergeCell ref="C1125:L1125"/>
    <mergeCell ref="C1127:L1127"/>
    <mergeCell ref="C1128:L1128"/>
    <mergeCell ref="B1112:B1114"/>
    <mergeCell ref="C1112:E1112"/>
    <mergeCell ref="F1112:L1112"/>
    <mergeCell ref="C1113:E1113"/>
    <mergeCell ref="F1113:L1113"/>
    <mergeCell ref="C1114:E1114"/>
    <mergeCell ref="F1114:L1114"/>
    <mergeCell ref="B1115:L1115"/>
    <mergeCell ref="C1116:L1116"/>
    <mergeCell ref="C1117:L1117"/>
    <mergeCell ref="C1119:L1119"/>
    <mergeCell ref="A1121:L1121"/>
    <mergeCell ref="B1122:L1122"/>
    <mergeCell ref="B1124:L1124"/>
    <mergeCell ref="C1126:L1126"/>
    <mergeCell ref="C1064:L1064"/>
    <mergeCell ref="C1371:L1371"/>
    <mergeCell ref="C1378:L1378"/>
    <mergeCell ref="C1379:L1379"/>
    <mergeCell ref="C1363:L1363"/>
    <mergeCell ref="B1364:B1366"/>
    <mergeCell ref="B1367:L1367"/>
    <mergeCell ref="A1373:L1373"/>
    <mergeCell ref="B1374:L1374"/>
    <mergeCell ref="C1399:L1399"/>
    <mergeCell ref="B1400:B1402"/>
    <mergeCell ref="C1368:L1368"/>
    <mergeCell ref="C1369:L1369"/>
    <mergeCell ref="C1370:L1370"/>
    <mergeCell ref="C1386:L1386"/>
    <mergeCell ref="C1387:L1387"/>
    <mergeCell ref="C1388:L1388"/>
    <mergeCell ref="C1389:L1389"/>
    <mergeCell ref="C1390:L1390"/>
    <mergeCell ref="C1391:L1391"/>
    <mergeCell ref="C1375:L1375"/>
    <mergeCell ref="B1376:L1376"/>
    <mergeCell ref="C1377:L1377"/>
    <mergeCell ref="B1382:L1382"/>
    <mergeCell ref="C1384:L1384"/>
    <mergeCell ref="B1394:B1395"/>
    <mergeCell ref="B1396:B1398"/>
    <mergeCell ref="C1396:D1396"/>
    <mergeCell ref="E1396:F1396"/>
    <mergeCell ref="G1396:H1396"/>
    <mergeCell ref="I1396:J1396"/>
    <mergeCell ref="C1111:L1111"/>
    <mergeCell ref="C1441:L1441"/>
    <mergeCell ref="C1442:L1442"/>
    <mergeCell ref="A1445:L1445"/>
    <mergeCell ref="C1447:L1447"/>
    <mergeCell ref="C1440:L1440"/>
    <mergeCell ref="C1443:L1443"/>
    <mergeCell ref="B1446:L1446"/>
    <mergeCell ref="C1435:L1435"/>
    <mergeCell ref="C1471:L1471"/>
    <mergeCell ref="C1452:L1452"/>
    <mergeCell ref="C1453:L1453"/>
    <mergeCell ref="C1455:L1455"/>
    <mergeCell ref="C1456:L1456"/>
    <mergeCell ref="C1457:L1457"/>
    <mergeCell ref="C1458:L1458"/>
    <mergeCell ref="C1438:E1438"/>
    <mergeCell ref="F1438:L1438"/>
    <mergeCell ref="B1448:L1448"/>
    <mergeCell ref="C1449:L1449"/>
    <mergeCell ref="C1450:L1450"/>
    <mergeCell ref="C1451:L1451"/>
    <mergeCell ref="B1454:L1454"/>
    <mergeCell ref="C1459:L1459"/>
    <mergeCell ref="C1460:L1460"/>
    <mergeCell ref="C1461:L1461"/>
    <mergeCell ref="C1463:L1463"/>
    <mergeCell ref="B1466:B1467"/>
    <mergeCell ref="B1468:B1470"/>
    <mergeCell ref="C1468:D1468"/>
    <mergeCell ref="I1469:J1469"/>
    <mergeCell ref="K1469:L1469"/>
    <mergeCell ref="C1470:D1470"/>
    <mergeCell ref="C1462:L1462"/>
    <mergeCell ref="C1464:L1464"/>
    <mergeCell ref="C1465:L1465"/>
    <mergeCell ref="C1483:L1483"/>
    <mergeCell ref="C1486:L1486"/>
    <mergeCell ref="C1476:L1476"/>
    <mergeCell ref="C1477:L1477"/>
    <mergeCell ref="C1478:L1478"/>
    <mergeCell ref="C1479:L1479"/>
    <mergeCell ref="C1472:E1472"/>
    <mergeCell ref="F1472:L1472"/>
    <mergeCell ref="C1473:E1473"/>
    <mergeCell ref="F1473:L1473"/>
    <mergeCell ref="C1474:E1474"/>
    <mergeCell ref="F1474:L1474"/>
    <mergeCell ref="E1468:F1468"/>
    <mergeCell ref="G1468:H1468"/>
    <mergeCell ref="I1468:J1468"/>
    <mergeCell ref="K1468:L1468"/>
    <mergeCell ref="C1469:D1469"/>
    <mergeCell ref="E1469:F1469"/>
    <mergeCell ref="G1469:H1469"/>
    <mergeCell ref="E1470:F1470"/>
    <mergeCell ref="G1470:H1470"/>
    <mergeCell ref="I1470:J1470"/>
    <mergeCell ref="K1470:L1470"/>
    <mergeCell ref="G1506:H1506"/>
    <mergeCell ref="I1506:J1506"/>
    <mergeCell ref="K1506:L1506"/>
    <mergeCell ref="B1508:B1510"/>
    <mergeCell ref="C1508:E1508"/>
    <mergeCell ref="F1508:L1508"/>
    <mergeCell ref="C1509:E1509"/>
    <mergeCell ref="F1509:L1509"/>
    <mergeCell ref="C1510:E1510"/>
    <mergeCell ref="F1510:L1510"/>
    <mergeCell ref="B1511:L1511"/>
    <mergeCell ref="C1513:L1513"/>
    <mergeCell ref="A1517:L1517"/>
    <mergeCell ref="C1492:L1492"/>
    <mergeCell ref="C1493:L1493"/>
    <mergeCell ref="C1494:L1494"/>
    <mergeCell ref="C1495:L1495"/>
    <mergeCell ref="C1496:L1496"/>
    <mergeCell ref="C1531:L1531"/>
    <mergeCell ref="C1532:L1532"/>
    <mergeCell ref="C1534:L1534"/>
    <mergeCell ref="C1535:L1535"/>
    <mergeCell ref="C1536:L1536"/>
    <mergeCell ref="C1537:L1537"/>
    <mergeCell ref="B1544:B1546"/>
    <mergeCell ref="C1544:E1544"/>
    <mergeCell ref="F1544:L1544"/>
    <mergeCell ref="C1545:E1545"/>
    <mergeCell ref="F1545:L1545"/>
    <mergeCell ref="C1546:E1546"/>
    <mergeCell ref="F1546:L1546"/>
    <mergeCell ref="C1549:L1549"/>
    <mergeCell ref="A1553:L1553"/>
    <mergeCell ref="B1554:L1554"/>
    <mergeCell ref="C1507:L1507"/>
    <mergeCell ref="C1512:L1512"/>
    <mergeCell ref="C1514:L1514"/>
    <mergeCell ref="C1515:L1515"/>
    <mergeCell ref="C1519:L1519"/>
    <mergeCell ref="C1523:L1523"/>
    <mergeCell ref="C1524:L1524"/>
    <mergeCell ref="C1525:L1525"/>
    <mergeCell ref="C1529:L1529"/>
    <mergeCell ref="B1526:L1526"/>
    <mergeCell ref="C1527:L1527"/>
    <mergeCell ref="C1528:L1528"/>
    <mergeCell ref="C1530:L1530"/>
    <mergeCell ref="C1692:L1692"/>
    <mergeCell ref="B1662:L1662"/>
    <mergeCell ref="C1663:L1663"/>
    <mergeCell ref="B1664:L1664"/>
    <mergeCell ref="C1543:L1543"/>
    <mergeCell ref="B1547:L1547"/>
    <mergeCell ref="C1548:L1548"/>
    <mergeCell ref="C1550:L1550"/>
    <mergeCell ref="C1551:L1551"/>
    <mergeCell ref="C1555:L1555"/>
    <mergeCell ref="B1556:L1556"/>
    <mergeCell ref="C1557:L1557"/>
    <mergeCell ref="C1558:L1558"/>
    <mergeCell ref="C1559:L1559"/>
    <mergeCell ref="C1560:L1560"/>
    <mergeCell ref="C1561:L1561"/>
    <mergeCell ref="C1533:L1533"/>
    <mergeCell ref="C1643:L1643"/>
    <mergeCell ref="C1644:L1644"/>
    <mergeCell ref="C1645:L1645"/>
    <mergeCell ref="C1627:L1627"/>
    <mergeCell ref="C1629:L1629"/>
    <mergeCell ref="C1630:L1630"/>
    <mergeCell ref="C1636:L1636"/>
    <mergeCell ref="C1637:L1637"/>
    <mergeCell ref="C1638:L1638"/>
    <mergeCell ref="C1639:L1639"/>
    <mergeCell ref="C1640:L1640"/>
    <mergeCell ref="C1641:L1641"/>
    <mergeCell ref="B1634:L1634"/>
    <mergeCell ref="C1635:L1635"/>
    <mergeCell ref="C1642:L1642"/>
    <mergeCell ref="C1681:L1681"/>
    <mergeCell ref="C1667:L1667"/>
    <mergeCell ref="C1668:L1668"/>
    <mergeCell ref="C1669:L1669"/>
    <mergeCell ref="C1671:L1671"/>
    <mergeCell ref="C1672:L1672"/>
    <mergeCell ref="C1673:L1673"/>
    <mergeCell ref="C1677:L1677"/>
    <mergeCell ref="C1679:L1679"/>
    <mergeCell ref="C1680:L1680"/>
    <mergeCell ref="B1670:L1670"/>
    <mergeCell ref="C1674:L1674"/>
    <mergeCell ref="C1675:L1675"/>
    <mergeCell ref="C1676:L1676"/>
    <mergeCell ref="C1678:L1678"/>
    <mergeCell ref="B1652:B1654"/>
    <mergeCell ref="C1652:E1652"/>
    <mergeCell ref="F1652:L1652"/>
    <mergeCell ref="C1653:E1653"/>
    <mergeCell ref="F1653:L1653"/>
    <mergeCell ref="C1654:E1654"/>
    <mergeCell ref="F1654:L1654"/>
    <mergeCell ref="B1655:L1655"/>
    <mergeCell ref="C1656:L1656"/>
    <mergeCell ref="C1657:L1657"/>
    <mergeCell ref="C1659:L1659"/>
    <mergeCell ref="A1661:L1661"/>
    <mergeCell ref="C1665:L1665"/>
    <mergeCell ref="C1666:L1666"/>
    <mergeCell ref="C1716:L1716"/>
    <mergeCell ref="C1723:L1723"/>
    <mergeCell ref="C1729:L1729"/>
    <mergeCell ref="C1730:L1730"/>
    <mergeCell ref="C1765:L1765"/>
    <mergeCell ref="C1766:L1766"/>
    <mergeCell ref="C1767:L1767"/>
    <mergeCell ref="C1773:L1773"/>
    <mergeCell ref="C1774:L1774"/>
    <mergeCell ref="C1775:L1775"/>
    <mergeCell ref="C1776:L1776"/>
    <mergeCell ref="C1759:L1759"/>
    <mergeCell ref="C1753:L1753"/>
    <mergeCell ref="C1748:L1748"/>
    <mergeCell ref="C1749:L1749"/>
    <mergeCell ref="C1750:L1750"/>
    <mergeCell ref="C1731:L1731"/>
    <mergeCell ref="C1735:L1735"/>
    <mergeCell ref="C1737:L1737"/>
    <mergeCell ref="C1738:L1738"/>
    <mergeCell ref="C1739:L1739"/>
    <mergeCell ref="C1740:L1740"/>
    <mergeCell ref="C1741:L1741"/>
    <mergeCell ref="C1751:L1751"/>
    <mergeCell ref="C1752:L1752"/>
    <mergeCell ref="C1717:L1717"/>
    <mergeCell ref="B1850:L1850"/>
    <mergeCell ref="C1851:L1851"/>
    <mergeCell ref="C1852:L1852"/>
    <mergeCell ref="C1853:L1853"/>
    <mergeCell ref="C1854:L1854"/>
    <mergeCell ref="C1855:L1855"/>
    <mergeCell ref="C1856:L1856"/>
    <mergeCell ref="C1858:L1858"/>
    <mergeCell ref="C1859:L1859"/>
    <mergeCell ref="C1860:L1860"/>
    <mergeCell ref="C1861:L1861"/>
    <mergeCell ref="C1867:L1867"/>
    <mergeCell ref="C1873:L1873"/>
    <mergeCell ref="C1848:L1848"/>
    <mergeCell ref="C1857:L1857"/>
    <mergeCell ref="B1862:B1863"/>
    <mergeCell ref="B1864:B1866"/>
    <mergeCell ref="C1864:D1864"/>
    <mergeCell ref="E1864:F1864"/>
    <mergeCell ref="G1864:H1864"/>
    <mergeCell ref="I1864:J1864"/>
    <mergeCell ref="K1864:L1864"/>
    <mergeCell ref="C1865:D1865"/>
    <mergeCell ref="E1865:F1865"/>
    <mergeCell ref="G1865:H1865"/>
    <mergeCell ref="I1865:J1865"/>
    <mergeCell ref="K1865:L1865"/>
    <mergeCell ref="C1866:D1866"/>
    <mergeCell ref="E1866:F1866"/>
    <mergeCell ref="G1866:H1866"/>
    <mergeCell ref="I1866:J1866"/>
    <mergeCell ref="B1868:B1870"/>
    <mergeCell ref="C2227:L2227"/>
    <mergeCell ref="C2233:L2233"/>
    <mergeCell ref="C2229:E2229"/>
    <mergeCell ref="F2229:L2229"/>
    <mergeCell ref="C2230:E2230"/>
    <mergeCell ref="I2261:J2261"/>
    <mergeCell ref="K2261:L2261"/>
    <mergeCell ref="C1903:L1903"/>
    <mergeCell ref="C1930:L1930"/>
    <mergeCell ref="C1931:L1931"/>
    <mergeCell ref="C1920:L1920"/>
    <mergeCell ref="C1908:L1908"/>
    <mergeCell ref="C1909:L1909"/>
    <mergeCell ref="C1910:L1910"/>
    <mergeCell ref="C1911:L1911"/>
    <mergeCell ref="C1929:L1929"/>
    <mergeCell ref="C1939:L1939"/>
    <mergeCell ref="B1943:L1943"/>
    <mergeCell ref="C1944:L1944"/>
    <mergeCell ref="C1945:L1945"/>
    <mergeCell ref="C1946:L1946"/>
    <mergeCell ref="C1947:L1947"/>
    <mergeCell ref="C1963:L1963"/>
    <mergeCell ref="C2088:L2088"/>
    <mergeCell ref="C2031:L2031"/>
    <mergeCell ref="C2032:L2032"/>
    <mergeCell ref="C2033:L2033"/>
    <mergeCell ref="C2034:L2034"/>
    <mergeCell ref="C2035:L2035"/>
    <mergeCell ref="C2036:L2036"/>
    <mergeCell ref="C1904:E1904"/>
    <mergeCell ref="F1904:L1904"/>
    <mergeCell ref="G2476:H2476"/>
    <mergeCell ref="B2444:B2446"/>
    <mergeCell ref="B2447:L2447"/>
    <mergeCell ref="C2448:L2448"/>
    <mergeCell ref="C2449:L2449"/>
    <mergeCell ref="C2450:L2450"/>
    <mergeCell ref="A2453:L2453"/>
    <mergeCell ref="C2487:L2487"/>
    <mergeCell ref="C2461:L2461"/>
    <mergeCell ref="C2155:L2155"/>
    <mergeCell ref="C2160:L2160"/>
    <mergeCell ref="C2161:L2161"/>
    <mergeCell ref="C2162:L2162"/>
    <mergeCell ref="C2163:L2163"/>
    <mergeCell ref="C2265:E2265"/>
    <mergeCell ref="F2265:L2265"/>
    <mergeCell ref="C2266:E2266"/>
    <mergeCell ref="F2266:L2266"/>
    <mergeCell ref="C2269:L2269"/>
    <mergeCell ref="C2270:L2270"/>
    <mergeCell ref="C2271:L2271"/>
    <mergeCell ref="C2232:L2232"/>
    <mergeCell ref="C2239:L2239"/>
    <mergeCell ref="C2241:L2241"/>
    <mergeCell ref="C2242:L2242"/>
    <mergeCell ref="C2196:L2196"/>
    <mergeCell ref="C2178:L2178"/>
    <mergeCell ref="C2183:L2183"/>
    <mergeCell ref="C2264:E2264"/>
    <mergeCell ref="F2264:L2264"/>
    <mergeCell ref="B2267:L2267"/>
    <mergeCell ref="C2268:L2268"/>
    <mergeCell ref="E2621:F2621"/>
    <mergeCell ref="G2621:H2621"/>
    <mergeCell ref="I2621:J2621"/>
    <mergeCell ref="K2621:L2621"/>
    <mergeCell ref="C2622:D2622"/>
    <mergeCell ref="E2622:F2622"/>
    <mergeCell ref="G2622:H2622"/>
    <mergeCell ref="I2622:J2622"/>
    <mergeCell ref="K2622:L2622"/>
    <mergeCell ref="A2417:L2417"/>
    <mergeCell ref="B2418:L2418"/>
    <mergeCell ref="B2420:L2420"/>
    <mergeCell ref="C2443:L2443"/>
    <mergeCell ref="C2451:L2451"/>
    <mergeCell ref="C2506:L2506"/>
    <mergeCell ref="C2507:L2507"/>
    <mergeCell ref="C2508:L2508"/>
    <mergeCell ref="C2509:L2509"/>
    <mergeCell ref="C2515:L2515"/>
    <mergeCell ref="C2496:L2496"/>
    <mergeCell ref="B2526:L2526"/>
    <mergeCell ref="C2497:L2497"/>
    <mergeCell ref="C2503:L2503"/>
    <mergeCell ref="C2494:L2494"/>
    <mergeCell ref="C2478:D2478"/>
    <mergeCell ref="E2478:F2478"/>
    <mergeCell ref="C2463:L2463"/>
    <mergeCell ref="C2522:L2522"/>
    <mergeCell ref="C2501:L2501"/>
    <mergeCell ref="C2479:L2479"/>
    <mergeCell ref="B2480:B2482"/>
    <mergeCell ref="E2476:F2476"/>
    <mergeCell ref="C2599:L2599"/>
    <mergeCell ref="C2601:L2601"/>
    <mergeCell ref="C2608:L2608"/>
    <mergeCell ref="B2618:B2619"/>
    <mergeCell ref="C2631:L2631"/>
    <mergeCell ref="A2633:L2633"/>
    <mergeCell ref="B2634:L2634"/>
    <mergeCell ref="G2620:H2620"/>
    <mergeCell ref="I2620:J2620"/>
    <mergeCell ref="K2620:L2620"/>
    <mergeCell ref="C2621:D2621"/>
    <mergeCell ref="C2614:L2614"/>
    <mergeCell ref="C2615:L2615"/>
    <mergeCell ref="C2616:L2616"/>
    <mergeCell ref="C2617:L2617"/>
    <mergeCell ref="B2620:B2622"/>
    <mergeCell ref="C2620:D2620"/>
    <mergeCell ref="E2620:F2620"/>
    <mergeCell ref="C2605:L2605"/>
    <mergeCell ref="B2606:L2606"/>
    <mergeCell ref="C2607:L2607"/>
    <mergeCell ref="C2609:L2609"/>
    <mergeCell ref="C2610:L2610"/>
    <mergeCell ref="B2624:B2626"/>
    <mergeCell ref="C2624:E2624"/>
    <mergeCell ref="F2624:L2624"/>
    <mergeCell ref="C2625:E2625"/>
    <mergeCell ref="F2625:L2625"/>
    <mergeCell ref="C2626:E2626"/>
    <mergeCell ref="F2626:L2626"/>
    <mergeCell ref="B2627:L2627"/>
    <mergeCell ref="C2611:L2611"/>
    <mergeCell ref="B2636:L2636"/>
    <mergeCell ref="C2685:L2685"/>
    <mergeCell ref="C2623:L2623"/>
    <mergeCell ref="C2628:L2628"/>
    <mergeCell ref="C2638:L2638"/>
    <mergeCell ref="C2639:L2639"/>
    <mergeCell ref="C2640:L2640"/>
    <mergeCell ref="C2641:L2641"/>
    <mergeCell ref="G2658:H2658"/>
    <mergeCell ref="I2658:J2658"/>
    <mergeCell ref="K2658:L2658"/>
    <mergeCell ref="I2656:J2656"/>
    <mergeCell ref="K2656:L2656"/>
    <mergeCell ref="C2657:D2657"/>
    <mergeCell ref="E2657:F2657"/>
    <mergeCell ref="G2657:H2657"/>
    <mergeCell ref="I2657:J2657"/>
    <mergeCell ref="C2629:L2629"/>
    <mergeCell ref="C2630:L2630"/>
    <mergeCell ref="C2635:L2635"/>
    <mergeCell ref="C2651:L2651"/>
    <mergeCell ref="C2650:L2650"/>
    <mergeCell ref="C2652:L2652"/>
    <mergeCell ref="C2653:L2653"/>
    <mergeCell ref="B2654:B2655"/>
    <mergeCell ref="B2656:B2658"/>
    <mergeCell ref="C2656:D2656"/>
    <mergeCell ref="E2656:F2656"/>
    <mergeCell ref="K2657:L2657"/>
    <mergeCell ref="C2658:D2658"/>
    <mergeCell ref="E2658:F2658"/>
    <mergeCell ref="C2643:L2643"/>
    <mergeCell ref="C2644:L2644"/>
    <mergeCell ref="B2690:B2691"/>
    <mergeCell ref="B2642:L2642"/>
    <mergeCell ref="C2637:L2637"/>
    <mergeCell ref="B2660:B2662"/>
    <mergeCell ref="C2660:E2660"/>
    <mergeCell ref="F2660:L2660"/>
    <mergeCell ref="C2661:E2661"/>
    <mergeCell ref="F2661:L2661"/>
    <mergeCell ref="C2662:E2662"/>
    <mergeCell ref="F2662:L2662"/>
    <mergeCell ref="C2645:L2645"/>
    <mergeCell ref="C2646:L2646"/>
    <mergeCell ref="C2648:L2648"/>
    <mergeCell ref="C2649:L2649"/>
    <mergeCell ref="C2647:L2647"/>
    <mergeCell ref="B2696:B2698"/>
    <mergeCell ref="C2698:E2698"/>
    <mergeCell ref="F2698:L2698"/>
    <mergeCell ref="C2696:E2696"/>
    <mergeCell ref="F2696:L2696"/>
    <mergeCell ref="C2697:E2697"/>
    <mergeCell ref="F2697:L2697"/>
    <mergeCell ref="C2679:L2679"/>
    <mergeCell ref="C2680:L2680"/>
    <mergeCell ref="C2681:L2681"/>
    <mergeCell ref="C2682:L2682"/>
    <mergeCell ref="C2683:L2683"/>
    <mergeCell ref="C2684:L2684"/>
    <mergeCell ref="C2693:D2693"/>
    <mergeCell ref="C2703:L2703"/>
    <mergeCell ref="B2708:L2708"/>
    <mergeCell ref="C2709:L2709"/>
    <mergeCell ref="C2686:L2686"/>
    <mergeCell ref="C2687:L2687"/>
    <mergeCell ref="C2692:D2692"/>
    <mergeCell ref="E2692:F2692"/>
    <mergeCell ref="G2692:H2692"/>
    <mergeCell ref="I2692:J2692"/>
    <mergeCell ref="K2692:L2692"/>
    <mergeCell ref="B2692:B2694"/>
    <mergeCell ref="C2694:D2694"/>
    <mergeCell ref="E2694:F2694"/>
    <mergeCell ref="G2694:H2694"/>
    <mergeCell ref="C2711:L2711"/>
    <mergeCell ref="C2712:L2712"/>
    <mergeCell ref="C2713:L2713"/>
    <mergeCell ref="C2715:L2715"/>
    <mergeCell ref="B2699:L2699"/>
    <mergeCell ref="A2705:L2705"/>
    <mergeCell ref="B2706:L2706"/>
    <mergeCell ref="C2707:L2707"/>
    <mergeCell ref="C2710:L2710"/>
    <mergeCell ref="B2714:L2714"/>
    <mergeCell ref="B2768:B2770"/>
    <mergeCell ref="C2768:E2768"/>
    <mergeCell ref="F2768:L2768"/>
    <mergeCell ref="C2769:E2769"/>
    <mergeCell ref="F2769:L2769"/>
    <mergeCell ref="C2770:E2770"/>
    <mergeCell ref="F2770:L2770"/>
    <mergeCell ref="C2733:E2733"/>
    <mergeCell ref="F2733:L2733"/>
    <mergeCell ref="C2739:L2739"/>
    <mergeCell ref="A2741:L2741"/>
    <mergeCell ref="I2728:J2728"/>
    <mergeCell ref="K2728:L2728"/>
    <mergeCell ref="C2729:D2729"/>
    <mergeCell ref="E2729:F2729"/>
    <mergeCell ref="G2729:H2729"/>
    <mergeCell ref="I2729:J2729"/>
    <mergeCell ref="K2729:L2729"/>
    <mergeCell ref="C2730:D2730"/>
    <mergeCell ref="C2716:L2716"/>
    <mergeCell ref="E2765:F2765"/>
    <mergeCell ref="G2765:H2765"/>
    <mergeCell ref="I2765:J2765"/>
    <mergeCell ref="K2765:L2765"/>
    <mergeCell ref="C2767:L2767"/>
    <mergeCell ref="K2801:L2801"/>
    <mergeCell ref="C2718:L2718"/>
    <mergeCell ref="C2719:L2719"/>
    <mergeCell ref="C2720:L2720"/>
    <mergeCell ref="C2721:L2721"/>
    <mergeCell ref="C2722:L2722"/>
    <mergeCell ref="C2723:L2723"/>
    <mergeCell ref="C2724:L2724"/>
    <mergeCell ref="C2725:L2725"/>
    <mergeCell ref="C2737:L2737"/>
    <mergeCell ref="C2731:L2731"/>
    <mergeCell ref="C2757:L2757"/>
    <mergeCell ref="C2758:L2758"/>
    <mergeCell ref="C2759:L2759"/>
    <mergeCell ref="C2761:L2761"/>
    <mergeCell ref="B2726:B2727"/>
    <mergeCell ref="B2728:B2730"/>
    <mergeCell ref="C2728:D2728"/>
    <mergeCell ref="E2728:F2728"/>
    <mergeCell ref="G2728:H2728"/>
    <mergeCell ref="C2752:L2752"/>
    <mergeCell ref="C2754:L2754"/>
    <mergeCell ref="C2755:L2755"/>
    <mergeCell ref="C2756:L2756"/>
    <mergeCell ref="C2751:L2751"/>
    <mergeCell ref="C2753:L2753"/>
    <mergeCell ref="F2732:L2732"/>
    <mergeCell ref="E2730:F2730"/>
    <mergeCell ref="G2730:H2730"/>
    <mergeCell ref="I2730:J2730"/>
    <mergeCell ref="K2730:L2730"/>
    <mergeCell ref="C2734:E2734"/>
    <mergeCell ref="C2772:L2772"/>
    <mergeCell ref="C2773:L2773"/>
    <mergeCell ref="C2779:L2779"/>
    <mergeCell ref="C2789:L2789"/>
    <mergeCell ref="C2790:L2790"/>
    <mergeCell ref="C2791:L2791"/>
    <mergeCell ref="B2771:L2771"/>
    <mergeCell ref="C2774:L2774"/>
    <mergeCell ref="C2775:L2775"/>
    <mergeCell ref="A2777:L2777"/>
    <mergeCell ref="B2778:L2778"/>
    <mergeCell ref="B2780:L2780"/>
    <mergeCell ref="C2781:L2781"/>
    <mergeCell ref="C2782:L2782"/>
    <mergeCell ref="C2783:L2783"/>
    <mergeCell ref="C2784:L2784"/>
    <mergeCell ref="B2786:L2786"/>
    <mergeCell ref="C2787:L2787"/>
    <mergeCell ref="C2788:L2788"/>
    <mergeCell ref="C2844:L2844"/>
    <mergeCell ref="C2824:L2824"/>
    <mergeCell ref="C2825:L2825"/>
    <mergeCell ref="C2826:L2826"/>
    <mergeCell ref="C2827:L2827"/>
    <mergeCell ref="C2839:L2839"/>
    <mergeCell ref="B2840:B2842"/>
    <mergeCell ref="C2840:E2840"/>
    <mergeCell ref="F2840:L2840"/>
    <mergeCell ref="C2845:L2845"/>
    <mergeCell ref="C2847:L2847"/>
    <mergeCell ref="C2828:L2828"/>
    <mergeCell ref="C2829:L2829"/>
    <mergeCell ref="C2830:L2830"/>
    <mergeCell ref="C2831:L2831"/>
    <mergeCell ref="C2832:L2832"/>
    <mergeCell ref="C2833:L2833"/>
    <mergeCell ref="C2841:E2841"/>
    <mergeCell ref="F2841:L2841"/>
    <mergeCell ref="C2842:E2842"/>
    <mergeCell ref="F2842:L2842"/>
    <mergeCell ref="B2843:L2843"/>
    <mergeCell ref="C2846:L2846"/>
    <mergeCell ref="C2499:L2499"/>
    <mergeCell ref="C2500:L2500"/>
    <mergeCell ref="C2493:L2493"/>
    <mergeCell ref="C2495:L2495"/>
    <mergeCell ref="B2498:L2498"/>
    <mergeCell ref="F2518:L2518"/>
    <mergeCell ref="A2525:L2525"/>
    <mergeCell ref="B2528:L2528"/>
    <mergeCell ref="B791:L791"/>
    <mergeCell ref="A797:L797"/>
    <mergeCell ref="B798:L798"/>
    <mergeCell ref="C799:L799"/>
    <mergeCell ref="B800:L800"/>
    <mergeCell ref="C801:L801"/>
    <mergeCell ref="C803:L803"/>
    <mergeCell ref="C804:L804"/>
    <mergeCell ref="C805:L805"/>
    <mergeCell ref="C814:L814"/>
    <mergeCell ref="K822:L822"/>
    <mergeCell ref="B824:B826"/>
    <mergeCell ref="C824:E824"/>
    <mergeCell ref="F824:L824"/>
    <mergeCell ref="C934:E934"/>
    <mergeCell ref="F934:L934"/>
    <mergeCell ref="C968:E968"/>
    <mergeCell ref="B2454:L2454"/>
    <mergeCell ref="B2456:L2456"/>
    <mergeCell ref="C2459:L2459"/>
    <mergeCell ref="B2462:L2462"/>
    <mergeCell ref="B2492:L2492"/>
    <mergeCell ref="C2407:L2407"/>
    <mergeCell ref="B2411:L2411"/>
    <mergeCell ref="F968:L968"/>
    <mergeCell ref="C949:L949"/>
    <mergeCell ref="A941:L941"/>
    <mergeCell ref="B942:L942"/>
    <mergeCell ref="C943:L943"/>
    <mergeCell ref="B944:L944"/>
    <mergeCell ref="C945:L945"/>
    <mergeCell ref="C947:L947"/>
    <mergeCell ref="C931:L931"/>
    <mergeCell ref="B932:B934"/>
    <mergeCell ref="C1148:E1148"/>
    <mergeCell ref="F1148:L1148"/>
    <mergeCell ref="C1149:E1149"/>
    <mergeCell ref="F1149:L1149"/>
    <mergeCell ref="C1129:L1129"/>
    <mergeCell ref="C1131:L1131"/>
    <mergeCell ref="C1132:L1132"/>
    <mergeCell ref="C1133:L1133"/>
    <mergeCell ref="C1134:L1134"/>
    <mergeCell ref="C1135:L1135"/>
    <mergeCell ref="C1136:L1136"/>
    <mergeCell ref="C1137:L1137"/>
    <mergeCell ref="C1138:L1138"/>
    <mergeCell ref="C1139:L1139"/>
    <mergeCell ref="B1130:L1130"/>
    <mergeCell ref="C1140:L1140"/>
    <mergeCell ref="C1141:L1141"/>
    <mergeCell ref="B1142:B1143"/>
    <mergeCell ref="B1148:B1150"/>
    <mergeCell ref="C1150:E1150"/>
    <mergeCell ref="F1150:L1150"/>
    <mergeCell ref="C1063:L1063"/>
    <mergeCell ref="F1436:L1436"/>
    <mergeCell ref="C1437:E1437"/>
    <mergeCell ref="F1437:L1437"/>
    <mergeCell ref="C2529:L2529"/>
    <mergeCell ref="C2530:L2530"/>
    <mergeCell ref="C2531:L2531"/>
    <mergeCell ref="C1257:E1257"/>
    <mergeCell ref="F1257:L1257"/>
    <mergeCell ref="C1258:E1258"/>
    <mergeCell ref="F1258:L1258"/>
    <mergeCell ref="C1292:E1292"/>
    <mergeCell ref="F1292:L1292"/>
    <mergeCell ref="C1293:E1293"/>
    <mergeCell ref="F1293:L1293"/>
    <mergeCell ref="C1294:E1294"/>
    <mergeCell ref="F1294:L1294"/>
    <mergeCell ref="E1253:F1253"/>
    <mergeCell ref="G1253:H1253"/>
    <mergeCell ref="I1253:J1253"/>
    <mergeCell ref="K1253:L1253"/>
    <mergeCell ref="C1254:D1254"/>
    <mergeCell ref="E1254:F1254"/>
    <mergeCell ref="G1254:H1254"/>
    <mergeCell ref="I1254:J1254"/>
    <mergeCell ref="K1254:L1254"/>
    <mergeCell ref="I2476:J2476"/>
    <mergeCell ref="K2476:L2476"/>
    <mergeCell ref="C2477:D2477"/>
    <mergeCell ref="E2477:F2477"/>
    <mergeCell ref="G2477:H2477"/>
    <mergeCell ref="I2477:J2477"/>
    <mergeCell ref="K2477:L2477"/>
    <mergeCell ref="C2532:L2532"/>
    <mergeCell ref="C2516:E2516"/>
    <mergeCell ref="F2516:L2516"/>
    <mergeCell ref="C2517:E2517"/>
    <mergeCell ref="F2517:L2517"/>
    <mergeCell ref="C2518:E2518"/>
    <mergeCell ref="C1247:L1247"/>
    <mergeCell ref="C1249:L1249"/>
    <mergeCell ref="C1255:L1255"/>
    <mergeCell ref="I1252:J1252"/>
    <mergeCell ref="K1252:L1252"/>
    <mergeCell ref="C1253:D1253"/>
    <mergeCell ref="B2534:L2534"/>
    <mergeCell ref="C2535:L2535"/>
    <mergeCell ref="C2536:L2536"/>
    <mergeCell ref="C2538:L2538"/>
    <mergeCell ref="C2527:L2527"/>
    <mergeCell ref="C2533:L2533"/>
    <mergeCell ref="F1330:L1330"/>
    <mergeCell ref="C1364:E1364"/>
    <mergeCell ref="F1364:L1364"/>
    <mergeCell ref="C1365:E1365"/>
    <mergeCell ref="F1365:L1365"/>
    <mergeCell ref="C1366:E1366"/>
    <mergeCell ref="F1366:L1366"/>
    <mergeCell ref="C1400:E1400"/>
    <mergeCell ref="F1400:L1400"/>
    <mergeCell ref="C1401:E1401"/>
    <mergeCell ref="F1401:L1401"/>
    <mergeCell ref="C1402:E1402"/>
    <mergeCell ref="F1402:L1402"/>
    <mergeCell ref="C1436:E1436"/>
  </mergeCells>
  <dataValidations count="1">
    <dataValidation type="list" allowBlank="1" showInputMessage="1" showErrorMessage="1" sqref="C11 C47 C83 C119 C155 C191 C227 C263 C299 C335 C371 C407 C443 C479 C515 C551 C587 C623 C659 C695 C731 C767 C803 C839 C875 C911 C947 C983 C1019 C1055 C1091 C1127 C1163 C1199 C1235 C1271 C1307 C1343 C1379 C1415 C1451 C1487 C1523 C1559 C1595 C1631 C1667 C1703 C1739 C1775 C1811 C1847 C1883 C1919 C1955 C1991 C2027 C2063 C2099 C2135 C2171 C2207 C2243 C2279 C2315 C2351 C2387 C2423 C2459 C2495 C2531 C2567 C2603 C2639 C2675 C2711 C2747 C2783 C2819" xr:uid="{00000000-0002-0000-0200-000000000000}">
      <formula1>INDIRECT(#REF!)</formula1>
    </dataValidation>
  </dataValidations>
  <hyperlinks>
    <hyperlink ref="C38:L38" r:id="rId1" display="juliana.guerrero@mininterior.gov.co" xr:uid="{00000000-0004-0000-0200-000000000000}"/>
    <hyperlink ref="C74:L74" r:id="rId2" display="juliana.guerrero@mininterior.gov.co" xr:uid="{00000000-0004-0000-0200-000001000000}"/>
    <hyperlink ref="C110:L110" r:id="rId3" display="juliana.guerrero@mininterior.gov.co" xr:uid="{00000000-0004-0000-0200-000002000000}"/>
    <hyperlink ref="C146:L146" r:id="rId4" display="juliana.guerrero@mininterior.gov.co" xr:uid="{00000000-0004-0000-0200-000003000000}"/>
    <hyperlink ref="C182:L182" r:id="rId5" display="juliana.guerrero@mininterior.gov.co" xr:uid="{00000000-0004-0000-0200-000004000000}"/>
    <hyperlink ref="C218:L218" r:id="rId6" display="juliana.guerrero@mininterior.gov.co" xr:uid="{00000000-0004-0000-0200-000005000000}"/>
    <hyperlink ref="C254:L254" r:id="rId7" display="juliana.guerrero@mininterior.gov.co" xr:uid="{00000000-0004-0000-0200-000006000000}"/>
    <hyperlink ref="C290:L290" r:id="rId8" display="juliana.guerrero@mininterior.gov.co" xr:uid="{00000000-0004-0000-0200-000007000000}"/>
    <hyperlink ref="C326:L326" r:id="rId9" display="juliana.guerrero@mininterior.gov.co" xr:uid="{00000000-0004-0000-0200-000008000000}"/>
    <hyperlink ref="C362:L362" r:id="rId10" display="juliana.guerrero@mininterior.gov.co" xr:uid="{00000000-0004-0000-0200-000009000000}"/>
    <hyperlink ref="C398:L398" r:id="rId11" display="juliana.guerrero@mininterior.gov.co" xr:uid="{00000000-0004-0000-0200-00000A000000}"/>
    <hyperlink ref="C434:L434" r:id="rId12" display="juliana.guerrero@mininterior.gov.co" xr:uid="{00000000-0004-0000-0200-00000B000000}"/>
    <hyperlink ref="C470:L470" r:id="rId13" display="juliana.guerrero@mininterior.gov.co" xr:uid="{00000000-0004-0000-0200-00000C000000}"/>
    <hyperlink ref="C506:L506" r:id="rId14" display="juliana.guerrero@mininterior.gov.co" xr:uid="{00000000-0004-0000-0200-00000D000000}"/>
    <hyperlink ref="C542:L542" r:id="rId15" display="juliana.guerrero@mininterior.gov.co" xr:uid="{00000000-0004-0000-0200-00000E000000}"/>
    <hyperlink ref="C578:L578" r:id="rId16" display="juliana.guerrero@mininterior.gov.co" xr:uid="{00000000-0004-0000-0200-00000F000000}"/>
    <hyperlink ref="C614:L614" r:id="rId17" display="juliana.guerrero@mininterior.gov.co" xr:uid="{00000000-0004-0000-0200-000010000000}"/>
    <hyperlink ref="C650:L650" r:id="rId18" display="juliana.guerrero@mininterior.gov.co" xr:uid="{00000000-0004-0000-0200-000011000000}"/>
    <hyperlink ref="C686:L686" r:id="rId19" display="juliana.guerrero@mininterior.gov.co" xr:uid="{00000000-0004-0000-0200-000012000000}"/>
    <hyperlink ref="C722:L722" r:id="rId20" display="juliana.guerrero@mininterior.gov.co" xr:uid="{00000000-0004-0000-0200-000013000000}"/>
    <hyperlink ref="C758:L758" r:id="rId21" display="juliana.guerrero@mininterior.gov.co" xr:uid="{00000000-0004-0000-0200-000014000000}"/>
    <hyperlink ref="C794:L794" r:id="rId22" display="juliana.guerrero@mininterior.gov.co" xr:uid="{00000000-0004-0000-0200-000015000000}"/>
    <hyperlink ref="C830:L830" r:id="rId23" display="juliana.guerrero@mininterior.gov.co" xr:uid="{00000000-0004-0000-0200-000016000000}"/>
    <hyperlink ref="C866:L866" r:id="rId24" display="juliana.guerrero@mininterior.gov.co" xr:uid="{00000000-0004-0000-0200-000017000000}"/>
    <hyperlink ref="C902:L902" r:id="rId25" display="juliana.guerrero@mininterior.gov.co" xr:uid="{00000000-0004-0000-0200-000018000000}"/>
    <hyperlink ref="C938:L938" r:id="rId26" display="juliana.guerrero@mininterior.gov.co" xr:uid="{00000000-0004-0000-0200-000019000000}"/>
    <hyperlink ref="C974:L974" r:id="rId27" display="juliana.guerrero@mininterior.gov.co" xr:uid="{00000000-0004-0000-0200-00001A000000}"/>
    <hyperlink ref="C1010:L1010" r:id="rId28" display="juliana.guerrero@mininterior.gov.co" xr:uid="{00000000-0004-0000-0200-00001B000000}"/>
    <hyperlink ref="C1046:L1046" r:id="rId29" display="juliana.guerrero@mininterior.gov.co" xr:uid="{00000000-0004-0000-0200-00001C000000}"/>
    <hyperlink ref="C1082:L1082" r:id="rId30" display="juliana.guerrero@mininterior.gov.co" xr:uid="{00000000-0004-0000-0200-00001D000000}"/>
    <hyperlink ref="C1118:L1118" r:id="rId31" display="juliana.guerrero@mininterior.gov.co" xr:uid="{00000000-0004-0000-0200-00001E000000}"/>
    <hyperlink ref="C1154:L1154" r:id="rId32" display="juliana.guerrero@mininterior.gov.co" xr:uid="{00000000-0004-0000-0200-00001F000000}"/>
    <hyperlink ref="C1190:L1190" r:id="rId33" display="juliana.guerrero@mininterior.gov.co" xr:uid="{00000000-0004-0000-0200-000020000000}"/>
    <hyperlink ref="C1226:L1226" r:id="rId34" display="juliana.guerrero@mininterior.gov.co" xr:uid="{00000000-0004-0000-0200-000021000000}"/>
    <hyperlink ref="C1262:L1262" r:id="rId35" display="juliana.guerrero@mininterior.gov.co" xr:uid="{00000000-0004-0000-0200-000022000000}"/>
    <hyperlink ref="C1298:L1298" r:id="rId36" display="juliana.guerrero@mininterior.gov.co" xr:uid="{00000000-0004-0000-0200-000023000000}"/>
    <hyperlink ref="C1334:L1334" r:id="rId37" display="juliana.guerrero@mininterior.gov.co" xr:uid="{00000000-0004-0000-0200-000024000000}"/>
    <hyperlink ref="C1370:L1370" r:id="rId38" display="juliana.guerrero@mininterior.gov.co" xr:uid="{00000000-0004-0000-0200-000025000000}"/>
    <hyperlink ref="C1406:L1406" r:id="rId39" display="juliana.guerrero@mininterior.gov.co" xr:uid="{00000000-0004-0000-0200-000026000000}"/>
    <hyperlink ref="C1442:L1442" r:id="rId40" display="juliana.guerrero@mininterior.gov.co" xr:uid="{00000000-0004-0000-0200-000027000000}"/>
    <hyperlink ref="C1478:L1478" r:id="rId41" display="juliana.guerrero@mininterior.gov.co" xr:uid="{00000000-0004-0000-0200-000028000000}"/>
    <hyperlink ref="C1514:L1514" r:id="rId42" display="juliana.guerrero@mininterior.gov.co" xr:uid="{00000000-0004-0000-0200-000029000000}"/>
    <hyperlink ref="C1550:L1550" r:id="rId43" display="juliana.guerrero@mininterior.gov.co" xr:uid="{00000000-0004-0000-0200-00002A000000}"/>
    <hyperlink ref="C1586:L1586" r:id="rId44" display="juliana.guerrero@mininterior.gov.co" xr:uid="{00000000-0004-0000-0200-00002B000000}"/>
    <hyperlink ref="C1622:L1622" r:id="rId45" display="juliana.guerrero@mininterior.gov.co" xr:uid="{00000000-0004-0000-0200-00002C000000}"/>
    <hyperlink ref="C1658:L1658" r:id="rId46" display="juliana.guerrero@mininterior.gov.co" xr:uid="{00000000-0004-0000-0200-00002D000000}"/>
    <hyperlink ref="C1694:L1694" r:id="rId47" display="juliana.guerrero@mininterior.gov.co" xr:uid="{00000000-0004-0000-0200-00002E000000}"/>
    <hyperlink ref="C1730:L1730" r:id="rId48" display="juliana.guerrero@mininterior.gov.co" xr:uid="{00000000-0004-0000-0200-00002F000000}"/>
    <hyperlink ref="C1766:L1766" r:id="rId49" display="juliana.guerrero@mininterior.gov.co" xr:uid="{00000000-0004-0000-0200-000030000000}"/>
    <hyperlink ref="C1802:L1802" r:id="rId50" display="juliana.guerrero@mininterior.gov.co" xr:uid="{00000000-0004-0000-0200-000031000000}"/>
    <hyperlink ref="C1838:L1838" r:id="rId51" display="juliana.guerrero@mininterior.gov.co" xr:uid="{00000000-0004-0000-0200-000032000000}"/>
    <hyperlink ref="C1874:L1874" r:id="rId52" display="juliana.guerrero@mininterior.gov.co" xr:uid="{00000000-0004-0000-0200-000033000000}"/>
    <hyperlink ref="C1910:L1910" r:id="rId53" display="juliana.guerrero@mininterior.gov.co" xr:uid="{00000000-0004-0000-0200-000034000000}"/>
    <hyperlink ref="C1946:L1946" r:id="rId54" display="juliana.guerrero@mininterior.gov.co" xr:uid="{00000000-0004-0000-0200-000035000000}"/>
    <hyperlink ref="C1982:L1982" r:id="rId55" display="juliana.guerrero@mininterior.gov.co" xr:uid="{00000000-0004-0000-0200-000036000000}"/>
    <hyperlink ref="C2018:L2018" r:id="rId56" display="juliana.guerrero@mininterior.gov.co" xr:uid="{00000000-0004-0000-0200-000037000000}"/>
    <hyperlink ref="C2054:L2054" r:id="rId57" display="juliana.guerrero@mininterior.gov.co" xr:uid="{00000000-0004-0000-0200-000038000000}"/>
    <hyperlink ref="C2090:L2090" r:id="rId58" display="juliana.guerrero@mininterior.gov.co" xr:uid="{00000000-0004-0000-0200-000039000000}"/>
    <hyperlink ref="C2126:L2126" r:id="rId59" display="juliana.guerrero@mininterior.gov.co" xr:uid="{00000000-0004-0000-0200-00003A000000}"/>
    <hyperlink ref="C2162:L2162" r:id="rId60" display="juliana.guerrero@mininterior.gov.co" xr:uid="{00000000-0004-0000-0200-00003B000000}"/>
    <hyperlink ref="C2198:L2198" r:id="rId61" display="juliana.guerrero@mininterior.gov.co" xr:uid="{00000000-0004-0000-0200-00003C000000}"/>
    <hyperlink ref="C2234:L2234" r:id="rId62" display="juliana.guerrero@mininterior.gov.co" xr:uid="{00000000-0004-0000-0200-00003D000000}"/>
    <hyperlink ref="C2270:L2270" r:id="rId63" display="juliana.guerrero@mininterior.gov.co" xr:uid="{00000000-0004-0000-0200-00003E000000}"/>
    <hyperlink ref="C2306:L2306" r:id="rId64" display="juliana.guerrero@mininterior.gov.co" xr:uid="{00000000-0004-0000-0200-00003F000000}"/>
    <hyperlink ref="C2342:L2342" r:id="rId65" display="juliana.guerrero@mininterior.gov.co" xr:uid="{00000000-0004-0000-0200-000040000000}"/>
    <hyperlink ref="C2378:L2378" r:id="rId66" display="juliana.guerrero@mininterior.gov.co" xr:uid="{00000000-0004-0000-0200-000041000000}"/>
    <hyperlink ref="C2414:L2414" r:id="rId67" display="juliana.guerrero@mininterior.gov.co" xr:uid="{00000000-0004-0000-0200-000042000000}"/>
    <hyperlink ref="C2450:L2450" r:id="rId68" display="juliana.guerrero@mininterior.gov.co" xr:uid="{00000000-0004-0000-0200-000043000000}"/>
    <hyperlink ref="C2486:L2486" r:id="rId69" display="juliana.guerrero@mininterior.gov.co" xr:uid="{00000000-0004-0000-0200-000044000000}"/>
    <hyperlink ref="C2522:L2522" r:id="rId70" display="juliana.guerrero@mininterior.gov.co" xr:uid="{00000000-0004-0000-0200-000045000000}"/>
    <hyperlink ref="C2558:L2558" r:id="rId71" display="juliana.guerrero@mininterior.gov.co" xr:uid="{00000000-0004-0000-0200-000046000000}"/>
    <hyperlink ref="C2594:L2594" r:id="rId72" display="juliana.guerrero@mininterior.gov.co" xr:uid="{00000000-0004-0000-0200-000047000000}"/>
    <hyperlink ref="C2630:L2630" r:id="rId73" display="juliana.guerrero@mininterior.gov.co" xr:uid="{00000000-0004-0000-0200-000048000000}"/>
    <hyperlink ref="C2666:L2666" r:id="rId74" display="juliana.guerrero@mininterior.gov.co" xr:uid="{00000000-0004-0000-0200-000049000000}"/>
    <hyperlink ref="C2702:L2702" r:id="rId75" display="juliana.guerrero@mininterior.gov.co" xr:uid="{00000000-0004-0000-0200-00004A000000}"/>
    <hyperlink ref="C2738:L2738" r:id="rId76" display="juliana.guerrero@mininterior.gov.co" xr:uid="{00000000-0004-0000-0200-00004B000000}"/>
    <hyperlink ref="C2774:L2774" r:id="rId77" display="juliana.guerrero@mininterior.gov.co" xr:uid="{00000000-0004-0000-0200-00004C000000}"/>
    <hyperlink ref="C2810:L2810" r:id="rId78" display="juliana.guerrero@mininterior.gov.co" xr:uid="{00000000-0004-0000-0200-00004D000000}"/>
    <hyperlink ref="C2846:L2846" r:id="rId79" display="juliana.guerrero@mininterior.gov.co" xr:uid="{00000000-0004-0000-0200-00004E000000}"/>
  </hyperlinks>
  <pageMargins left="0.7" right="0.7" top="0.75" bottom="0.75" header="0.3" footer="0.3"/>
  <pageSetup orientation="portrait" r:id="rId80"/>
  <drawing r:id="rId8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B1:H30"/>
  <sheetViews>
    <sheetView topLeftCell="B1" workbookViewId="0">
      <selection activeCell="F23" sqref="F23"/>
    </sheetView>
  </sheetViews>
  <sheetFormatPr baseColWidth="10" defaultColWidth="11.42578125" defaultRowHeight="15"/>
  <cols>
    <col min="2" max="2" width="72.85546875" customWidth="1"/>
    <col min="4" max="4" width="40.42578125" customWidth="1"/>
    <col min="5" max="5" width="15.7109375" customWidth="1"/>
    <col min="6" max="8" width="40.42578125" customWidth="1"/>
  </cols>
  <sheetData>
    <row r="1" spans="2:8" ht="15.75" thickBot="1"/>
    <row r="2" spans="2:8" ht="15.75" thickBot="1">
      <c r="B2" s="130" t="s">
        <v>225</v>
      </c>
      <c r="D2" s="130" t="s">
        <v>226</v>
      </c>
      <c r="F2" s="130" t="s">
        <v>227</v>
      </c>
      <c r="H2" s="130" t="s">
        <v>228</v>
      </c>
    </row>
    <row r="3" spans="2:8" ht="15.75" thickBot="1">
      <c r="B3" s="131" t="s">
        <v>11</v>
      </c>
      <c r="D3" s="130" t="s">
        <v>229</v>
      </c>
      <c r="F3" s="130" t="s">
        <v>230</v>
      </c>
      <c r="H3" s="130" t="s">
        <v>231</v>
      </c>
    </row>
    <row r="4" spans="2:8" ht="15.75" thickBot="1">
      <c r="B4" s="131" t="s">
        <v>86</v>
      </c>
      <c r="D4" s="130" t="s">
        <v>232</v>
      </c>
      <c r="F4" s="130" t="s">
        <v>233</v>
      </c>
      <c r="H4" s="130" t="s">
        <v>234</v>
      </c>
    </row>
    <row r="5" spans="2:8" ht="15.75" thickBot="1">
      <c r="B5" s="131" t="s">
        <v>23</v>
      </c>
      <c r="D5" s="130" t="s">
        <v>235</v>
      </c>
      <c r="F5" s="130" t="s">
        <v>236</v>
      </c>
      <c r="H5" s="130" t="s">
        <v>237</v>
      </c>
    </row>
    <row r="6" spans="2:8" ht="15.75" thickBot="1">
      <c r="B6" s="131" t="s">
        <v>238</v>
      </c>
      <c r="F6" s="130" t="s">
        <v>239</v>
      </c>
    </row>
    <row r="7" spans="2:8" ht="15.75" thickBot="1">
      <c r="B7" s="131" t="s">
        <v>240</v>
      </c>
      <c r="H7" s="130" t="s">
        <v>241</v>
      </c>
    </row>
    <row r="8" spans="2:8" ht="15.75" thickBot="1">
      <c r="B8" s="131" t="s">
        <v>242</v>
      </c>
      <c r="H8" s="130" t="s">
        <v>243</v>
      </c>
    </row>
    <row r="9" spans="2:8" ht="29.25" thickBot="1">
      <c r="B9" s="131" t="s">
        <v>244</v>
      </c>
      <c r="D9" s="130" t="s">
        <v>245</v>
      </c>
      <c r="F9" s="130" t="s">
        <v>246</v>
      </c>
      <c r="H9" s="130" t="s">
        <v>247</v>
      </c>
    </row>
    <row r="10" spans="2:8" ht="29.25" thickBot="1">
      <c r="B10" s="131" t="s">
        <v>29</v>
      </c>
      <c r="D10" s="130" t="s">
        <v>248</v>
      </c>
      <c r="F10" s="130" t="s">
        <v>249</v>
      </c>
      <c r="H10" s="130" t="s">
        <v>250</v>
      </c>
    </row>
    <row r="11" spans="2:8" ht="15.75" thickBot="1">
      <c r="B11" s="131" t="s">
        <v>35</v>
      </c>
      <c r="D11" s="130" t="s">
        <v>251</v>
      </c>
      <c r="F11" s="130" t="s">
        <v>252</v>
      </c>
    </row>
    <row r="12" spans="2:8" ht="15.75" thickBot="1">
      <c r="B12" s="131" t="s">
        <v>32</v>
      </c>
      <c r="D12" s="130" t="s">
        <v>253</v>
      </c>
      <c r="F12" s="130" t="s">
        <v>254</v>
      </c>
    </row>
    <row r="13" spans="2:8" ht="29.25" thickBot="1">
      <c r="B13" s="131" t="s">
        <v>38</v>
      </c>
      <c r="D13" s="130" t="s">
        <v>40</v>
      </c>
    </row>
    <row r="14" spans="2:8" ht="15.75" thickBot="1">
      <c r="B14" s="131" t="s">
        <v>255</v>
      </c>
      <c r="D14" s="130" t="s">
        <v>256</v>
      </c>
    </row>
    <row r="15" spans="2:8" ht="15.75" thickBot="1">
      <c r="B15" s="131" t="s">
        <v>257</v>
      </c>
      <c r="D15" s="130" t="s">
        <v>70</v>
      </c>
    </row>
    <row r="16" spans="2:8" ht="15.75" thickBot="1">
      <c r="B16" s="131" t="s">
        <v>258</v>
      </c>
      <c r="D16" s="130" t="s">
        <v>72</v>
      </c>
    </row>
    <row r="17" spans="2:4" ht="15.75" thickBot="1">
      <c r="B17" s="131" t="s">
        <v>259</v>
      </c>
      <c r="D17" s="130" t="s">
        <v>260</v>
      </c>
    </row>
    <row r="18" spans="2:4" ht="15.75" thickBot="1">
      <c r="B18" s="131" t="s">
        <v>41</v>
      </c>
      <c r="D18" s="130" t="s">
        <v>79</v>
      </c>
    </row>
    <row r="19" spans="2:4" ht="15.75" thickBot="1">
      <c r="B19" s="131" t="s">
        <v>261</v>
      </c>
      <c r="D19" s="130" t="s">
        <v>81</v>
      </c>
    </row>
    <row r="20" spans="2:4" ht="15.75" thickBot="1">
      <c r="B20" s="131" t="s">
        <v>59</v>
      </c>
      <c r="D20" s="130" t="s">
        <v>83</v>
      </c>
    </row>
    <row r="21" spans="2:4" ht="15.75" thickBot="1">
      <c r="B21" s="131" t="s">
        <v>52</v>
      </c>
      <c r="D21" s="130" t="s">
        <v>87</v>
      </c>
    </row>
    <row r="22" spans="2:4" ht="29.25" thickBot="1">
      <c r="B22" s="131" t="s">
        <v>55</v>
      </c>
      <c r="D22" s="130" t="s">
        <v>88</v>
      </c>
    </row>
    <row r="23" spans="2:4" ht="15.75" thickBot="1">
      <c r="B23" s="131" t="s">
        <v>262</v>
      </c>
    </row>
    <row r="24" spans="2:4" ht="15.75" thickBot="1">
      <c r="B24" s="131" t="s">
        <v>263</v>
      </c>
    </row>
    <row r="25" spans="2:4" ht="15.75" thickBot="1">
      <c r="B25" s="131" t="s">
        <v>15</v>
      </c>
    </row>
    <row r="26" spans="2:4" ht="15.75" thickBot="1">
      <c r="B26" s="131" t="s">
        <v>62</v>
      </c>
    </row>
    <row r="27" spans="2:4" ht="29.25" thickBot="1">
      <c r="B27" s="131" t="s">
        <v>264</v>
      </c>
    </row>
    <row r="28" spans="2:4" ht="15.75" thickBot="1">
      <c r="B28" s="131" t="s">
        <v>18</v>
      </c>
    </row>
    <row r="29" spans="2:4" ht="15.75" thickBot="1">
      <c r="B29" s="131" t="s">
        <v>265</v>
      </c>
    </row>
    <row r="30" spans="2:4" ht="15.75" thickBot="1">
      <c r="B30" s="131" t="s">
        <v>266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AZ87"/>
  <sheetViews>
    <sheetView zoomScale="60" zoomScaleNormal="60" workbookViewId="0">
      <pane xSplit="1" ySplit="3" topLeftCell="I6" activePane="bottomRight" state="frozen"/>
      <selection pane="topRight" activeCell="B1" sqref="B1"/>
      <selection pane="bottomLeft" activeCell="A3" sqref="A3"/>
      <selection pane="bottomRight" activeCell="AF7" sqref="AF7"/>
    </sheetView>
  </sheetViews>
  <sheetFormatPr baseColWidth="10" defaultColWidth="12.140625" defaultRowHeight="15"/>
  <cols>
    <col min="1" max="1" width="12.140625" style="137" customWidth="1"/>
    <col min="2" max="2" width="43.28515625" style="184" customWidth="1"/>
    <col min="3" max="3" width="12.140625" style="171" customWidth="1"/>
    <col min="4" max="4" width="29" style="171" customWidth="1"/>
    <col min="5" max="5" width="83.42578125" style="185" customWidth="1"/>
    <col min="6" max="6" width="12.140625" style="171" customWidth="1"/>
    <col min="7" max="7" width="18.42578125" style="184" customWidth="1"/>
    <col min="8" max="8" width="19.28515625" style="184" customWidth="1"/>
    <col min="9" max="9" width="39.140625" style="185" customWidth="1"/>
    <col min="10" max="10" width="18.5703125" style="171" customWidth="1"/>
    <col min="11" max="11" width="23.140625" style="186" customWidth="1"/>
    <col min="12" max="12" width="42.5703125" style="186" customWidth="1"/>
    <col min="13" max="13" width="42" style="186" customWidth="1"/>
    <col min="14" max="14" width="20" style="187" customWidth="1"/>
    <col min="15" max="15" width="18.85546875" style="187" customWidth="1"/>
    <col min="16" max="16" width="12.140625" style="187" customWidth="1"/>
    <col min="17" max="17" width="16.42578125" style="187" customWidth="1"/>
    <col min="18" max="18" width="17" style="188" customWidth="1"/>
    <col min="19" max="19" width="12.140625" style="188" customWidth="1"/>
    <col min="20" max="20" width="8.85546875" style="188" bestFit="1" customWidth="1"/>
    <col min="21" max="21" width="8.7109375" style="188" customWidth="1"/>
    <col min="22" max="22" width="9.85546875" style="188" customWidth="1"/>
    <col min="23" max="23" width="12.28515625" style="188" customWidth="1"/>
    <col min="24" max="24" width="12.140625" style="148" customWidth="1"/>
    <col min="25" max="25" width="61.85546875" style="148" hidden="1" customWidth="1"/>
    <col min="26" max="27" width="36.42578125" style="148" hidden="1" customWidth="1"/>
    <col min="28" max="28" width="15" style="137" customWidth="1"/>
    <col min="29" max="29" width="21.5703125" style="413" customWidth="1"/>
    <col min="30" max="31" width="21.5703125" style="137" hidden="1" customWidth="1"/>
    <col min="32" max="32" width="16.7109375" style="137" customWidth="1"/>
    <col min="33" max="33" width="55.5703125" style="189" hidden="1" customWidth="1"/>
    <col min="34" max="34" width="56.5703125" style="189" hidden="1" customWidth="1"/>
    <col min="35" max="35" width="38.140625" style="189" hidden="1" customWidth="1"/>
    <col min="36" max="36" width="65.140625" style="413" customWidth="1"/>
    <col min="37" max="37" width="62" style="413" customWidth="1"/>
    <col min="38" max="38" width="39" style="413" customWidth="1"/>
    <col min="39" max="41" width="39.5703125" style="137" hidden="1" customWidth="1"/>
    <col min="42" max="42" width="40" style="137" hidden="1" customWidth="1"/>
    <col min="43" max="43" width="36.7109375" style="137" hidden="1" customWidth="1"/>
    <col min="44" max="44" width="37" style="284" hidden="1" customWidth="1"/>
    <col min="45" max="46" width="23" style="190" customWidth="1"/>
    <col min="47" max="47" width="12.140625" style="137" customWidth="1"/>
    <col min="48" max="16384" width="12.140625" style="137"/>
  </cols>
  <sheetData>
    <row r="1" spans="1:52">
      <c r="A1" s="135">
        <v>1</v>
      </c>
      <c r="B1" s="136">
        <v>2</v>
      </c>
      <c r="C1" s="135">
        <v>3</v>
      </c>
      <c r="D1" s="135">
        <v>4</v>
      </c>
      <c r="E1" s="136">
        <v>5</v>
      </c>
      <c r="F1" s="135">
        <v>6</v>
      </c>
      <c r="G1" s="135">
        <v>7</v>
      </c>
      <c r="H1" s="136">
        <v>8</v>
      </c>
      <c r="I1" s="135">
        <v>9</v>
      </c>
      <c r="J1" s="135">
        <v>10</v>
      </c>
      <c r="K1" s="136">
        <v>11</v>
      </c>
      <c r="L1" s="135">
        <v>12</v>
      </c>
      <c r="M1" s="135">
        <v>13</v>
      </c>
      <c r="N1" s="136">
        <v>14</v>
      </c>
      <c r="O1" s="135">
        <v>15</v>
      </c>
      <c r="P1" s="135">
        <v>16</v>
      </c>
      <c r="Q1" s="136">
        <v>17</v>
      </c>
      <c r="R1" s="135">
        <v>18</v>
      </c>
      <c r="S1" s="135">
        <v>19</v>
      </c>
      <c r="T1" s="136">
        <v>20</v>
      </c>
      <c r="U1" s="135">
        <v>21</v>
      </c>
      <c r="V1" s="135">
        <v>22</v>
      </c>
      <c r="W1" s="136">
        <v>23</v>
      </c>
      <c r="X1" s="135">
        <v>24</v>
      </c>
      <c r="Y1" s="135">
        <v>25</v>
      </c>
      <c r="Z1" s="136">
        <v>26</v>
      </c>
      <c r="AA1" s="135">
        <v>27</v>
      </c>
      <c r="AB1" s="135">
        <v>28</v>
      </c>
      <c r="AC1" s="136">
        <v>29</v>
      </c>
      <c r="AD1" s="135">
        <v>30</v>
      </c>
      <c r="AE1" s="135">
        <v>31</v>
      </c>
      <c r="AF1" s="136">
        <v>32</v>
      </c>
      <c r="AG1" s="135">
        <v>33</v>
      </c>
      <c r="AH1" s="135">
        <v>34</v>
      </c>
      <c r="AI1" s="136">
        <v>35</v>
      </c>
      <c r="AJ1" s="135">
        <v>36</v>
      </c>
      <c r="AK1" s="135">
        <v>37</v>
      </c>
      <c r="AL1" s="136">
        <v>38</v>
      </c>
      <c r="AM1" s="135">
        <v>39</v>
      </c>
      <c r="AN1" s="135">
        <v>40</v>
      </c>
      <c r="AO1" s="136">
        <v>41</v>
      </c>
      <c r="AP1" s="135">
        <v>42</v>
      </c>
      <c r="AQ1" s="135">
        <v>43</v>
      </c>
      <c r="AR1" s="136">
        <v>44</v>
      </c>
      <c r="AS1" s="135">
        <v>45</v>
      </c>
      <c r="AT1" s="135">
        <v>46</v>
      </c>
    </row>
    <row r="2" spans="1:52" ht="30.6" customHeight="1">
      <c r="A2" s="138"/>
      <c r="B2" s="139"/>
      <c r="C2" s="139"/>
      <c r="D2" s="139"/>
      <c r="E2" s="139"/>
      <c r="F2" s="139"/>
      <c r="G2" s="140"/>
      <c r="H2" s="140"/>
      <c r="I2" s="141"/>
      <c r="J2" s="141"/>
      <c r="K2" s="142"/>
      <c r="L2" s="142"/>
      <c r="M2" s="142"/>
      <c r="N2" s="140"/>
      <c r="O2" s="140"/>
      <c r="P2" s="140"/>
      <c r="Q2" s="140"/>
      <c r="R2" s="143"/>
      <c r="S2" s="143"/>
      <c r="T2" s="533" t="s">
        <v>286</v>
      </c>
      <c r="U2" s="533"/>
      <c r="V2" s="533"/>
      <c r="W2" s="533"/>
      <c r="X2" s="533"/>
      <c r="Y2" s="1"/>
      <c r="Z2" s="1"/>
      <c r="AA2" s="1"/>
      <c r="AB2" s="534" t="s">
        <v>287</v>
      </c>
      <c r="AC2" s="535"/>
      <c r="AD2" s="535"/>
      <c r="AE2" s="535"/>
      <c r="AF2" s="534"/>
      <c r="AG2" s="534" t="s">
        <v>288</v>
      </c>
      <c r="AH2" s="534"/>
      <c r="AI2" s="534"/>
      <c r="AJ2" s="535"/>
      <c r="AK2" s="535"/>
      <c r="AL2" s="535"/>
      <c r="AM2" s="535"/>
      <c r="AN2" s="535"/>
      <c r="AO2" s="535"/>
      <c r="AP2" s="535"/>
      <c r="AQ2" s="535"/>
      <c r="AR2" s="534"/>
      <c r="AS2" s="144"/>
      <c r="AT2" s="145"/>
    </row>
    <row r="3" spans="1:52" s="148" customFormat="1" ht="80.25" customHeight="1">
      <c r="A3" s="527" t="s">
        <v>289</v>
      </c>
      <c r="B3" s="528" t="s">
        <v>0</v>
      </c>
      <c r="C3" s="529" t="s">
        <v>1</v>
      </c>
      <c r="D3" s="298" t="s">
        <v>290</v>
      </c>
      <c r="E3" s="298" t="s">
        <v>291</v>
      </c>
      <c r="F3" s="298" t="s">
        <v>292</v>
      </c>
      <c r="G3" s="529" t="s">
        <v>293</v>
      </c>
      <c r="H3" s="298" t="s">
        <v>294</v>
      </c>
      <c r="I3" s="298" t="s">
        <v>295</v>
      </c>
      <c r="J3" s="529" t="s">
        <v>296</v>
      </c>
      <c r="K3" s="298" t="s">
        <v>297</v>
      </c>
      <c r="L3" s="298" t="s">
        <v>298</v>
      </c>
      <c r="M3" s="298" t="s">
        <v>299</v>
      </c>
      <c r="N3" s="298" t="s">
        <v>300</v>
      </c>
      <c r="O3" s="298" t="s">
        <v>301</v>
      </c>
      <c r="P3" s="529" t="s">
        <v>302</v>
      </c>
      <c r="Q3" s="298" t="s">
        <v>303</v>
      </c>
      <c r="R3" s="298" t="s">
        <v>304</v>
      </c>
      <c r="S3" s="298" t="s">
        <v>305</v>
      </c>
      <c r="T3" s="298" t="s">
        <v>306</v>
      </c>
      <c r="U3" s="529" t="s">
        <v>307</v>
      </c>
      <c r="V3" s="298" t="s">
        <v>308</v>
      </c>
      <c r="W3" s="298" t="s">
        <v>309</v>
      </c>
      <c r="X3" s="529" t="s">
        <v>310</v>
      </c>
      <c r="Y3" s="298" t="s">
        <v>107</v>
      </c>
      <c r="Z3" s="298" t="s">
        <v>135</v>
      </c>
      <c r="AA3" s="298" t="s">
        <v>311</v>
      </c>
      <c r="AB3" s="146" t="s">
        <v>312</v>
      </c>
      <c r="AC3" s="530" t="s">
        <v>313</v>
      </c>
      <c r="AD3" s="146" t="s">
        <v>314</v>
      </c>
      <c r="AE3" s="146" t="s">
        <v>315</v>
      </c>
      <c r="AF3" s="530" t="s">
        <v>316</v>
      </c>
      <c r="AG3" s="147" t="s">
        <v>317</v>
      </c>
      <c r="AH3" s="147" t="s">
        <v>318</v>
      </c>
      <c r="AI3" s="147" t="s">
        <v>319</v>
      </c>
      <c r="AJ3" s="418" t="s">
        <v>320</v>
      </c>
      <c r="AK3" s="418" t="s">
        <v>321</v>
      </c>
      <c r="AL3" s="418" t="s">
        <v>322</v>
      </c>
      <c r="AM3" s="147" t="s">
        <v>323</v>
      </c>
      <c r="AN3" s="147" t="s">
        <v>324</v>
      </c>
      <c r="AO3" s="147" t="s">
        <v>325</v>
      </c>
      <c r="AP3" s="147" t="s">
        <v>326</v>
      </c>
      <c r="AQ3" s="147" t="s">
        <v>327</v>
      </c>
      <c r="AR3" s="147" t="s">
        <v>328</v>
      </c>
      <c r="AS3" s="531" t="s">
        <v>329</v>
      </c>
      <c r="AT3" s="532" t="s">
        <v>330</v>
      </c>
    </row>
    <row r="4" spans="1:52" s="154" customFormat="1" ht="222" customHeight="1">
      <c r="A4" s="299" t="s">
        <v>97</v>
      </c>
      <c r="B4" s="300" t="s">
        <v>9</v>
      </c>
      <c r="C4" s="301" t="s">
        <v>17</v>
      </c>
      <c r="D4" s="302">
        <v>0.6</v>
      </c>
      <c r="E4" s="303" t="s">
        <v>331</v>
      </c>
      <c r="F4" s="304">
        <v>0.2</v>
      </c>
      <c r="G4" s="305" t="s">
        <v>11</v>
      </c>
      <c r="H4" s="301" t="s">
        <v>252</v>
      </c>
      <c r="I4" s="306" t="s">
        <v>332</v>
      </c>
      <c r="J4" s="301" t="s">
        <v>226</v>
      </c>
      <c r="K4" s="303" t="s">
        <v>333</v>
      </c>
      <c r="L4" s="303" t="s">
        <v>334</v>
      </c>
      <c r="M4" s="303" t="s">
        <v>335</v>
      </c>
      <c r="N4" s="301" t="s">
        <v>336</v>
      </c>
      <c r="O4" s="301" t="s">
        <v>227</v>
      </c>
      <c r="P4" s="301" t="s">
        <v>337</v>
      </c>
      <c r="Q4" s="301">
        <v>2022</v>
      </c>
      <c r="R4" s="120">
        <v>1</v>
      </c>
      <c r="S4" s="307">
        <v>46022</v>
      </c>
      <c r="T4" s="120">
        <v>1</v>
      </c>
      <c r="U4" s="120">
        <v>1</v>
      </c>
      <c r="V4" s="121">
        <v>1</v>
      </c>
      <c r="W4" s="121">
        <v>1</v>
      </c>
      <c r="X4" s="134">
        <v>1</v>
      </c>
      <c r="Y4" s="308" t="s">
        <v>338</v>
      </c>
      <c r="Z4" s="308" t="s">
        <v>339</v>
      </c>
      <c r="AA4" s="308" t="s">
        <v>340</v>
      </c>
      <c r="AB4" s="309">
        <f>(5/5)*100%</f>
        <v>1</v>
      </c>
      <c r="AC4" s="493">
        <f>(5/5)*100%</f>
        <v>1</v>
      </c>
      <c r="AD4" s="285"/>
      <c r="AE4" s="285"/>
      <c r="AF4" s="522">
        <f>(5/5)*100%</f>
        <v>1</v>
      </c>
      <c r="AG4" s="149" t="s">
        <v>341</v>
      </c>
      <c r="AH4" s="149" t="s">
        <v>342</v>
      </c>
      <c r="AI4" s="176" t="s">
        <v>12</v>
      </c>
      <c r="AJ4" s="150" t="s">
        <v>343</v>
      </c>
      <c r="AK4" s="150" t="s">
        <v>344</v>
      </c>
      <c r="AL4" s="150" t="s">
        <v>12</v>
      </c>
      <c r="AM4" s="263"/>
      <c r="AN4" s="263"/>
      <c r="AO4" s="263"/>
      <c r="AP4" s="263"/>
      <c r="AQ4" s="263"/>
      <c r="AR4" s="264"/>
      <c r="AS4" s="155">
        <f>+IFERROR(IF(A4=A3,"No requiere reporte",IF(OR(U4=0,U4=""),"No aplica, no hay meta",IF(AC4="","No se reportó avance",IF(AC4="N/A","No Aplica",IF(OR(AND(O4="Capacidad",OR(R4="",R4=0,R4="N/A")),AND(O4="Reducción",OR(R4="",R4=0,R4="N/A"))),"Se requiere valor de línea base para este tipo de acumulación",IF(OR(AND(O4="Flujo",OR(R4&lt;&gt;"",R4&lt;&gt;0,R4&lt;&gt;"N/A"),AC4="N/A"),AND(O4="Stock",OR(R4&lt;&gt;"",R4&lt;&gt;0,R4&lt;&gt;"N/A"),AC4="N/A")),"No aplica",IF(O4="Flujo",IF(AC4/U4&gt;1,1.00001,AC4/U4),IF(O4="Stock",IF(AC4/T4&gt;1,1.00001,AC4/U4),IF(O4="Acumulado",IF((AC4)/U4&gt;1,1.00001,(AC4)/U4),IF(O4="Capacidad",IF(((AC4-R4)/(U4-R4))&gt;1,1.00001,((AC4-R4)/(U4-R4))),IF(O4="Reducción",IF(((R4-AC4)/(R4-U4))&gt;1,1.00001,((R4-AC4)/(R4-U4))),"Revisar acumulación"))))))))))),"Revisar fórmula")</f>
        <v>1</v>
      </c>
      <c r="AT4" s="156">
        <f>+IFERROR(IF(A4=A3,"No requiere reporte",IF(OR(X4=0,X4=""),"No aplica, no hay meta",IF(AF4="","No se reportó avance",IF(AF4="N/A","No Aplica",IF(OR(AND(O4="Capacidad",OR(R4="",R4=0,R4="N/A")),AND(O4="Reducción",OR(R4="",R4=0,R4="N/A"))),"Se requiere valor de línea base para este tipo de acumulación",IF(OR(AND(O4="Flujo",OR(R4&lt;&gt;"",R4&lt;&gt;0,R4&lt;&gt;"N/A"),AF4="N/A"),AND(O4="Stock",OR(R4&lt;&gt;"",R4&lt;&gt;0,R4&lt;&gt;"N/A"),AF4="N/A")),"No aplica",IF(O4="Flujo",IF(AF4/X4&gt;1,1.00001,AF4/X4),IF(O4="Stock",IF(AF4/X4&gt;1,1.00001,AF4/X4),IF(O4="Acumulado",IF((AF4)/X4&gt;1,1.00001,(AF4)/X4),IF(O4="Capacidad",IF(((AF4-R4)/(X4-R4))&gt;1,1.00001,((AF4-R4)/(X4-R4))),IF(O4="Reducción",IF(((R4-AF4)/(R4-X4))&gt;1,1.00001,((R4-AF4)/(R4-X4))),"Revisar acumulación"))))))))))),"Revisar fórmula")</f>
        <v>1</v>
      </c>
      <c r="AU4" s="151"/>
      <c r="AV4" s="151"/>
      <c r="AW4" s="152"/>
      <c r="AX4" s="152"/>
      <c r="AY4" s="153"/>
      <c r="AZ4" s="153"/>
    </row>
    <row r="5" spans="1:52" s="154" customFormat="1" ht="191.25">
      <c r="A5" s="299" t="s">
        <v>147</v>
      </c>
      <c r="B5" s="310" t="s">
        <v>9</v>
      </c>
      <c r="C5" s="305" t="s">
        <v>17</v>
      </c>
      <c r="D5" s="311">
        <v>0.6</v>
      </c>
      <c r="E5" s="312" t="s">
        <v>331</v>
      </c>
      <c r="F5" s="313">
        <v>7.0000000000000007E-2</v>
      </c>
      <c r="G5" s="305" t="s">
        <v>11</v>
      </c>
      <c r="H5" s="301" t="s">
        <v>252</v>
      </c>
      <c r="I5" s="306" t="s">
        <v>332</v>
      </c>
      <c r="J5" s="301" t="s">
        <v>229</v>
      </c>
      <c r="K5" s="124" t="s">
        <v>345</v>
      </c>
      <c r="L5" s="124" t="s">
        <v>346</v>
      </c>
      <c r="M5" s="124" t="s">
        <v>347</v>
      </c>
      <c r="N5" s="301" t="s">
        <v>336</v>
      </c>
      <c r="O5" s="301" t="s">
        <v>227</v>
      </c>
      <c r="P5" s="301" t="s">
        <v>337</v>
      </c>
      <c r="Q5" s="305" t="s">
        <v>348</v>
      </c>
      <c r="R5" s="305" t="s">
        <v>348</v>
      </c>
      <c r="S5" s="305" t="s">
        <v>348</v>
      </c>
      <c r="T5" s="120">
        <v>1</v>
      </c>
      <c r="U5" s="120">
        <v>1</v>
      </c>
      <c r="V5" s="121">
        <v>1</v>
      </c>
      <c r="W5" s="121">
        <v>1</v>
      </c>
      <c r="X5" s="106">
        <v>1</v>
      </c>
      <c r="Y5" s="314" t="s">
        <v>349</v>
      </c>
      <c r="Z5" s="315" t="s">
        <v>350</v>
      </c>
      <c r="AA5" s="316" t="s">
        <v>351</v>
      </c>
      <c r="AB5" s="120">
        <v>1</v>
      </c>
      <c r="AC5" s="120">
        <v>1</v>
      </c>
      <c r="AD5" s="286"/>
      <c r="AE5" s="286"/>
      <c r="AF5" s="253">
        <v>1</v>
      </c>
      <c r="AG5" s="254" t="s">
        <v>352</v>
      </c>
      <c r="AH5" s="254" t="s">
        <v>353</v>
      </c>
      <c r="AI5" s="254" t="s">
        <v>354</v>
      </c>
      <c r="AJ5" s="414" t="s">
        <v>355</v>
      </c>
      <c r="AK5" s="414" t="s">
        <v>356</v>
      </c>
      <c r="AL5" s="414" t="s">
        <v>354</v>
      </c>
      <c r="AM5" s="265"/>
      <c r="AN5" s="265"/>
      <c r="AO5" s="265"/>
      <c r="AP5" s="265"/>
      <c r="AQ5" s="265"/>
      <c r="AR5" s="266"/>
      <c r="AS5" s="155">
        <f t="shared" ref="AS5:AS68" si="0">+IFERROR(IF(A5=A4,"No requiere reporte",IF(OR(U5=0,U5=""),"No aplica, no hay meta",IF(AC5="","No se reportó avance",IF(AC5="N/A","No Aplica",IF(OR(AND(O5="Capacidad",OR(R5="",R5=0,R5="N/A")),AND(O5="Reducción",OR(R5="",R5=0,R5="N/A"))),"Se requiere valor de línea base para este tipo de acumulación",IF(OR(AND(O5="Flujo",OR(R5&lt;&gt;"",R5&lt;&gt;0,R5&lt;&gt;"N/A"),AC5="N/A"),AND(O5="Stock",OR(R5&lt;&gt;"",R5&lt;&gt;0,R5&lt;&gt;"N/A"),AC5="N/A")),"No aplica",IF(O5="Flujo",IF(AC5/U5&gt;1,1.00001,AC5/U5),IF(O5="Stock",IF(AC5/T5&gt;1,1.00001,AC5/U5),IF(O5="Acumulado",IF((AC5)/U5&gt;1,1.00001,(AC5)/U5),IF(O5="Capacidad",IF(((AC5-R5)/(U5-R5))&gt;1,1.00001,((AC5-R5)/(U5-R5))),IF(O5="Reducción",IF(((R5-AC5)/(R5-U5))&gt;1,1.00001,((R5-AC5)/(R5-U5))),"Revisar acumulación"))))))))))),"Revisar fórmula")</f>
        <v>1</v>
      </c>
      <c r="AT5" s="156">
        <f t="shared" ref="AT5:AT68" si="1">+IFERROR(IF(A5=A4,"No requiere reporte",IF(OR(X5=0,X5=""),"No aplica, no hay meta",IF(AF5="","No se reportó avance",IF(AF5="N/A","No Aplica",IF(OR(AND(O5="Capacidad",OR(R5="",R5=0,R5="N/A")),AND(O5="Reducción",OR(R5="",R5=0,R5="N/A"))),"Se requiere valor de línea base para este tipo de acumulación",IF(OR(AND(O5="Flujo",OR(R5&lt;&gt;"",R5&lt;&gt;0,R5&lt;&gt;"N/A"),AF5="N/A"),AND(O5="Stock",OR(R5&lt;&gt;"",R5&lt;&gt;0,R5&lt;&gt;"N/A"),AF5="N/A")),"No aplica",IF(O5="Flujo",IF(AF5/X5&gt;1,1.00001,AF5/X5),IF(O5="Stock",IF(AF5/X5&gt;1,1.00001,AF5/X5),IF(O5="Acumulado",IF((AF5)/X5&gt;1,1.00001,(AF5)/X5),IF(O5="Capacidad",IF(((AF5-R5)/(X5-R5))&gt;1,1.00001,((AF5-R5)/(X5-R5))),IF(O5="Reducción",IF(((R5-AF5)/(R5-X5))&gt;1,1.00001,((R5-AF5)/(R5-X5))),"Revisar acumulación"))))))))))),"Revisar fórmula")</f>
        <v>1</v>
      </c>
    </row>
    <row r="6" spans="1:52" s="154" customFormat="1" ht="409.5">
      <c r="A6" s="299" t="s">
        <v>148</v>
      </c>
      <c r="B6" s="317" t="s">
        <v>9</v>
      </c>
      <c r="C6" s="305" t="s">
        <v>17</v>
      </c>
      <c r="D6" s="311">
        <v>0.6</v>
      </c>
      <c r="E6" s="312" t="s">
        <v>331</v>
      </c>
      <c r="F6" s="313">
        <v>7.0000000000000007E-2</v>
      </c>
      <c r="G6" s="305" t="s">
        <v>11</v>
      </c>
      <c r="H6" s="301" t="s">
        <v>252</v>
      </c>
      <c r="I6" s="306" t="s">
        <v>332</v>
      </c>
      <c r="J6" s="301" t="s">
        <v>229</v>
      </c>
      <c r="K6" s="124" t="s">
        <v>357</v>
      </c>
      <c r="L6" s="124" t="s">
        <v>358</v>
      </c>
      <c r="M6" s="124" t="s">
        <v>359</v>
      </c>
      <c r="N6" s="301" t="s">
        <v>360</v>
      </c>
      <c r="O6" s="301" t="s">
        <v>233</v>
      </c>
      <c r="P6" s="301" t="s">
        <v>361</v>
      </c>
      <c r="Q6" s="305" t="s">
        <v>348</v>
      </c>
      <c r="R6" s="305" t="s">
        <v>348</v>
      </c>
      <c r="S6" s="305" t="s">
        <v>348</v>
      </c>
      <c r="T6" s="318">
        <v>40</v>
      </c>
      <c r="U6" s="318">
        <v>60</v>
      </c>
      <c r="V6" s="318">
        <v>60</v>
      </c>
      <c r="W6" s="318">
        <v>60</v>
      </c>
      <c r="X6" s="319">
        <v>220</v>
      </c>
      <c r="Y6" s="314" t="s">
        <v>362</v>
      </c>
      <c r="Z6" s="314" t="s">
        <v>363</v>
      </c>
      <c r="AA6" s="314" t="s">
        <v>351</v>
      </c>
      <c r="AB6" s="320">
        <v>40</v>
      </c>
      <c r="AC6" s="255">
        <v>60</v>
      </c>
      <c r="AD6" s="415" t="s">
        <v>364</v>
      </c>
      <c r="AE6" s="415" t="s">
        <v>354</v>
      </c>
      <c r="AF6" s="255">
        <v>100</v>
      </c>
      <c r="AG6" s="256" t="s">
        <v>365</v>
      </c>
      <c r="AH6" s="256" t="s">
        <v>366</v>
      </c>
      <c r="AI6" s="256" t="s">
        <v>367</v>
      </c>
      <c r="AJ6" s="415" t="s">
        <v>368</v>
      </c>
      <c r="AK6" s="415" t="s">
        <v>364</v>
      </c>
      <c r="AL6" s="415" t="s">
        <v>354</v>
      </c>
      <c r="AM6" s="158"/>
      <c r="AN6" s="158"/>
      <c r="AO6" s="158"/>
      <c r="AP6" s="158"/>
      <c r="AQ6" s="267"/>
      <c r="AR6" s="268"/>
      <c r="AS6" s="155">
        <f t="shared" si="0"/>
        <v>1</v>
      </c>
      <c r="AT6" s="156">
        <f t="shared" si="1"/>
        <v>0.45454545454545453</v>
      </c>
    </row>
    <row r="7" spans="1:52" ht="204">
      <c r="A7" s="299" t="s">
        <v>149</v>
      </c>
      <c r="B7" s="317" t="s">
        <v>9</v>
      </c>
      <c r="C7" s="305" t="s">
        <v>17</v>
      </c>
      <c r="D7" s="311">
        <v>0.6</v>
      </c>
      <c r="E7" s="312" t="s">
        <v>331</v>
      </c>
      <c r="F7" s="313">
        <v>0.06</v>
      </c>
      <c r="G7" s="305" t="s">
        <v>11</v>
      </c>
      <c r="H7" s="301" t="s">
        <v>252</v>
      </c>
      <c r="I7" s="306" t="s">
        <v>332</v>
      </c>
      <c r="J7" s="301" t="s">
        <v>226</v>
      </c>
      <c r="K7" s="124" t="s">
        <v>369</v>
      </c>
      <c r="L7" s="124" t="s">
        <v>370</v>
      </c>
      <c r="M7" s="124" t="s">
        <v>371</v>
      </c>
      <c r="N7" s="301" t="s">
        <v>336</v>
      </c>
      <c r="O7" s="301" t="s">
        <v>227</v>
      </c>
      <c r="P7" s="301" t="s">
        <v>337</v>
      </c>
      <c r="Q7" s="305" t="s">
        <v>348</v>
      </c>
      <c r="R7" s="305" t="s">
        <v>348</v>
      </c>
      <c r="S7" s="305" t="s">
        <v>348</v>
      </c>
      <c r="T7" s="321">
        <v>1</v>
      </c>
      <c r="U7" s="321">
        <v>1</v>
      </c>
      <c r="V7" s="321">
        <v>1</v>
      </c>
      <c r="W7" s="321">
        <v>1</v>
      </c>
      <c r="X7" s="321">
        <v>1</v>
      </c>
      <c r="Y7" s="314" t="s">
        <v>372</v>
      </c>
      <c r="Z7" s="322" t="s">
        <v>373</v>
      </c>
      <c r="AA7" s="323" t="s">
        <v>340</v>
      </c>
      <c r="AB7" s="297">
        <v>1</v>
      </c>
      <c r="AC7" s="232">
        <v>1</v>
      </c>
      <c r="AD7" s="287"/>
      <c r="AE7" s="287"/>
      <c r="AF7" s="232">
        <v>1</v>
      </c>
      <c r="AG7" s="256" t="s">
        <v>374</v>
      </c>
      <c r="AH7" s="256" t="s">
        <v>375</v>
      </c>
      <c r="AI7" s="256" t="s">
        <v>354</v>
      </c>
      <c r="AJ7" s="415" t="s">
        <v>376</v>
      </c>
      <c r="AK7" s="415" t="s">
        <v>377</v>
      </c>
      <c r="AL7" s="415" t="s">
        <v>354</v>
      </c>
      <c r="AM7" s="158"/>
      <c r="AN7" s="158"/>
      <c r="AO7" s="158"/>
      <c r="AP7" s="158"/>
      <c r="AQ7" s="267"/>
      <c r="AR7" s="268"/>
      <c r="AS7" s="155">
        <f t="shared" si="0"/>
        <v>1</v>
      </c>
      <c r="AT7" s="156">
        <f t="shared" si="1"/>
        <v>1</v>
      </c>
    </row>
    <row r="8" spans="1:52" ht="207.75" customHeight="1">
      <c r="A8" s="299" t="s">
        <v>150</v>
      </c>
      <c r="B8" s="317" t="s">
        <v>9</v>
      </c>
      <c r="C8" s="305" t="s">
        <v>17</v>
      </c>
      <c r="D8" s="311">
        <v>0.6</v>
      </c>
      <c r="E8" s="312" t="s">
        <v>331</v>
      </c>
      <c r="F8" s="324">
        <v>0.1</v>
      </c>
      <c r="G8" s="305" t="s">
        <v>11</v>
      </c>
      <c r="H8" s="301" t="s">
        <v>252</v>
      </c>
      <c r="I8" s="306" t="s">
        <v>332</v>
      </c>
      <c r="J8" s="301" t="s">
        <v>226</v>
      </c>
      <c r="K8" s="124" t="s">
        <v>378</v>
      </c>
      <c r="L8" s="124" t="s">
        <v>379</v>
      </c>
      <c r="M8" s="124" t="s">
        <v>380</v>
      </c>
      <c r="N8" s="301" t="s">
        <v>336</v>
      </c>
      <c r="O8" s="301" t="s">
        <v>227</v>
      </c>
      <c r="P8" s="301" t="s">
        <v>337</v>
      </c>
      <c r="Q8" s="305">
        <v>2023</v>
      </c>
      <c r="R8" s="324">
        <v>1</v>
      </c>
      <c r="S8" s="307">
        <v>46022</v>
      </c>
      <c r="T8" s="321">
        <v>1</v>
      </c>
      <c r="U8" s="321">
        <v>1</v>
      </c>
      <c r="V8" s="321">
        <v>1</v>
      </c>
      <c r="W8" s="321">
        <v>1</v>
      </c>
      <c r="X8" s="321">
        <v>1</v>
      </c>
      <c r="Y8" s="323" t="s">
        <v>381</v>
      </c>
      <c r="Z8" s="322" t="s">
        <v>382</v>
      </c>
      <c r="AA8" s="323" t="s">
        <v>340</v>
      </c>
      <c r="AB8" s="123">
        <f>112/112</f>
        <v>1</v>
      </c>
      <c r="AC8" s="409">
        <f>(14+23+52)/(14+23+52)</f>
        <v>1</v>
      </c>
      <c r="AD8" s="123"/>
      <c r="AE8" s="123"/>
      <c r="AF8" s="123">
        <f>(112+14+23+52)/(112+14+23+52)</f>
        <v>1</v>
      </c>
      <c r="AG8" s="262" t="s">
        <v>383</v>
      </c>
      <c r="AH8" s="212" t="s">
        <v>384</v>
      </c>
      <c r="AI8" s="176" t="s">
        <v>12</v>
      </c>
      <c r="AJ8" s="241" t="s">
        <v>385</v>
      </c>
      <c r="AK8" s="415"/>
      <c r="AL8" s="415" t="s">
        <v>348</v>
      </c>
      <c r="AM8" s="158"/>
      <c r="AN8" s="158"/>
      <c r="AO8" s="158"/>
      <c r="AP8" s="158"/>
      <c r="AQ8" s="158"/>
      <c r="AR8" s="268"/>
      <c r="AS8" s="155">
        <f t="shared" si="0"/>
        <v>1</v>
      </c>
      <c r="AT8" s="156">
        <f t="shared" si="1"/>
        <v>1</v>
      </c>
    </row>
    <row r="9" spans="1:52" ht="255">
      <c r="A9" s="299" t="s">
        <v>151</v>
      </c>
      <c r="B9" s="317" t="s">
        <v>9</v>
      </c>
      <c r="C9" s="305" t="s">
        <v>17</v>
      </c>
      <c r="D9" s="311">
        <v>0.6</v>
      </c>
      <c r="E9" s="312" t="s">
        <v>331</v>
      </c>
      <c r="F9" s="324">
        <v>0.1</v>
      </c>
      <c r="G9" s="305" t="s">
        <v>11</v>
      </c>
      <c r="H9" s="301" t="s">
        <v>252</v>
      </c>
      <c r="I9" s="306" t="s">
        <v>332</v>
      </c>
      <c r="J9" s="301" t="s">
        <v>226</v>
      </c>
      <c r="K9" s="124" t="s">
        <v>386</v>
      </c>
      <c r="L9" s="124" t="s">
        <v>387</v>
      </c>
      <c r="M9" s="124" t="s">
        <v>388</v>
      </c>
      <c r="N9" s="301" t="s">
        <v>360</v>
      </c>
      <c r="O9" s="301" t="s">
        <v>230</v>
      </c>
      <c r="P9" s="301" t="s">
        <v>337</v>
      </c>
      <c r="Q9" s="305">
        <v>2025</v>
      </c>
      <c r="R9" s="324">
        <v>0.8</v>
      </c>
      <c r="S9" s="307">
        <v>46022</v>
      </c>
      <c r="T9" s="324">
        <v>0.8</v>
      </c>
      <c r="U9" s="324">
        <v>0.8</v>
      </c>
      <c r="V9" s="324">
        <v>0.8</v>
      </c>
      <c r="W9" s="324">
        <v>0.8</v>
      </c>
      <c r="X9" s="324">
        <v>0.8</v>
      </c>
      <c r="Y9" s="325" t="s">
        <v>389</v>
      </c>
      <c r="Z9" s="192" t="s">
        <v>390</v>
      </c>
      <c r="AA9" s="323" t="s">
        <v>340</v>
      </c>
      <c r="AB9" s="197">
        <f>75/83</f>
        <v>0.90361445783132532</v>
      </c>
      <c r="AC9" s="409">
        <f>75/83</f>
        <v>0.90361445783132532</v>
      </c>
      <c r="AD9" s="123"/>
      <c r="AE9" s="123"/>
      <c r="AF9" s="409">
        <f>75/83</f>
        <v>0.90361445783132532</v>
      </c>
      <c r="AG9" s="158" t="s">
        <v>391</v>
      </c>
      <c r="AH9" s="261" t="s">
        <v>392</v>
      </c>
      <c r="AI9" s="176" t="s">
        <v>12</v>
      </c>
      <c r="AJ9" s="521" t="s">
        <v>391</v>
      </c>
      <c r="AK9" s="415"/>
      <c r="AL9" s="415" t="s">
        <v>348</v>
      </c>
      <c r="AM9" s="158"/>
      <c r="AN9" s="158"/>
      <c r="AO9" s="158"/>
      <c r="AP9" s="158"/>
      <c r="AQ9" s="158"/>
      <c r="AR9" s="269"/>
      <c r="AS9" s="155">
        <f t="shared" si="0"/>
        <v>1.0000100000000001</v>
      </c>
      <c r="AT9" s="156">
        <f t="shared" si="1"/>
        <v>1.0000100000000001</v>
      </c>
    </row>
    <row r="10" spans="1:52" ht="271.5">
      <c r="A10" s="299" t="s">
        <v>152</v>
      </c>
      <c r="B10" s="317" t="s">
        <v>9</v>
      </c>
      <c r="C10" s="305" t="s">
        <v>17</v>
      </c>
      <c r="D10" s="311">
        <v>0.2</v>
      </c>
      <c r="E10" s="312" t="s">
        <v>331</v>
      </c>
      <c r="F10" s="324">
        <v>0.2</v>
      </c>
      <c r="G10" s="305" t="s">
        <v>18</v>
      </c>
      <c r="H10" s="301" t="s">
        <v>254</v>
      </c>
      <c r="I10" s="326" t="s">
        <v>393</v>
      </c>
      <c r="J10" s="301" t="s">
        <v>226</v>
      </c>
      <c r="K10" s="124" t="s">
        <v>394</v>
      </c>
      <c r="L10" s="124" t="s">
        <v>395</v>
      </c>
      <c r="M10" s="124" t="s">
        <v>396</v>
      </c>
      <c r="N10" s="301" t="s">
        <v>336</v>
      </c>
      <c r="O10" s="301" t="s">
        <v>227</v>
      </c>
      <c r="P10" s="301" t="s">
        <v>337</v>
      </c>
      <c r="Q10" s="305">
        <v>2026</v>
      </c>
      <c r="R10" s="305" t="s">
        <v>348</v>
      </c>
      <c r="S10" s="305" t="s">
        <v>348</v>
      </c>
      <c r="T10" s="321">
        <v>1</v>
      </c>
      <c r="U10" s="321">
        <v>1</v>
      </c>
      <c r="V10" s="321">
        <v>1</v>
      </c>
      <c r="W10" s="321">
        <v>1</v>
      </c>
      <c r="X10" s="321">
        <v>1</v>
      </c>
      <c r="Y10" s="322" t="s">
        <v>397</v>
      </c>
      <c r="Z10" s="322" t="s">
        <v>398</v>
      </c>
      <c r="AA10" s="323" t="s">
        <v>340</v>
      </c>
      <c r="AB10" s="197">
        <v>1</v>
      </c>
      <c r="AC10" s="409">
        <f>11/11</f>
        <v>1</v>
      </c>
      <c r="AD10" s="123"/>
      <c r="AE10" s="123"/>
      <c r="AF10" s="197">
        <v>1</v>
      </c>
      <c r="AG10" s="245" t="s">
        <v>399</v>
      </c>
      <c r="AH10" s="213" t="s">
        <v>400</v>
      </c>
      <c r="AI10" s="346" t="s">
        <v>12</v>
      </c>
      <c r="AJ10" s="453" t="s">
        <v>401</v>
      </c>
      <c r="AK10" s="220" t="s">
        <v>400</v>
      </c>
      <c r="AL10" s="454" t="s">
        <v>12</v>
      </c>
      <c r="AM10" s="270"/>
      <c r="AN10" s="270"/>
      <c r="AO10" s="270"/>
      <c r="AP10" s="158"/>
      <c r="AQ10" s="158"/>
      <c r="AR10" s="268"/>
      <c r="AS10" s="155">
        <f t="shared" si="0"/>
        <v>1</v>
      </c>
      <c r="AT10" s="156">
        <f t="shared" si="1"/>
        <v>1</v>
      </c>
    </row>
    <row r="11" spans="1:52" ht="280.5">
      <c r="A11" s="299" t="s">
        <v>153</v>
      </c>
      <c r="B11" s="317" t="s">
        <v>9</v>
      </c>
      <c r="C11" s="305" t="s">
        <v>17</v>
      </c>
      <c r="D11" s="311">
        <v>0.2</v>
      </c>
      <c r="E11" s="312" t="s">
        <v>331</v>
      </c>
      <c r="F11" s="324">
        <v>0.1</v>
      </c>
      <c r="G11" s="305" t="s">
        <v>23</v>
      </c>
      <c r="H11" s="301" t="s">
        <v>252</v>
      </c>
      <c r="I11" s="269" t="s">
        <v>402</v>
      </c>
      <c r="J11" s="301" t="s">
        <v>226</v>
      </c>
      <c r="K11" s="124" t="s">
        <v>403</v>
      </c>
      <c r="L11" s="124" t="s">
        <v>404</v>
      </c>
      <c r="M11" s="124" t="s">
        <v>405</v>
      </c>
      <c r="N11" s="301" t="s">
        <v>336</v>
      </c>
      <c r="O11" s="301" t="s">
        <v>227</v>
      </c>
      <c r="P11" s="301" t="s">
        <v>337</v>
      </c>
      <c r="Q11" s="305">
        <v>2024</v>
      </c>
      <c r="R11" s="324">
        <v>1</v>
      </c>
      <c r="S11" s="327">
        <v>46022</v>
      </c>
      <c r="T11" s="321">
        <v>1</v>
      </c>
      <c r="U11" s="321">
        <v>1</v>
      </c>
      <c r="V11" s="321">
        <v>1</v>
      </c>
      <c r="W11" s="321">
        <v>1</v>
      </c>
      <c r="X11" s="321">
        <v>1</v>
      </c>
      <c r="Y11" s="322" t="s">
        <v>406</v>
      </c>
      <c r="Z11" s="322" t="s">
        <v>407</v>
      </c>
      <c r="AA11" s="323" t="s">
        <v>340</v>
      </c>
      <c r="AB11" s="123">
        <f>400/400*100%</f>
        <v>1</v>
      </c>
      <c r="AC11" s="409">
        <f>400/400*100%</f>
        <v>1</v>
      </c>
      <c r="AD11" s="123"/>
      <c r="AE11" s="123"/>
      <c r="AF11" s="123">
        <f>AC11</f>
        <v>1</v>
      </c>
      <c r="AG11" s="207" t="s">
        <v>408</v>
      </c>
      <c r="AH11" s="220" t="s">
        <v>409</v>
      </c>
      <c r="AI11" s="176" t="s">
        <v>12</v>
      </c>
      <c r="AJ11" s="446" t="s">
        <v>410</v>
      </c>
      <c r="AK11" s="211" t="s">
        <v>411</v>
      </c>
      <c r="AL11" s="447" t="s">
        <v>12</v>
      </c>
      <c r="AM11" s="270"/>
      <c r="AN11" s="270"/>
      <c r="AO11" s="270"/>
      <c r="AP11" s="158"/>
      <c r="AQ11" s="158"/>
      <c r="AR11" s="268"/>
      <c r="AS11" s="155">
        <f t="shared" si="0"/>
        <v>1</v>
      </c>
      <c r="AT11" s="156">
        <f t="shared" si="1"/>
        <v>1</v>
      </c>
    </row>
    <row r="12" spans="1:52" ht="267.75">
      <c r="A12" s="299" t="s">
        <v>154</v>
      </c>
      <c r="B12" s="317" t="s">
        <v>9</v>
      </c>
      <c r="C12" s="305" t="s">
        <v>17</v>
      </c>
      <c r="D12" s="311">
        <v>0.2</v>
      </c>
      <c r="E12" s="312" t="s">
        <v>331</v>
      </c>
      <c r="F12" s="324">
        <v>0.05</v>
      </c>
      <c r="G12" s="305" t="s">
        <v>23</v>
      </c>
      <c r="H12" s="301" t="s">
        <v>252</v>
      </c>
      <c r="I12" s="269" t="s">
        <v>402</v>
      </c>
      <c r="J12" s="301" t="s">
        <v>226</v>
      </c>
      <c r="K12" s="124" t="s">
        <v>412</v>
      </c>
      <c r="L12" s="124" t="s">
        <v>413</v>
      </c>
      <c r="M12" s="124" t="s">
        <v>414</v>
      </c>
      <c r="N12" s="301" t="s">
        <v>336</v>
      </c>
      <c r="O12" s="301" t="s">
        <v>227</v>
      </c>
      <c r="P12" s="301" t="s">
        <v>337</v>
      </c>
      <c r="Q12" s="305">
        <v>2024</v>
      </c>
      <c r="R12" s="324">
        <v>1</v>
      </c>
      <c r="S12" s="327">
        <v>46022</v>
      </c>
      <c r="T12" s="321">
        <v>1</v>
      </c>
      <c r="U12" s="321">
        <v>1</v>
      </c>
      <c r="V12" s="321">
        <v>1</v>
      </c>
      <c r="W12" s="321">
        <v>1</v>
      </c>
      <c r="X12" s="321">
        <v>1</v>
      </c>
      <c r="Y12" s="322" t="s">
        <v>406</v>
      </c>
      <c r="Z12" s="322" t="s">
        <v>415</v>
      </c>
      <c r="AA12" s="323" t="s">
        <v>340</v>
      </c>
      <c r="AB12" s="123">
        <f>1683/1683</f>
        <v>1</v>
      </c>
      <c r="AC12" s="409">
        <f>(1683/1683)*100%</f>
        <v>1</v>
      </c>
      <c r="AD12" s="123"/>
      <c r="AE12" s="123"/>
      <c r="AF12" s="523">
        <f t="shared" ref="AF12:AF13" si="2">AC12</f>
        <v>1</v>
      </c>
      <c r="AG12" s="207" t="s">
        <v>416</v>
      </c>
      <c r="AH12" s="220" t="s">
        <v>417</v>
      </c>
      <c r="AI12" s="176" t="s">
        <v>12</v>
      </c>
      <c r="AJ12" s="446" t="s">
        <v>418</v>
      </c>
      <c r="AK12" s="220" t="s">
        <v>419</v>
      </c>
      <c r="AL12" s="447" t="s">
        <v>12</v>
      </c>
      <c r="AM12" s="270"/>
      <c r="AN12" s="270"/>
      <c r="AO12" s="270"/>
      <c r="AP12" s="158"/>
      <c r="AQ12" s="158"/>
      <c r="AR12" s="268"/>
      <c r="AS12" s="155">
        <f t="shared" si="0"/>
        <v>1</v>
      </c>
      <c r="AT12" s="156">
        <f t="shared" si="1"/>
        <v>1</v>
      </c>
    </row>
    <row r="13" spans="1:52" ht="216.75">
      <c r="A13" s="299" t="s">
        <v>155</v>
      </c>
      <c r="B13" s="317" t="s">
        <v>9</v>
      </c>
      <c r="C13" s="305" t="s">
        <v>17</v>
      </c>
      <c r="D13" s="311">
        <v>0.2</v>
      </c>
      <c r="E13" s="312" t="s">
        <v>331</v>
      </c>
      <c r="F13" s="324">
        <v>0.05</v>
      </c>
      <c r="G13" s="305" t="s">
        <v>23</v>
      </c>
      <c r="H13" s="301" t="s">
        <v>252</v>
      </c>
      <c r="I13" s="269" t="s">
        <v>402</v>
      </c>
      <c r="J13" s="301" t="s">
        <v>226</v>
      </c>
      <c r="K13" s="124" t="s">
        <v>420</v>
      </c>
      <c r="L13" s="124" t="s">
        <v>421</v>
      </c>
      <c r="M13" s="124" t="s">
        <v>422</v>
      </c>
      <c r="N13" s="301" t="s">
        <v>336</v>
      </c>
      <c r="O13" s="301" t="s">
        <v>227</v>
      </c>
      <c r="P13" s="301" t="s">
        <v>337</v>
      </c>
      <c r="Q13" s="305">
        <v>2024</v>
      </c>
      <c r="R13" s="324">
        <v>1</v>
      </c>
      <c r="S13" s="327">
        <v>46022</v>
      </c>
      <c r="T13" s="321">
        <v>1</v>
      </c>
      <c r="U13" s="321">
        <v>1</v>
      </c>
      <c r="V13" s="321">
        <v>1</v>
      </c>
      <c r="W13" s="321">
        <v>1</v>
      </c>
      <c r="X13" s="321">
        <v>1</v>
      </c>
      <c r="Y13" s="322" t="s">
        <v>406</v>
      </c>
      <c r="Z13" s="322" t="s">
        <v>423</v>
      </c>
      <c r="AA13" s="323" t="s">
        <v>340</v>
      </c>
      <c r="AB13" s="123">
        <v>1</v>
      </c>
      <c r="AC13" s="409">
        <v>1</v>
      </c>
      <c r="AD13" s="123"/>
      <c r="AE13" s="123"/>
      <c r="AF13" s="123">
        <f t="shared" si="2"/>
        <v>1</v>
      </c>
      <c r="AG13" s="207" t="s">
        <v>424</v>
      </c>
      <c r="AH13" s="212" t="s">
        <v>425</v>
      </c>
      <c r="AI13" s="176" t="s">
        <v>12</v>
      </c>
      <c r="AJ13" s="446" t="s">
        <v>426</v>
      </c>
      <c r="AK13" s="220" t="s">
        <v>427</v>
      </c>
      <c r="AL13" s="447" t="s">
        <v>12</v>
      </c>
      <c r="AM13" s="270"/>
      <c r="AN13" s="270"/>
      <c r="AO13" s="270"/>
      <c r="AP13" s="158"/>
      <c r="AQ13" s="158"/>
      <c r="AR13" s="268"/>
      <c r="AS13" s="155">
        <f t="shared" si="0"/>
        <v>1</v>
      </c>
      <c r="AT13" s="156">
        <f t="shared" si="1"/>
        <v>1</v>
      </c>
    </row>
    <row r="14" spans="1:52" ht="171.6" customHeight="1">
      <c r="A14" s="299" t="s">
        <v>156</v>
      </c>
      <c r="B14" s="300" t="s">
        <v>9</v>
      </c>
      <c r="C14" s="305" t="s">
        <v>10</v>
      </c>
      <c r="D14" s="302">
        <v>1</v>
      </c>
      <c r="E14" s="312" t="s">
        <v>428</v>
      </c>
      <c r="F14" s="304">
        <v>1</v>
      </c>
      <c r="G14" s="305" t="s">
        <v>11</v>
      </c>
      <c r="H14" s="301" t="s">
        <v>252</v>
      </c>
      <c r="I14" s="306" t="s">
        <v>332</v>
      </c>
      <c r="J14" s="301" t="s">
        <v>232</v>
      </c>
      <c r="K14" s="303" t="s">
        <v>429</v>
      </c>
      <c r="L14" s="303" t="s">
        <v>430</v>
      </c>
      <c r="M14" s="303" t="s">
        <v>431</v>
      </c>
      <c r="N14" s="301" t="s">
        <v>360</v>
      </c>
      <c r="O14" s="301" t="s">
        <v>233</v>
      </c>
      <c r="P14" s="301" t="s">
        <v>361</v>
      </c>
      <c r="Q14" s="305" t="s">
        <v>348</v>
      </c>
      <c r="R14" s="305" t="s">
        <v>348</v>
      </c>
      <c r="S14" s="305" t="s">
        <v>348</v>
      </c>
      <c r="T14" s="122">
        <v>100</v>
      </c>
      <c r="U14" s="122">
        <v>100</v>
      </c>
      <c r="V14" s="122">
        <v>100</v>
      </c>
      <c r="W14" s="122">
        <v>100</v>
      </c>
      <c r="X14" s="107">
        <v>400</v>
      </c>
      <c r="Y14" s="193" t="s">
        <v>432</v>
      </c>
      <c r="Z14" s="193" t="s">
        <v>433</v>
      </c>
      <c r="AA14" s="193" t="s">
        <v>340</v>
      </c>
      <c r="AB14" s="122">
        <v>100</v>
      </c>
      <c r="AC14" s="410">
        <v>100</v>
      </c>
      <c r="AD14" s="288"/>
      <c r="AE14" s="288"/>
      <c r="AF14" s="410">
        <v>100</v>
      </c>
      <c r="AG14" s="219" t="s">
        <v>434</v>
      </c>
      <c r="AH14" s="219" t="s">
        <v>435</v>
      </c>
      <c r="AI14" s="176" t="s">
        <v>12</v>
      </c>
      <c r="AJ14" s="415" t="s">
        <v>436</v>
      </c>
      <c r="AK14" s="415" t="s">
        <v>437</v>
      </c>
      <c r="AL14" s="415"/>
      <c r="AM14" s="158"/>
      <c r="AN14" s="158"/>
      <c r="AO14" s="158"/>
      <c r="AP14" s="158"/>
      <c r="AQ14" s="158"/>
      <c r="AR14" s="271"/>
      <c r="AS14" s="155">
        <f t="shared" si="0"/>
        <v>1</v>
      </c>
      <c r="AT14" s="156">
        <f t="shared" si="1"/>
        <v>0.25</v>
      </c>
    </row>
    <row r="15" spans="1:52" ht="216.75">
      <c r="A15" s="299" t="s">
        <v>157</v>
      </c>
      <c r="B15" s="317" t="s">
        <v>9</v>
      </c>
      <c r="C15" s="305" t="s">
        <v>14</v>
      </c>
      <c r="D15" s="313">
        <v>1</v>
      </c>
      <c r="E15" s="312" t="s">
        <v>438</v>
      </c>
      <c r="F15" s="324">
        <v>0.14000000000000001</v>
      </c>
      <c r="G15" s="305" t="s">
        <v>15</v>
      </c>
      <c r="H15" s="301" t="s">
        <v>249</v>
      </c>
      <c r="I15" s="326" t="s">
        <v>439</v>
      </c>
      <c r="J15" s="301" t="s">
        <v>226</v>
      </c>
      <c r="K15" s="124" t="s">
        <v>440</v>
      </c>
      <c r="L15" s="124" t="s">
        <v>441</v>
      </c>
      <c r="M15" s="124" t="s">
        <v>442</v>
      </c>
      <c r="N15" s="301" t="s">
        <v>360</v>
      </c>
      <c r="O15" s="301" t="s">
        <v>233</v>
      </c>
      <c r="P15" s="301" t="s">
        <v>361</v>
      </c>
      <c r="Q15" s="305">
        <v>2024</v>
      </c>
      <c r="R15" s="328">
        <v>28</v>
      </c>
      <c r="S15" s="329">
        <v>46022</v>
      </c>
      <c r="T15" s="328">
        <v>7</v>
      </c>
      <c r="U15" s="328">
        <v>11</v>
      </c>
      <c r="V15" s="328">
        <v>8</v>
      </c>
      <c r="W15" s="328">
        <v>5</v>
      </c>
      <c r="X15" s="330">
        <v>31</v>
      </c>
      <c r="Y15" s="193" t="s">
        <v>443</v>
      </c>
      <c r="Z15" s="193" t="s">
        <v>444</v>
      </c>
      <c r="AA15" s="193" t="s">
        <v>340</v>
      </c>
      <c r="AB15" s="166">
        <v>7</v>
      </c>
      <c r="AC15" s="162">
        <v>19</v>
      </c>
      <c r="AD15" s="157"/>
      <c r="AE15" s="157"/>
      <c r="AF15" s="257">
        <v>26</v>
      </c>
      <c r="AG15" s="163" t="s">
        <v>445</v>
      </c>
      <c r="AH15" s="164" t="s">
        <v>446</v>
      </c>
      <c r="AI15" s="176" t="s">
        <v>12</v>
      </c>
      <c r="AJ15" s="163" t="s">
        <v>447</v>
      </c>
      <c r="AK15" s="163" t="s">
        <v>448</v>
      </c>
      <c r="AL15" s="163" t="s">
        <v>12</v>
      </c>
      <c r="AM15" s="158"/>
      <c r="AN15" s="158"/>
      <c r="AO15" s="158"/>
      <c r="AP15" s="158"/>
      <c r="AQ15" s="158"/>
      <c r="AR15" s="269"/>
      <c r="AS15" s="155">
        <f t="shared" si="0"/>
        <v>1.0000100000000001</v>
      </c>
      <c r="AT15" s="156">
        <f t="shared" si="1"/>
        <v>0.83870967741935487</v>
      </c>
    </row>
    <row r="16" spans="1:52" ht="204">
      <c r="A16" s="299" t="s">
        <v>158</v>
      </c>
      <c r="B16" s="317" t="s">
        <v>9</v>
      </c>
      <c r="C16" s="305" t="s">
        <v>14</v>
      </c>
      <c r="D16" s="313">
        <v>1</v>
      </c>
      <c r="E16" s="312" t="s">
        <v>438</v>
      </c>
      <c r="F16" s="324">
        <v>0.14000000000000001</v>
      </c>
      <c r="G16" s="305" t="s">
        <v>15</v>
      </c>
      <c r="H16" s="301" t="s">
        <v>249</v>
      </c>
      <c r="I16" s="268" t="s">
        <v>439</v>
      </c>
      <c r="J16" s="301" t="s">
        <v>226</v>
      </c>
      <c r="K16" s="124" t="s">
        <v>449</v>
      </c>
      <c r="L16" s="124" t="s">
        <v>450</v>
      </c>
      <c r="M16" s="124" t="s">
        <v>451</v>
      </c>
      <c r="N16" s="301" t="s">
        <v>360</v>
      </c>
      <c r="O16" s="301" t="s">
        <v>233</v>
      </c>
      <c r="P16" s="301" t="s">
        <v>361</v>
      </c>
      <c r="Q16" s="305">
        <v>2024</v>
      </c>
      <c r="R16" s="328">
        <v>16</v>
      </c>
      <c r="S16" s="329">
        <v>46022</v>
      </c>
      <c r="T16" s="328">
        <v>4</v>
      </c>
      <c r="U16" s="328">
        <v>8</v>
      </c>
      <c r="V16" s="328">
        <v>4</v>
      </c>
      <c r="W16" s="328">
        <v>5</v>
      </c>
      <c r="X16" s="330">
        <v>21</v>
      </c>
      <c r="Y16" s="331" t="s">
        <v>452</v>
      </c>
      <c r="Z16" s="193" t="s">
        <v>453</v>
      </c>
      <c r="AA16" s="331" t="s">
        <v>340</v>
      </c>
      <c r="AB16" s="166">
        <v>4</v>
      </c>
      <c r="AC16" s="162">
        <v>10</v>
      </c>
      <c r="AD16" s="157"/>
      <c r="AE16" s="157"/>
      <c r="AF16" s="257">
        <v>14</v>
      </c>
      <c r="AG16" s="163" t="s">
        <v>454</v>
      </c>
      <c r="AH16" s="164" t="s">
        <v>455</v>
      </c>
      <c r="AI16" s="176" t="s">
        <v>12</v>
      </c>
      <c r="AJ16" s="163" t="s">
        <v>456</v>
      </c>
      <c r="AK16" s="163" t="s">
        <v>457</v>
      </c>
      <c r="AL16" s="163" t="s">
        <v>12</v>
      </c>
      <c r="AM16" s="158"/>
      <c r="AN16" s="158"/>
      <c r="AO16" s="158"/>
      <c r="AP16" s="158"/>
      <c r="AQ16" s="158"/>
      <c r="AR16" s="269"/>
      <c r="AS16" s="155">
        <f t="shared" si="0"/>
        <v>1.0000100000000001</v>
      </c>
      <c r="AT16" s="156">
        <f t="shared" si="1"/>
        <v>0.66666666666666663</v>
      </c>
    </row>
    <row r="17" spans="1:46" ht="191.25">
      <c r="A17" s="299" t="s">
        <v>159</v>
      </c>
      <c r="B17" s="317" t="s">
        <v>9</v>
      </c>
      <c r="C17" s="305" t="s">
        <v>14</v>
      </c>
      <c r="D17" s="313">
        <v>1</v>
      </c>
      <c r="E17" s="312" t="s">
        <v>438</v>
      </c>
      <c r="F17" s="324">
        <v>0.14000000000000001</v>
      </c>
      <c r="G17" s="305" t="s">
        <v>15</v>
      </c>
      <c r="H17" s="301" t="s">
        <v>249</v>
      </c>
      <c r="I17" s="268" t="s">
        <v>439</v>
      </c>
      <c r="J17" s="301" t="s">
        <v>226</v>
      </c>
      <c r="K17" s="124" t="s">
        <v>458</v>
      </c>
      <c r="L17" s="124" t="s">
        <v>459</v>
      </c>
      <c r="M17" s="124" t="s">
        <v>460</v>
      </c>
      <c r="N17" s="301" t="s">
        <v>360</v>
      </c>
      <c r="O17" s="301" t="s">
        <v>233</v>
      </c>
      <c r="P17" s="301" t="s">
        <v>361</v>
      </c>
      <c r="Q17" s="305">
        <v>2024</v>
      </c>
      <c r="R17" s="328">
        <v>5</v>
      </c>
      <c r="S17" s="329">
        <v>46022</v>
      </c>
      <c r="T17" s="328">
        <v>3</v>
      </c>
      <c r="U17" s="328">
        <v>1</v>
      </c>
      <c r="V17" s="328">
        <v>1</v>
      </c>
      <c r="W17" s="328">
        <v>0</v>
      </c>
      <c r="X17" s="330">
        <v>5</v>
      </c>
      <c r="Y17" s="331" t="s">
        <v>461</v>
      </c>
      <c r="Z17" s="331" t="s">
        <v>462</v>
      </c>
      <c r="AA17" s="331" t="s">
        <v>340</v>
      </c>
      <c r="AB17" s="166">
        <v>3</v>
      </c>
      <c r="AC17" s="162">
        <v>5</v>
      </c>
      <c r="AD17" s="157"/>
      <c r="AE17" s="157"/>
      <c r="AF17" s="257">
        <v>8</v>
      </c>
      <c r="AG17" s="163" t="s">
        <v>463</v>
      </c>
      <c r="AH17" s="164" t="s">
        <v>464</v>
      </c>
      <c r="AI17" s="176" t="s">
        <v>12</v>
      </c>
      <c r="AJ17" s="163" t="s">
        <v>465</v>
      </c>
      <c r="AK17" s="163" t="s">
        <v>466</v>
      </c>
      <c r="AL17" s="163" t="s">
        <v>12</v>
      </c>
      <c r="AM17" s="158"/>
      <c r="AN17" s="158"/>
      <c r="AO17" s="158"/>
      <c r="AP17" s="158"/>
      <c r="AQ17" s="158"/>
      <c r="AR17" s="269"/>
      <c r="AS17" s="155">
        <f t="shared" si="0"/>
        <v>1.0000100000000001</v>
      </c>
      <c r="AT17" s="156">
        <f t="shared" si="1"/>
        <v>1.0000100000000001</v>
      </c>
    </row>
    <row r="18" spans="1:46" ht="242.25">
      <c r="A18" s="299" t="s">
        <v>160</v>
      </c>
      <c r="B18" s="317" t="s">
        <v>9</v>
      </c>
      <c r="C18" s="305" t="s">
        <v>14</v>
      </c>
      <c r="D18" s="313">
        <v>1</v>
      </c>
      <c r="E18" s="312" t="s">
        <v>438</v>
      </c>
      <c r="F18" s="324">
        <v>0.14000000000000001</v>
      </c>
      <c r="G18" s="305" t="s">
        <v>15</v>
      </c>
      <c r="H18" s="301" t="s">
        <v>249</v>
      </c>
      <c r="I18" s="268" t="s">
        <v>439</v>
      </c>
      <c r="J18" s="301" t="s">
        <v>226</v>
      </c>
      <c r="K18" s="124" t="s">
        <v>467</v>
      </c>
      <c r="L18" s="124" t="s">
        <v>468</v>
      </c>
      <c r="M18" s="124" t="s">
        <v>469</v>
      </c>
      <c r="N18" s="301" t="s">
        <v>360</v>
      </c>
      <c r="O18" s="301" t="s">
        <v>233</v>
      </c>
      <c r="P18" s="301" t="s">
        <v>361</v>
      </c>
      <c r="Q18" s="305">
        <v>2024</v>
      </c>
      <c r="R18" s="328">
        <v>24</v>
      </c>
      <c r="S18" s="329">
        <v>46022</v>
      </c>
      <c r="T18" s="328">
        <v>4</v>
      </c>
      <c r="U18" s="328">
        <v>7</v>
      </c>
      <c r="V18" s="328">
        <v>7</v>
      </c>
      <c r="W18" s="328">
        <v>6</v>
      </c>
      <c r="X18" s="330">
        <v>24</v>
      </c>
      <c r="Y18" s="331" t="s">
        <v>470</v>
      </c>
      <c r="Z18" s="331" t="s">
        <v>471</v>
      </c>
      <c r="AA18" s="331" t="s">
        <v>340</v>
      </c>
      <c r="AB18" s="166">
        <v>5</v>
      </c>
      <c r="AC18" s="162">
        <v>10</v>
      </c>
      <c r="AD18" s="157"/>
      <c r="AE18" s="157"/>
      <c r="AF18" s="257">
        <v>15</v>
      </c>
      <c r="AG18" s="163" t="s">
        <v>472</v>
      </c>
      <c r="AH18" s="164" t="s">
        <v>473</v>
      </c>
      <c r="AI18" s="176" t="s">
        <v>12</v>
      </c>
      <c r="AJ18" s="163" t="s">
        <v>474</v>
      </c>
      <c r="AK18" s="163" t="s">
        <v>475</v>
      </c>
      <c r="AL18" s="163"/>
      <c r="AM18" s="158"/>
      <c r="AN18" s="158"/>
      <c r="AO18" s="158"/>
      <c r="AP18" s="158"/>
      <c r="AQ18" s="158"/>
      <c r="AR18" s="269"/>
      <c r="AS18" s="155">
        <f t="shared" si="0"/>
        <v>1.0000100000000001</v>
      </c>
      <c r="AT18" s="156">
        <f t="shared" si="1"/>
        <v>0.625</v>
      </c>
    </row>
    <row r="19" spans="1:46" ht="191.25">
      <c r="A19" s="299" t="s">
        <v>161</v>
      </c>
      <c r="B19" s="317" t="s">
        <v>9</v>
      </c>
      <c r="C19" s="305" t="s">
        <v>14</v>
      </c>
      <c r="D19" s="313">
        <v>1</v>
      </c>
      <c r="E19" s="312" t="s">
        <v>438</v>
      </c>
      <c r="F19" s="324">
        <v>0.14000000000000001</v>
      </c>
      <c r="G19" s="305" t="s">
        <v>15</v>
      </c>
      <c r="H19" s="301" t="s">
        <v>249</v>
      </c>
      <c r="I19" s="268" t="s">
        <v>439</v>
      </c>
      <c r="J19" s="301" t="s">
        <v>226</v>
      </c>
      <c r="K19" s="124" t="s">
        <v>476</v>
      </c>
      <c r="L19" s="124" t="s">
        <v>477</v>
      </c>
      <c r="M19" s="124" t="s">
        <v>478</v>
      </c>
      <c r="N19" s="301" t="s">
        <v>360</v>
      </c>
      <c r="O19" s="301" t="s">
        <v>233</v>
      </c>
      <c r="P19" s="301" t="s">
        <v>361</v>
      </c>
      <c r="Q19" s="305">
        <v>2024</v>
      </c>
      <c r="R19" s="328">
        <v>3</v>
      </c>
      <c r="S19" s="329">
        <v>46022</v>
      </c>
      <c r="T19" s="328">
        <v>1</v>
      </c>
      <c r="U19" s="328">
        <v>1</v>
      </c>
      <c r="V19" s="328">
        <v>1</v>
      </c>
      <c r="W19" s="328">
        <v>1</v>
      </c>
      <c r="X19" s="330">
        <v>4</v>
      </c>
      <c r="Y19" s="331" t="s">
        <v>479</v>
      </c>
      <c r="Z19" s="331" t="s">
        <v>480</v>
      </c>
      <c r="AA19" s="331" t="s">
        <v>340</v>
      </c>
      <c r="AB19" s="166">
        <v>1</v>
      </c>
      <c r="AC19" s="162">
        <v>4</v>
      </c>
      <c r="AD19" s="157"/>
      <c r="AE19" s="157"/>
      <c r="AF19" s="257">
        <v>5</v>
      </c>
      <c r="AG19" s="163" t="s">
        <v>481</v>
      </c>
      <c r="AH19" s="164" t="s">
        <v>482</v>
      </c>
      <c r="AI19" s="176" t="s">
        <v>12</v>
      </c>
      <c r="AJ19" s="163" t="s">
        <v>483</v>
      </c>
      <c r="AK19" s="163" t="s">
        <v>484</v>
      </c>
      <c r="AL19" s="163" t="s">
        <v>12</v>
      </c>
      <c r="AM19" s="158"/>
      <c r="AN19" s="158"/>
      <c r="AO19" s="158"/>
      <c r="AP19" s="158"/>
      <c r="AQ19" s="158"/>
      <c r="AR19" s="269"/>
      <c r="AS19" s="155">
        <f t="shared" si="0"/>
        <v>1.0000100000000001</v>
      </c>
      <c r="AT19" s="156">
        <f t="shared" si="1"/>
        <v>1.0000100000000001</v>
      </c>
    </row>
    <row r="20" spans="1:46" ht="127.5">
      <c r="A20" s="299" t="s">
        <v>162</v>
      </c>
      <c r="B20" s="317" t="s">
        <v>9</v>
      </c>
      <c r="C20" s="305" t="s">
        <v>14</v>
      </c>
      <c r="D20" s="313">
        <v>1</v>
      </c>
      <c r="E20" s="312" t="s">
        <v>438</v>
      </c>
      <c r="F20" s="324">
        <v>0.14000000000000001</v>
      </c>
      <c r="G20" s="305" t="s">
        <v>15</v>
      </c>
      <c r="H20" s="301" t="s">
        <v>249</v>
      </c>
      <c r="I20" s="268" t="s">
        <v>439</v>
      </c>
      <c r="J20" s="301" t="s">
        <v>229</v>
      </c>
      <c r="K20" s="124" t="s">
        <v>485</v>
      </c>
      <c r="L20" s="124" t="s">
        <v>486</v>
      </c>
      <c r="M20" s="124" t="s">
        <v>487</v>
      </c>
      <c r="N20" s="301" t="s">
        <v>360</v>
      </c>
      <c r="O20" s="301" t="s">
        <v>233</v>
      </c>
      <c r="P20" s="301" t="s">
        <v>361</v>
      </c>
      <c r="Q20" s="305">
        <v>2024</v>
      </c>
      <c r="R20" s="328">
        <v>22</v>
      </c>
      <c r="S20" s="329">
        <v>46022</v>
      </c>
      <c r="T20" s="328">
        <v>3</v>
      </c>
      <c r="U20" s="328">
        <v>4</v>
      </c>
      <c r="V20" s="328">
        <v>14</v>
      </c>
      <c r="W20" s="328">
        <v>3</v>
      </c>
      <c r="X20" s="330">
        <v>24</v>
      </c>
      <c r="Y20" s="331" t="s">
        <v>488</v>
      </c>
      <c r="Z20" s="331" t="s">
        <v>480</v>
      </c>
      <c r="AA20" s="331" t="s">
        <v>340</v>
      </c>
      <c r="AB20" s="166">
        <v>4</v>
      </c>
      <c r="AC20" s="162">
        <v>4</v>
      </c>
      <c r="AD20" s="157"/>
      <c r="AE20" s="157"/>
      <c r="AF20" s="257">
        <v>8</v>
      </c>
      <c r="AG20" s="163" t="s">
        <v>489</v>
      </c>
      <c r="AH20" s="164" t="s">
        <v>490</v>
      </c>
      <c r="AI20" s="176" t="s">
        <v>12</v>
      </c>
      <c r="AJ20" s="163" t="s">
        <v>491</v>
      </c>
      <c r="AK20" s="163" t="s">
        <v>492</v>
      </c>
      <c r="AL20" s="163"/>
      <c r="AM20" s="158"/>
      <c r="AN20" s="158"/>
      <c r="AO20" s="158"/>
      <c r="AP20" s="158"/>
      <c r="AQ20" s="158"/>
      <c r="AR20" s="269"/>
      <c r="AS20" s="155">
        <f t="shared" si="0"/>
        <v>1</v>
      </c>
      <c r="AT20" s="156">
        <f t="shared" si="1"/>
        <v>0.33333333333333331</v>
      </c>
    </row>
    <row r="21" spans="1:46" ht="153.75" customHeight="1">
      <c r="A21" s="299" t="s">
        <v>163</v>
      </c>
      <c r="B21" s="317" t="s">
        <v>9</v>
      </c>
      <c r="C21" s="305" t="s">
        <v>14</v>
      </c>
      <c r="D21" s="313">
        <v>1</v>
      </c>
      <c r="E21" s="312" t="s">
        <v>438</v>
      </c>
      <c r="F21" s="324">
        <v>0.14000000000000001</v>
      </c>
      <c r="G21" s="305" t="s">
        <v>15</v>
      </c>
      <c r="H21" s="301" t="s">
        <v>249</v>
      </c>
      <c r="I21" s="268" t="s">
        <v>439</v>
      </c>
      <c r="J21" s="301" t="s">
        <v>235</v>
      </c>
      <c r="K21" s="124" t="s">
        <v>493</v>
      </c>
      <c r="L21" s="124" t="s">
        <v>494</v>
      </c>
      <c r="M21" s="124" t="s">
        <v>495</v>
      </c>
      <c r="N21" s="301" t="s">
        <v>360</v>
      </c>
      <c r="O21" s="301" t="s">
        <v>230</v>
      </c>
      <c r="P21" s="301" t="s">
        <v>361</v>
      </c>
      <c r="Q21" s="305">
        <v>2025</v>
      </c>
      <c r="R21" s="328">
        <v>1</v>
      </c>
      <c r="S21" s="329">
        <v>46022</v>
      </c>
      <c r="T21" s="328">
        <v>0</v>
      </c>
      <c r="U21" s="328">
        <v>0</v>
      </c>
      <c r="V21" s="328">
        <v>0</v>
      </c>
      <c r="W21" s="328">
        <v>1</v>
      </c>
      <c r="X21" s="330">
        <v>1</v>
      </c>
      <c r="Y21" s="331" t="s">
        <v>496</v>
      </c>
      <c r="Z21" s="167" t="s">
        <v>495</v>
      </c>
      <c r="AA21" s="331" t="s">
        <v>497</v>
      </c>
      <c r="AB21" s="166">
        <v>0</v>
      </c>
      <c r="AC21" s="166">
        <v>0</v>
      </c>
      <c r="AD21" s="289"/>
      <c r="AE21" s="289"/>
      <c r="AF21" s="166">
        <v>0</v>
      </c>
      <c r="AG21" s="163" t="s">
        <v>498</v>
      </c>
      <c r="AH21" s="165"/>
      <c r="AI21" s="176" t="s">
        <v>12</v>
      </c>
      <c r="AJ21" s="492" t="s">
        <v>498</v>
      </c>
      <c r="AK21" s="191"/>
      <c r="AL21" s="191"/>
      <c r="AM21" s="158"/>
      <c r="AN21" s="158"/>
      <c r="AO21" s="158"/>
      <c r="AP21" s="158"/>
      <c r="AQ21" s="158"/>
      <c r="AR21" s="165"/>
      <c r="AS21" s="155" t="str">
        <f t="shared" si="0"/>
        <v>No aplica, no hay meta</v>
      </c>
      <c r="AT21" s="156">
        <f t="shared" si="1"/>
        <v>0</v>
      </c>
    </row>
    <row r="22" spans="1:46" ht="96" customHeight="1">
      <c r="A22" s="299" t="s">
        <v>164</v>
      </c>
      <c r="B22" s="317" t="s">
        <v>27</v>
      </c>
      <c r="C22" s="305" t="s">
        <v>51</v>
      </c>
      <c r="D22" s="324">
        <v>0.33</v>
      </c>
      <c r="E22" s="312" t="s">
        <v>499</v>
      </c>
      <c r="F22" s="324">
        <v>0.11</v>
      </c>
      <c r="G22" s="305" t="s">
        <v>52</v>
      </c>
      <c r="H22" s="301" t="s">
        <v>246</v>
      </c>
      <c r="I22" s="306" t="s">
        <v>500</v>
      </c>
      <c r="J22" s="301" t="s">
        <v>226</v>
      </c>
      <c r="K22" s="303" t="s">
        <v>501</v>
      </c>
      <c r="L22" s="303" t="s">
        <v>502</v>
      </c>
      <c r="M22" s="303" t="s">
        <v>503</v>
      </c>
      <c r="N22" s="301" t="s">
        <v>360</v>
      </c>
      <c r="O22" s="301" t="s">
        <v>233</v>
      </c>
      <c r="P22" s="301" t="s">
        <v>361</v>
      </c>
      <c r="Q22" s="305">
        <v>2024</v>
      </c>
      <c r="R22" s="328">
        <v>70</v>
      </c>
      <c r="S22" s="307">
        <v>46022</v>
      </c>
      <c r="T22" s="332">
        <v>10</v>
      </c>
      <c r="U22" s="332">
        <v>15</v>
      </c>
      <c r="V22" s="332">
        <v>15</v>
      </c>
      <c r="W22" s="332">
        <v>13</v>
      </c>
      <c r="X22" s="333">
        <f>+T22+U22+V22+W22</f>
        <v>53</v>
      </c>
      <c r="Y22" s="334" t="s">
        <v>503</v>
      </c>
      <c r="Z22" s="335" t="s">
        <v>504</v>
      </c>
      <c r="AA22" s="335" t="s">
        <v>340</v>
      </c>
      <c r="AB22" s="157">
        <v>10</v>
      </c>
      <c r="AC22" s="166">
        <v>15</v>
      </c>
      <c r="AD22" s="157"/>
      <c r="AE22" s="157"/>
      <c r="AF22" s="157">
        <f>SUBTOTAL(9,AB22:AE22)</f>
        <v>25</v>
      </c>
      <c r="AG22" s="241" t="s">
        <v>505</v>
      </c>
      <c r="AH22" s="244" t="s">
        <v>506</v>
      </c>
      <c r="AI22" s="176" t="s">
        <v>12</v>
      </c>
      <c r="AJ22" s="489" t="s">
        <v>507</v>
      </c>
      <c r="AK22" s="473" t="s">
        <v>508</v>
      </c>
      <c r="AL22" s="471" t="s">
        <v>12</v>
      </c>
      <c r="AM22" s="158"/>
      <c r="AN22" s="158"/>
      <c r="AO22" s="158"/>
      <c r="AP22" s="158"/>
      <c r="AQ22" s="158"/>
      <c r="AR22" s="271"/>
      <c r="AS22" s="155">
        <f t="shared" si="0"/>
        <v>1</v>
      </c>
      <c r="AT22" s="156">
        <f t="shared" si="1"/>
        <v>0.47169811320754718</v>
      </c>
    </row>
    <row r="23" spans="1:46" ht="108.75" customHeight="1">
      <c r="A23" s="299" t="s">
        <v>165</v>
      </c>
      <c r="B23" s="317" t="s">
        <v>27</v>
      </c>
      <c r="C23" s="305" t="s">
        <v>51</v>
      </c>
      <c r="D23" s="324">
        <v>0.33</v>
      </c>
      <c r="E23" s="312" t="s">
        <v>499</v>
      </c>
      <c r="F23" s="324">
        <v>0.11</v>
      </c>
      <c r="G23" s="305" t="s">
        <v>52</v>
      </c>
      <c r="H23" s="301" t="s">
        <v>246</v>
      </c>
      <c r="I23" s="306" t="s">
        <v>500</v>
      </c>
      <c r="J23" s="301" t="s">
        <v>229</v>
      </c>
      <c r="K23" s="303" t="s">
        <v>509</v>
      </c>
      <c r="L23" s="303" t="s">
        <v>510</v>
      </c>
      <c r="M23" s="303" t="s">
        <v>511</v>
      </c>
      <c r="N23" s="301" t="s">
        <v>336</v>
      </c>
      <c r="O23" s="301" t="s">
        <v>227</v>
      </c>
      <c r="P23" s="301" t="s">
        <v>337</v>
      </c>
      <c r="Q23" s="305">
        <v>2024</v>
      </c>
      <c r="R23" s="321">
        <v>1</v>
      </c>
      <c r="S23" s="307">
        <v>46022</v>
      </c>
      <c r="T23" s="336">
        <v>1</v>
      </c>
      <c r="U23" s="336">
        <v>1</v>
      </c>
      <c r="V23" s="336">
        <v>1</v>
      </c>
      <c r="W23" s="336">
        <v>1</v>
      </c>
      <c r="X23" s="337">
        <v>1</v>
      </c>
      <c r="Y23" s="334" t="s">
        <v>512</v>
      </c>
      <c r="Z23" s="335" t="s">
        <v>512</v>
      </c>
      <c r="AA23" s="335" t="s">
        <v>340</v>
      </c>
      <c r="AB23" s="290">
        <v>1</v>
      </c>
      <c r="AC23" s="170">
        <v>1</v>
      </c>
      <c r="AD23" s="290"/>
      <c r="AE23" s="290"/>
      <c r="AF23" s="123">
        <v>1</v>
      </c>
      <c r="AG23" s="242" t="s">
        <v>513</v>
      </c>
      <c r="AH23" s="160"/>
      <c r="AI23" s="176" t="s">
        <v>12</v>
      </c>
      <c r="AJ23" s="473" t="s">
        <v>514</v>
      </c>
      <c r="AK23" s="473" t="s">
        <v>515</v>
      </c>
      <c r="AL23" s="471" t="s">
        <v>12</v>
      </c>
      <c r="AM23" s="158"/>
      <c r="AN23" s="158"/>
      <c r="AO23" s="158"/>
      <c r="AP23" s="158"/>
      <c r="AQ23" s="158"/>
      <c r="AR23" s="271"/>
      <c r="AS23" s="155">
        <f t="shared" si="0"/>
        <v>1</v>
      </c>
      <c r="AT23" s="156">
        <f t="shared" si="1"/>
        <v>1</v>
      </c>
    </row>
    <row r="24" spans="1:46" ht="229.5">
      <c r="A24" s="299" t="s">
        <v>166</v>
      </c>
      <c r="B24" s="317" t="s">
        <v>27</v>
      </c>
      <c r="C24" s="305" t="s">
        <v>51</v>
      </c>
      <c r="D24" s="324">
        <v>0.33</v>
      </c>
      <c r="E24" s="312" t="s">
        <v>499</v>
      </c>
      <c r="F24" s="324">
        <v>0.11</v>
      </c>
      <c r="G24" s="305" t="s">
        <v>52</v>
      </c>
      <c r="H24" s="301" t="s">
        <v>246</v>
      </c>
      <c r="I24" s="306" t="s">
        <v>500</v>
      </c>
      <c r="J24" s="301" t="s">
        <v>226</v>
      </c>
      <c r="K24" s="303" t="s">
        <v>516</v>
      </c>
      <c r="L24" s="303" t="s">
        <v>517</v>
      </c>
      <c r="M24" s="303" t="s">
        <v>518</v>
      </c>
      <c r="N24" s="301" t="s">
        <v>360</v>
      </c>
      <c r="O24" s="301" t="s">
        <v>233</v>
      </c>
      <c r="P24" s="301" t="s">
        <v>361</v>
      </c>
      <c r="Q24" s="305">
        <v>2024</v>
      </c>
      <c r="R24" s="328">
        <v>23</v>
      </c>
      <c r="S24" s="307">
        <v>46022</v>
      </c>
      <c r="T24" s="332">
        <v>6</v>
      </c>
      <c r="U24" s="328">
        <v>5</v>
      </c>
      <c r="V24" s="328">
        <v>7</v>
      </c>
      <c r="W24" s="328">
        <v>5</v>
      </c>
      <c r="X24" s="330">
        <f>+T24+U24+V24+W24</f>
        <v>23</v>
      </c>
      <c r="Y24" s="334" t="s">
        <v>519</v>
      </c>
      <c r="Z24" s="334" t="s">
        <v>520</v>
      </c>
      <c r="AA24" s="335" t="s">
        <v>340</v>
      </c>
      <c r="AB24" s="157">
        <v>6</v>
      </c>
      <c r="AC24" s="166">
        <v>5</v>
      </c>
      <c r="AD24" s="157">
        <f>SUBTOTAL(9,AB24:AC24)</f>
        <v>11</v>
      </c>
      <c r="AE24" s="157"/>
      <c r="AF24" s="157">
        <f>AC24+AB24</f>
        <v>11</v>
      </c>
      <c r="AG24" s="241" t="s">
        <v>521</v>
      </c>
      <c r="AH24" s="243" t="s">
        <v>522</v>
      </c>
      <c r="AI24" s="176" t="s">
        <v>12</v>
      </c>
      <c r="AJ24" s="473" t="s">
        <v>523</v>
      </c>
      <c r="AK24" s="473" t="s">
        <v>524</v>
      </c>
      <c r="AL24" s="471" t="s">
        <v>12</v>
      </c>
      <c r="AM24" s="158"/>
      <c r="AN24" s="158"/>
      <c r="AO24" s="158"/>
      <c r="AP24" s="158"/>
      <c r="AQ24" s="158"/>
      <c r="AR24" s="271"/>
      <c r="AS24" s="155">
        <f t="shared" si="0"/>
        <v>1</v>
      </c>
      <c r="AT24" s="156">
        <f t="shared" si="1"/>
        <v>0.47826086956521741</v>
      </c>
    </row>
    <row r="25" spans="1:46" ht="108" customHeight="1">
      <c r="A25" s="299" t="s">
        <v>167</v>
      </c>
      <c r="B25" s="317" t="s">
        <v>27</v>
      </c>
      <c r="C25" s="305" t="s">
        <v>51</v>
      </c>
      <c r="D25" s="324">
        <v>0.33</v>
      </c>
      <c r="E25" s="312" t="s">
        <v>525</v>
      </c>
      <c r="F25" s="324">
        <v>0.11</v>
      </c>
      <c r="G25" s="305" t="s">
        <v>261</v>
      </c>
      <c r="H25" s="301" t="s">
        <v>249</v>
      </c>
      <c r="I25" s="306" t="s">
        <v>526</v>
      </c>
      <c r="J25" s="301" t="s">
        <v>226</v>
      </c>
      <c r="K25" s="124" t="s">
        <v>527</v>
      </c>
      <c r="L25" s="124" t="s">
        <v>528</v>
      </c>
      <c r="M25" s="167" t="s">
        <v>529</v>
      </c>
      <c r="N25" s="301" t="s">
        <v>360</v>
      </c>
      <c r="O25" s="301" t="s">
        <v>233</v>
      </c>
      <c r="P25" s="301" t="s">
        <v>361</v>
      </c>
      <c r="Q25" s="301">
        <v>2024</v>
      </c>
      <c r="R25" s="301">
        <v>400</v>
      </c>
      <c r="S25" s="338">
        <v>46022</v>
      </c>
      <c r="T25" s="339">
        <v>30</v>
      </c>
      <c r="U25" s="340">
        <v>150</v>
      </c>
      <c r="V25" s="340">
        <v>150</v>
      </c>
      <c r="W25" s="340">
        <v>80</v>
      </c>
      <c r="X25" s="330">
        <f>+T25+U25+V25+W25</f>
        <v>410</v>
      </c>
      <c r="Y25" s="334" t="s">
        <v>530</v>
      </c>
      <c r="Z25" s="334" t="s">
        <v>530</v>
      </c>
      <c r="AA25" s="335" t="s">
        <v>340</v>
      </c>
      <c r="AB25" s="524">
        <f>0+30+0</f>
        <v>30</v>
      </c>
      <c r="AC25" s="166">
        <v>212</v>
      </c>
      <c r="AD25" s="157"/>
      <c r="AE25" s="157"/>
      <c r="AF25" s="168">
        <f>AB25+AC25</f>
        <v>242</v>
      </c>
      <c r="AG25" s="201" t="s">
        <v>531</v>
      </c>
      <c r="AH25" s="248" t="s">
        <v>532</v>
      </c>
      <c r="AI25" s="176" t="s">
        <v>12</v>
      </c>
      <c r="AJ25" s="473" t="s">
        <v>533</v>
      </c>
      <c r="AK25" s="473" t="s">
        <v>534</v>
      </c>
      <c r="AL25" s="471" t="s">
        <v>12</v>
      </c>
      <c r="AM25" s="158"/>
      <c r="AN25" s="158"/>
      <c r="AO25" s="158"/>
      <c r="AP25" s="158"/>
      <c r="AQ25" s="158"/>
      <c r="AR25" s="272"/>
      <c r="AS25" s="155">
        <f t="shared" si="0"/>
        <v>1.0000100000000001</v>
      </c>
      <c r="AT25" s="156">
        <f t="shared" si="1"/>
        <v>0.59024390243902436</v>
      </c>
    </row>
    <row r="26" spans="1:46" ht="409.5">
      <c r="A26" s="299" t="s">
        <v>168</v>
      </c>
      <c r="B26" s="317" t="s">
        <v>27</v>
      </c>
      <c r="C26" s="305" t="s">
        <v>51</v>
      </c>
      <c r="D26" s="324">
        <v>0.33</v>
      </c>
      <c r="E26" s="312" t="s">
        <v>525</v>
      </c>
      <c r="F26" s="324">
        <v>0.11</v>
      </c>
      <c r="G26" s="305" t="s">
        <v>261</v>
      </c>
      <c r="H26" s="301" t="s">
        <v>249</v>
      </c>
      <c r="I26" s="306" t="s">
        <v>526</v>
      </c>
      <c r="J26" s="301" t="s">
        <v>229</v>
      </c>
      <c r="K26" s="124" t="s">
        <v>535</v>
      </c>
      <c r="L26" s="167" t="s">
        <v>536</v>
      </c>
      <c r="M26" s="167" t="s">
        <v>537</v>
      </c>
      <c r="N26" s="301" t="s">
        <v>360</v>
      </c>
      <c r="O26" s="301" t="s">
        <v>233</v>
      </c>
      <c r="P26" s="301" t="s">
        <v>361</v>
      </c>
      <c r="Q26" s="305">
        <v>2024</v>
      </c>
      <c r="R26" s="341">
        <v>250</v>
      </c>
      <c r="S26" s="327">
        <v>46022</v>
      </c>
      <c r="T26" s="332">
        <v>0</v>
      </c>
      <c r="U26" s="328">
        <v>20</v>
      </c>
      <c r="V26" s="328">
        <v>20</v>
      </c>
      <c r="W26" s="328">
        <v>10</v>
      </c>
      <c r="X26" s="330">
        <f>+U26+V26+W26</f>
        <v>50</v>
      </c>
      <c r="Y26" s="334" t="s">
        <v>538</v>
      </c>
      <c r="Z26" s="334" t="s">
        <v>538</v>
      </c>
      <c r="AA26" s="334" t="s">
        <v>497</v>
      </c>
      <c r="AB26" s="342">
        <v>0</v>
      </c>
      <c r="AC26" s="166">
        <v>20</v>
      </c>
      <c r="AD26" s="157"/>
      <c r="AE26" s="157"/>
      <c r="AF26" s="157">
        <f>AB26+AC26</f>
        <v>20</v>
      </c>
      <c r="AG26" s="204" t="s">
        <v>539</v>
      </c>
      <c r="AH26" s="159" t="s">
        <v>12</v>
      </c>
      <c r="AI26" s="176" t="s">
        <v>12</v>
      </c>
      <c r="AJ26" s="473" t="s">
        <v>540</v>
      </c>
      <c r="AK26" s="473" t="s">
        <v>541</v>
      </c>
      <c r="AL26" s="471" t="s">
        <v>12</v>
      </c>
      <c r="AM26" s="158"/>
      <c r="AN26" s="158"/>
      <c r="AO26" s="158"/>
      <c r="AP26" s="158"/>
      <c r="AQ26" s="158"/>
      <c r="AR26" s="159"/>
      <c r="AS26" s="155">
        <f t="shared" si="0"/>
        <v>1</v>
      </c>
      <c r="AT26" s="156">
        <f t="shared" si="1"/>
        <v>0.4</v>
      </c>
    </row>
    <row r="27" spans="1:46" ht="171" customHeight="1">
      <c r="A27" s="299" t="s">
        <v>169</v>
      </c>
      <c r="B27" s="317" t="s">
        <v>27</v>
      </c>
      <c r="C27" s="305" t="s">
        <v>51</v>
      </c>
      <c r="D27" s="324">
        <v>0.33</v>
      </c>
      <c r="E27" s="312" t="s">
        <v>525</v>
      </c>
      <c r="F27" s="324">
        <v>0.11</v>
      </c>
      <c r="G27" s="305" t="s">
        <v>261</v>
      </c>
      <c r="H27" s="301" t="s">
        <v>249</v>
      </c>
      <c r="I27" s="306" t="s">
        <v>526</v>
      </c>
      <c r="J27" s="301" t="s">
        <v>232</v>
      </c>
      <c r="K27" s="124" t="s">
        <v>542</v>
      </c>
      <c r="L27" s="124" t="s">
        <v>543</v>
      </c>
      <c r="M27" s="124" t="s">
        <v>544</v>
      </c>
      <c r="N27" s="301" t="s">
        <v>336</v>
      </c>
      <c r="O27" s="301" t="s">
        <v>227</v>
      </c>
      <c r="P27" s="301" t="s">
        <v>337</v>
      </c>
      <c r="Q27" s="301">
        <v>2024</v>
      </c>
      <c r="R27" s="304">
        <v>1</v>
      </c>
      <c r="S27" s="338">
        <v>46022</v>
      </c>
      <c r="T27" s="279">
        <v>1</v>
      </c>
      <c r="U27" s="279">
        <v>1</v>
      </c>
      <c r="V27" s="279">
        <v>1</v>
      </c>
      <c r="W27" s="279">
        <v>1</v>
      </c>
      <c r="X27" s="343">
        <v>1</v>
      </c>
      <c r="Y27" s="325" t="s">
        <v>545</v>
      </c>
      <c r="Z27" s="325" t="s">
        <v>545</v>
      </c>
      <c r="AA27" s="325" t="s">
        <v>340</v>
      </c>
      <c r="AB27" s="123">
        <f>5/5</f>
        <v>1</v>
      </c>
      <c r="AC27" s="505" t="s">
        <v>546</v>
      </c>
      <c r="AD27" s="157"/>
      <c r="AE27" s="157"/>
      <c r="AF27" s="505" t="s">
        <v>546</v>
      </c>
      <c r="AG27" s="203" t="s">
        <v>547</v>
      </c>
      <c r="AH27" s="205" t="s">
        <v>548</v>
      </c>
      <c r="AI27" s="176" t="s">
        <v>12</v>
      </c>
      <c r="AJ27" s="473" t="s">
        <v>549</v>
      </c>
      <c r="AK27" s="473" t="s">
        <v>550</v>
      </c>
      <c r="AL27" s="471" t="s">
        <v>12</v>
      </c>
      <c r="AM27" s="158"/>
      <c r="AN27" s="158"/>
      <c r="AO27" s="158"/>
      <c r="AP27" s="158"/>
      <c r="AQ27" s="158"/>
      <c r="AR27" s="159"/>
      <c r="AS27" s="155" t="str">
        <f>+IFERROR(IF(A27=A26,"No requiere reporte",IF(OR(U27=0,U27=""),"No aplica, no hay meta",IF(AC27="","No se reportó avance",IF(AC27="N/A","No Aplica",IF(OR(AND(O27="Capacidad",OR(R27="",R27=0,R27="N/A")),AND(O27="Reducción",OR(R27="",R27=0,R27="N/A"))),"Se requiere valor de línea base para este tipo de acumulación",IF(OR(AND(O27="Flujo",OR(R27&lt;&gt;"",R27&lt;&gt;0,R27&lt;&gt;"N/A"),AC27="N/A"),AND(O27="Stock",OR(R27&lt;&gt;"",R27&lt;&gt;0,R27&lt;&gt;"N/A"),AC27="N/A")),"No aplica",IF(O27="Flujo",IF(AC27/U27&gt;1,1.00001,AC27/U27),IF(O27="Stock",IF(AC27/T27&gt;1,1.00001,AC27/U27),IF(O27="Acumulado",IF((AC27)/U27&gt;1,1.00001,(AC27)/U27),IF(O27="Capacidad",IF(((AC27-R27)/(U27-R27))&gt;1,1.00001,((AC27-R27)/(U27-R27))),IF(O27="Reducción",IF(((R27-AC27)/(R27-U27))&gt;1,1.00001,((R27-AC27)/(R27-U27))),"Revisar acumulación"))))))))))),"Revisar fórmula")</f>
        <v>Revisar fórmula</v>
      </c>
      <c r="AT27" s="156" t="str">
        <f t="shared" si="1"/>
        <v>Revisar fórmula</v>
      </c>
    </row>
    <row r="28" spans="1:46" ht="396">
      <c r="A28" s="299" t="s">
        <v>170</v>
      </c>
      <c r="B28" s="300" t="s">
        <v>27</v>
      </c>
      <c r="C28" s="305" t="s">
        <v>51</v>
      </c>
      <c r="D28" s="304">
        <v>0.33</v>
      </c>
      <c r="E28" s="312" t="s">
        <v>551</v>
      </c>
      <c r="F28" s="304">
        <v>0.11</v>
      </c>
      <c r="G28" s="305" t="s">
        <v>55</v>
      </c>
      <c r="H28" s="301" t="s">
        <v>246</v>
      </c>
      <c r="I28" s="344" t="s">
        <v>552</v>
      </c>
      <c r="J28" s="301" t="s">
        <v>226</v>
      </c>
      <c r="K28" s="345" t="s">
        <v>553</v>
      </c>
      <c r="L28" s="345" t="s">
        <v>554</v>
      </c>
      <c r="M28" s="345" t="s">
        <v>555</v>
      </c>
      <c r="N28" s="301" t="s">
        <v>336</v>
      </c>
      <c r="O28" s="301" t="s">
        <v>233</v>
      </c>
      <c r="P28" s="301" t="s">
        <v>361</v>
      </c>
      <c r="Q28" s="346">
        <v>2024</v>
      </c>
      <c r="R28" s="347">
        <v>114</v>
      </c>
      <c r="S28" s="348">
        <v>46022</v>
      </c>
      <c r="T28" s="347">
        <v>20</v>
      </c>
      <c r="U28" s="347">
        <v>40</v>
      </c>
      <c r="V28" s="347">
        <v>40</v>
      </c>
      <c r="W28" s="347">
        <v>20</v>
      </c>
      <c r="X28" s="349">
        <v>120</v>
      </c>
      <c r="Y28" s="350" t="s">
        <v>556</v>
      </c>
      <c r="Z28" s="350" t="s">
        <v>557</v>
      </c>
      <c r="AA28" s="325" t="s">
        <v>340</v>
      </c>
      <c r="AB28" s="258">
        <v>35</v>
      </c>
      <c r="AC28" s="166">
        <v>48</v>
      </c>
      <c r="AD28" s="157"/>
      <c r="AE28" s="157"/>
      <c r="AF28" s="258">
        <f>AB28+AC28</f>
        <v>83</v>
      </c>
      <c r="AG28" s="201" t="s">
        <v>558</v>
      </c>
      <c r="AH28" s="250" t="s">
        <v>559</v>
      </c>
      <c r="AI28" s="176" t="s">
        <v>12</v>
      </c>
      <c r="AJ28" s="467" t="s">
        <v>560</v>
      </c>
      <c r="AK28" s="468" t="s">
        <v>170</v>
      </c>
      <c r="AL28" s="469" t="s">
        <v>561</v>
      </c>
      <c r="AM28" s="158"/>
      <c r="AN28" s="158"/>
      <c r="AO28" s="158"/>
      <c r="AP28" s="158"/>
      <c r="AQ28" s="158"/>
      <c r="AR28" s="271"/>
      <c r="AS28" s="155">
        <f t="shared" si="0"/>
        <v>1.0000100000000001</v>
      </c>
      <c r="AT28" s="156">
        <f t="shared" si="1"/>
        <v>0.69166666666666665</v>
      </c>
    </row>
    <row r="29" spans="1:46" ht="242.25">
      <c r="A29" s="299" t="s">
        <v>171</v>
      </c>
      <c r="B29" s="300" t="s">
        <v>27</v>
      </c>
      <c r="C29" s="305" t="s">
        <v>51</v>
      </c>
      <c r="D29" s="304">
        <v>0.33</v>
      </c>
      <c r="E29" s="312" t="s">
        <v>551</v>
      </c>
      <c r="F29" s="304">
        <v>0.11</v>
      </c>
      <c r="G29" s="305" t="s">
        <v>55</v>
      </c>
      <c r="H29" s="301" t="s">
        <v>246</v>
      </c>
      <c r="I29" s="344" t="s">
        <v>552</v>
      </c>
      <c r="J29" s="301" t="s">
        <v>226</v>
      </c>
      <c r="K29" s="345" t="s">
        <v>562</v>
      </c>
      <c r="L29" s="345" t="s">
        <v>563</v>
      </c>
      <c r="M29" s="345" t="s">
        <v>564</v>
      </c>
      <c r="N29" s="301" t="s">
        <v>336</v>
      </c>
      <c r="O29" s="301" t="s">
        <v>233</v>
      </c>
      <c r="P29" s="301" t="s">
        <v>361</v>
      </c>
      <c r="Q29" s="346">
        <v>2024</v>
      </c>
      <c r="R29" s="347">
        <v>43</v>
      </c>
      <c r="S29" s="348">
        <v>46022</v>
      </c>
      <c r="T29" s="347">
        <v>10</v>
      </c>
      <c r="U29" s="347">
        <v>20</v>
      </c>
      <c r="V29" s="347">
        <v>10</v>
      </c>
      <c r="W29" s="347">
        <v>3</v>
      </c>
      <c r="X29" s="349">
        <v>43</v>
      </c>
      <c r="Y29" s="350" t="s">
        <v>565</v>
      </c>
      <c r="Z29" s="350" t="s">
        <v>557</v>
      </c>
      <c r="AA29" s="325" t="s">
        <v>340</v>
      </c>
      <c r="AB29" s="258">
        <v>9</v>
      </c>
      <c r="AC29" s="166">
        <v>9</v>
      </c>
      <c r="AD29" s="157"/>
      <c r="AE29" s="157"/>
      <c r="AF29" s="258">
        <f>AB29+AC29</f>
        <v>18</v>
      </c>
      <c r="AG29" s="201" t="s">
        <v>566</v>
      </c>
      <c r="AH29" s="250" t="s">
        <v>567</v>
      </c>
      <c r="AI29" s="176" t="s">
        <v>12</v>
      </c>
      <c r="AJ29" s="467" t="s">
        <v>568</v>
      </c>
      <c r="AK29" s="468" t="s">
        <v>171</v>
      </c>
      <c r="AL29" s="469" t="s">
        <v>569</v>
      </c>
      <c r="AM29" s="158"/>
      <c r="AN29" s="158"/>
      <c r="AO29" s="158"/>
      <c r="AP29" s="158"/>
      <c r="AQ29" s="158"/>
      <c r="AR29" s="271"/>
      <c r="AS29" s="155">
        <f t="shared" si="0"/>
        <v>0.45</v>
      </c>
      <c r="AT29" s="156">
        <f t="shared" si="1"/>
        <v>0.41860465116279072</v>
      </c>
    </row>
    <row r="30" spans="1:46" ht="114.75">
      <c r="A30" s="299" t="s">
        <v>172</v>
      </c>
      <c r="B30" s="300" t="s">
        <v>27</v>
      </c>
      <c r="C30" s="305" t="s">
        <v>51</v>
      </c>
      <c r="D30" s="304">
        <v>0.33</v>
      </c>
      <c r="E30" s="312" t="s">
        <v>551</v>
      </c>
      <c r="F30" s="304">
        <v>0.11</v>
      </c>
      <c r="G30" s="305" t="s">
        <v>55</v>
      </c>
      <c r="H30" s="301" t="s">
        <v>246</v>
      </c>
      <c r="I30" s="344" t="s">
        <v>552</v>
      </c>
      <c r="J30" s="301" t="s">
        <v>226</v>
      </c>
      <c r="K30" s="345" t="s">
        <v>570</v>
      </c>
      <c r="L30" s="345" t="s">
        <v>571</v>
      </c>
      <c r="M30" s="345" t="s">
        <v>572</v>
      </c>
      <c r="N30" s="301" t="s">
        <v>336</v>
      </c>
      <c r="O30" s="301" t="s">
        <v>233</v>
      </c>
      <c r="P30" s="301" t="s">
        <v>361</v>
      </c>
      <c r="Q30" s="346" t="s">
        <v>348</v>
      </c>
      <c r="R30" s="351" t="s">
        <v>348</v>
      </c>
      <c r="S30" s="348" t="s">
        <v>348</v>
      </c>
      <c r="T30" s="347">
        <v>4</v>
      </c>
      <c r="U30" s="347">
        <v>12</v>
      </c>
      <c r="V30" s="347">
        <v>12</v>
      </c>
      <c r="W30" s="347">
        <v>4</v>
      </c>
      <c r="X30" s="349">
        <v>32</v>
      </c>
      <c r="Y30" s="350" t="s">
        <v>573</v>
      </c>
      <c r="Z30" s="350" t="s">
        <v>557</v>
      </c>
      <c r="AA30" s="325" t="s">
        <v>340</v>
      </c>
      <c r="AB30" s="258">
        <v>13</v>
      </c>
      <c r="AC30" s="497">
        <v>12</v>
      </c>
      <c r="AD30" s="290"/>
      <c r="AE30" s="290"/>
      <c r="AF30" s="506">
        <f>AB30+AC30</f>
        <v>25</v>
      </c>
      <c r="AG30" s="201" t="s">
        <v>574</v>
      </c>
      <c r="AH30" s="250" t="s">
        <v>575</v>
      </c>
      <c r="AI30" s="176" t="s">
        <v>12</v>
      </c>
      <c r="AJ30" s="422" t="s">
        <v>576</v>
      </c>
      <c r="AK30" s="468" t="s">
        <v>172</v>
      </c>
      <c r="AL30" s="469" t="s">
        <v>561</v>
      </c>
      <c r="AM30" s="158"/>
      <c r="AN30" s="158"/>
      <c r="AO30" s="158"/>
      <c r="AP30" s="158"/>
      <c r="AQ30" s="158"/>
      <c r="AR30" s="271"/>
      <c r="AS30" s="155">
        <f t="shared" si="0"/>
        <v>1</v>
      </c>
      <c r="AT30" s="156">
        <f t="shared" si="1"/>
        <v>0.78125</v>
      </c>
    </row>
    <row r="31" spans="1:46" ht="164.25" customHeight="1">
      <c r="A31" s="299" t="s">
        <v>577</v>
      </c>
      <c r="B31" s="317" t="s">
        <v>27</v>
      </c>
      <c r="C31" s="305" t="s">
        <v>28</v>
      </c>
      <c r="D31" s="324">
        <v>0.11</v>
      </c>
      <c r="E31" s="312" t="s">
        <v>578</v>
      </c>
      <c r="F31" s="352">
        <v>5.5E-2</v>
      </c>
      <c r="G31" s="305" t="s">
        <v>264</v>
      </c>
      <c r="H31" s="301" t="s">
        <v>254</v>
      </c>
      <c r="I31" s="353" t="s">
        <v>579</v>
      </c>
      <c r="J31" s="301" t="s">
        <v>226</v>
      </c>
      <c r="K31" s="350" t="s">
        <v>580</v>
      </c>
      <c r="L31" s="167" t="s">
        <v>581</v>
      </c>
      <c r="M31" s="350" t="s">
        <v>582</v>
      </c>
      <c r="N31" s="301" t="s">
        <v>336</v>
      </c>
      <c r="O31" s="301" t="s">
        <v>236</v>
      </c>
      <c r="P31" s="301" t="s">
        <v>337</v>
      </c>
      <c r="Q31" s="346">
        <v>2024</v>
      </c>
      <c r="R31" s="279">
        <v>1</v>
      </c>
      <c r="S31" s="348">
        <v>46022</v>
      </c>
      <c r="T31" s="351">
        <v>1</v>
      </c>
      <c r="U31" s="351">
        <v>1</v>
      </c>
      <c r="V31" s="351">
        <v>1</v>
      </c>
      <c r="W31" s="351">
        <v>1</v>
      </c>
      <c r="X31" s="354">
        <v>1</v>
      </c>
      <c r="Y31" s="355" t="s">
        <v>583</v>
      </c>
      <c r="Z31" s="355" t="s">
        <v>584</v>
      </c>
      <c r="AA31" s="325" t="s">
        <v>340</v>
      </c>
      <c r="AB31" s="170">
        <f>1/1</f>
        <v>1</v>
      </c>
      <c r="AC31" s="170">
        <v>1</v>
      </c>
      <c r="AD31" s="157"/>
      <c r="AE31" s="157"/>
      <c r="AF31" s="170">
        <v>1</v>
      </c>
      <c r="AG31" s="202" t="s">
        <v>585</v>
      </c>
      <c r="AH31" s="252" t="s">
        <v>577</v>
      </c>
      <c r="AI31" s="202" t="s">
        <v>586</v>
      </c>
      <c r="AJ31" s="473" t="s">
        <v>587</v>
      </c>
      <c r="AK31" s="511" t="s">
        <v>577</v>
      </c>
      <c r="AL31" s="473" t="s">
        <v>588</v>
      </c>
      <c r="AM31" s="494" t="s">
        <v>588</v>
      </c>
      <c r="AN31" s="158"/>
      <c r="AO31" s="158"/>
      <c r="AP31" s="158"/>
      <c r="AQ31" s="158"/>
      <c r="AR31" s="271"/>
      <c r="AS31" s="155" t="str">
        <f t="shared" si="0"/>
        <v>Revisar fórmula</v>
      </c>
      <c r="AT31" s="156" t="str">
        <f t="shared" si="1"/>
        <v>Revisar fórmula</v>
      </c>
    </row>
    <row r="32" spans="1:46" ht="409.5" customHeight="1">
      <c r="A32" s="299" t="s">
        <v>173</v>
      </c>
      <c r="B32" s="317" t="s">
        <v>27</v>
      </c>
      <c r="C32" s="305" t="s">
        <v>28</v>
      </c>
      <c r="D32" s="324">
        <v>0.11</v>
      </c>
      <c r="E32" s="312" t="s">
        <v>578</v>
      </c>
      <c r="F32" s="352">
        <v>5.5E-2</v>
      </c>
      <c r="G32" s="305" t="s">
        <v>264</v>
      </c>
      <c r="H32" s="301" t="s">
        <v>254</v>
      </c>
      <c r="I32" s="353" t="s">
        <v>579</v>
      </c>
      <c r="J32" s="301" t="s">
        <v>229</v>
      </c>
      <c r="K32" s="350" t="s">
        <v>589</v>
      </c>
      <c r="L32" s="167" t="s">
        <v>590</v>
      </c>
      <c r="M32" s="350" t="s">
        <v>591</v>
      </c>
      <c r="N32" s="301" t="s">
        <v>360</v>
      </c>
      <c r="O32" s="301" t="s">
        <v>233</v>
      </c>
      <c r="P32" s="301" t="s">
        <v>361</v>
      </c>
      <c r="Q32" s="346">
        <v>2024</v>
      </c>
      <c r="R32" s="294">
        <v>1134</v>
      </c>
      <c r="S32" s="348">
        <v>46022</v>
      </c>
      <c r="T32" s="356">
        <v>99</v>
      </c>
      <c r="U32" s="356">
        <v>345</v>
      </c>
      <c r="V32" s="356">
        <v>345</v>
      </c>
      <c r="W32" s="356">
        <v>345</v>
      </c>
      <c r="X32" s="357">
        <f>+T32+U32+V32+W32</f>
        <v>1134</v>
      </c>
      <c r="Y32" s="358" t="s">
        <v>592</v>
      </c>
      <c r="Z32" s="358" t="s">
        <v>593</v>
      </c>
      <c r="AA32" s="325" t="s">
        <v>340</v>
      </c>
      <c r="AB32" s="203">
        <v>1041</v>
      </c>
      <c r="AC32" s="509">
        <v>135</v>
      </c>
      <c r="AD32" s="157"/>
      <c r="AE32" s="157"/>
      <c r="AF32" s="157">
        <f>+AB32+AC32</f>
        <v>1176</v>
      </c>
      <c r="AG32" s="201" t="s">
        <v>594</v>
      </c>
      <c r="AH32" s="251" t="s">
        <v>173</v>
      </c>
      <c r="AI32" s="203" t="s">
        <v>595</v>
      </c>
      <c r="AJ32" s="495" t="s">
        <v>596</v>
      </c>
      <c r="AK32" s="510" t="s">
        <v>173</v>
      </c>
      <c r="AL32" s="512" t="s">
        <v>597</v>
      </c>
      <c r="AM32" s="496" t="s">
        <v>597</v>
      </c>
      <c r="AN32" s="158"/>
      <c r="AO32" s="158"/>
      <c r="AP32" s="158"/>
      <c r="AQ32" s="158"/>
      <c r="AR32" s="271"/>
      <c r="AS32" s="155">
        <f t="shared" si="0"/>
        <v>0.39130434782608697</v>
      </c>
      <c r="AT32" s="156">
        <f t="shared" si="1"/>
        <v>1.0000100000000001</v>
      </c>
    </row>
    <row r="33" spans="1:46" ht="365.25" customHeight="1">
      <c r="A33" s="299" t="s">
        <v>174</v>
      </c>
      <c r="B33" s="300" t="s">
        <v>27</v>
      </c>
      <c r="C33" s="305" t="s">
        <v>28</v>
      </c>
      <c r="D33" s="359">
        <v>0.11</v>
      </c>
      <c r="E33" s="312" t="s">
        <v>598</v>
      </c>
      <c r="F33" s="360">
        <v>0.02</v>
      </c>
      <c r="G33" s="305" t="s">
        <v>35</v>
      </c>
      <c r="H33" s="301" t="s">
        <v>246</v>
      </c>
      <c r="I33" s="344" t="s">
        <v>599</v>
      </c>
      <c r="J33" s="301" t="s">
        <v>226</v>
      </c>
      <c r="K33" s="345" t="s">
        <v>600</v>
      </c>
      <c r="L33" s="345" t="s">
        <v>601</v>
      </c>
      <c r="M33" s="345" t="s">
        <v>602</v>
      </c>
      <c r="N33" s="301" t="s">
        <v>360</v>
      </c>
      <c r="O33" s="301" t="s">
        <v>233</v>
      </c>
      <c r="P33" s="301" t="s">
        <v>361</v>
      </c>
      <c r="Q33" s="172">
        <v>2022</v>
      </c>
      <c r="R33" s="361">
        <v>170</v>
      </c>
      <c r="S33" s="362">
        <v>46022</v>
      </c>
      <c r="T33" s="361">
        <v>20</v>
      </c>
      <c r="U33" s="361">
        <v>80</v>
      </c>
      <c r="V33" s="361">
        <v>80</v>
      </c>
      <c r="W33" s="361">
        <v>40</v>
      </c>
      <c r="X33" s="363">
        <v>220</v>
      </c>
      <c r="Y33" s="345" t="s">
        <v>603</v>
      </c>
      <c r="Z33" s="345" t="s">
        <v>604</v>
      </c>
      <c r="AA33" s="364" t="s">
        <v>605</v>
      </c>
      <c r="AB33" s="173">
        <v>0</v>
      </c>
      <c r="AC33" s="502">
        <v>77</v>
      </c>
      <c r="AD33" s="291"/>
      <c r="AE33" s="291"/>
      <c r="AF33" s="173">
        <f>+AC33+AB33</f>
        <v>77</v>
      </c>
      <c r="AG33" s="221" t="s">
        <v>606</v>
      </c>
      <c r="AH33" s="237" t="s">
        <v>607</v>
      </c>
      <c r="AI33" s="124" t="s">
        <v>608</v>
      </c>
      <c r="AJ33" s="486" t="s">
        <v>609</v>
      </c>
      <c r="AK33" s="503" t="s">
        <v>610</v>
      </c>
      <c r="AL33" s="504" t="s">
        <v>12</v>
      </c>
      <c r="AM33" s="273"/>
      <c r="AN33" s="273"/>
      <c r="AO33" s="273"/>
      <c r="AP33" s="273"/>
      <c r="AQ33" s="273"/>
      <c r="AR33" s="274"/>
      <c r="AS33" s="155">
        <f t="shared" si="0"/>
        <v>0.96250000000000002</v>
      </c>
      <c r="AT33" s="156">
        <f t="shared" si="1"/>
        <v>0.35</v>
      </c>
    </row>
    <row r="34" spans="1:46" ht="170.25" customHeight="1">
      <c r="A34" s="299" t="s">
        <v>175</v>
      </c>
      <c r="B34" s="300" t="s">
        <v>27</v>
      </c>
      <c r="C34" s="305" t="s">
        <v>28</v>
      </c>
      <c r="D34" s="359">
        <v>0.11</v>
      </c>
      <c r="E34" s="312" t="s">
        <v>598</v>
      </c>
      <c r="F34" s="360">
        <v>0.02</v>
      </c>
      <c r="G34" s="305" t="s">
        <v>35</v>
      </c>
      <c r="H34" s="301" t="s">
        <v>246</v>
      </c>
      <c r="I34" s="344" t="s">
        <v>599</v>
      </c>
      <c r="J34" s="301" t="s">
        <v>226</v>
      </c>
      <c r="K34" s="345" t="s">
        <v>611</v>
      </c>
      <c r="L34" s="345" t="s">
        <v>612</v>
      </c>
      <c r="M34" s="345" t="s">
        <v>613</v>
      </c>
      <c r="N34" s="301" t="s">
        <v>336</v>
      </c>
      <c r="O34" s="301" t="s">
        <v>230</v>
      </c>
      <c r="P34" s="301" t="s">
        <v>337</v>
      </c>
      <c r="Q34" s="172">
        <v>2022</v>
      </c>
      <c r="R34" s="365">
        <v>1</v>
      </c>
      <c r="S34" s="362">
        <v>46022</v>
      </c>
      <c r="T34" s="365">
        <v>1</v>
      </c>
      <c r="U34" s="365">
        <v>1</v>
      </c>
      <c r="V34" s="365">
        <v>1</v>
      </c>
      <c r="W34" s="365">
        <v>1</v>
      </c>
      <c r="X34" s="366">
        <v>1</v>
      </c>
      <c r="Y34" s="345" t="s">
        <v>603</v>
      </c>
      <c r="Z34" s="345" t="s">
        <v>614</v>
      </c>
      <c r="AA34" s="345" t="s">
        <v>340</v>
      </c>
      <c r="AB34" s="239">
        <v>1</v>
      </c>
      <c r="AC34" s="485">
        <f>10/10</f>
        <v>1</v>
      </c>
      <c r="AD34" s="291"/>
      <c r="AE34" s="291"/>
      <c r="AF34" s="169">
        <v>1</v>
      </c>
      <c r="AG34" s="221" t="s">
        <v>615</v>
      </c>
      <c r="AH34" s="238" t="s">
        <v>616</v>
      </c>
      <c r="AI34" s="176" t="s">
        <v>12</v>
      </c>
      <c r="AJ34" s="486" t="s">
        <v>617</v>
      </c>
      <c r="AK34" s="487" t="s">
        <v>618</v>
      </c>
      <c r="AL34" s="346" t="s">
        <v>12</v>
      </c>
      <c r="AM34" s="273"/>
      <c r="AN34" s="273"/>
      <c r="AO34" s="273"/>
      <c r="AP34" s="273"/>
      <c r="AQ34" s="273"/>
      <c r="AR34" s="274"/>
      <c r="AS34" s="155">
        <f t="shared" si="0"/>
        <v>1</v>
      </c>
      <c r="AT34" s="156">
        <f t="shared" si="1"/>
        <v>1</v>
      </c>
    </row>
    <row r="35" spans="1:46" ht="168.75" customHeight="1">
      <c r="A35" s="299" t="s">
        <v>176</v>
      </c>
      <c r="B35" s="300" t="s">
        <v>27</v>
      </c>
      <c r="C35" s="301" t="s">
        <v>28</v>
      </c>
      <c r="D35" s="359">
        <v>0.11</v>
      </c>
      <c r="E35" s="312" t="s">
        <v>598</v>
      </c>
      <c r="F35" s="360">
        <v>0.02</v>
      </c>
      <c r="G35" s="305" t="s">
        <v>35</v>
      </c>
      <c r="H35" s="301" t="s">
        <v>246</v>
      </c>
      <c r="I35" s="344" t="s">
        <v>599</v>
      </c>
      <c r="J35" s="301" t="s">
        <v>226</v>
      </c>
      <c r="K35" s="345" t="s">
        <v>619</v>
      </c>
      <c r="L35" s="345" t="s">
        <v>620</v>
      </c>
      <c r="M35" s="345" t="s">
        <v>621</v>
      </c>
      <c r="N35" s="301" t="s">
        <v>336</v>
      </c>
      <c r="O35" s="301" t="s">
        <v>227</v>
      </c>
      <c r="P35" s="301" t="s">
        <v>337</v>
      </c>
      <c r="Q35" s="172">
        <v>2022</v>
      </c>
      <c r="R35" s="365">
        <v>1</v>
      </c>
      <c r="S35" s="362">
        <v>46022</v>
      </c>
      <c r="T35" s="365">
        <v>1</v>
      </c>
      <c r="U35" s="365">
        <v>1</v>
      </c>
      <c r="V35" s="365">
        <v>1</v>
      </c>
      <c r="W35" s="365">
        <v>1</v>
      </c>
      <c r="X35" s="366">
        <v>1</v>
      </c>
      <c r="Y35" s="345" t="s">
        <v>603</v>
      </c>
      <c r="Z35" s="345" t="s">
        <v>622</v>
      </c>
      <c r="AA35" s="345" t="s">
        <v>605</v>
      </c>
      <c r="AB35" s="239">
        <v>1</v>
      </c>
      <c r="AC35" s="239">
        <v>1</v>
      </c>
      <c r="AD35" s="291"/>
      <c r="AE35" s="291"/>
      <c r="AF35" s="239">
        <v>1</v>
      </c>
      <c r="AG35" s="221" t="s">
        <v>623</v>
      </c>
      <c r="AH35" s="238" t="s">
        <v>624</v>
      </c>
      <c r="AI35" s="176" t="s">
        <v>12</v>
      </c>
      <c r="AJ35" s="486" t="s">
        <v>625</v>
      </c>
      <c r="AK35" s="487" t="s">
        <v>626</v>
      </c>
      <c r="AL35" s="346" t="s">
        <v>12</v>
      </c>
      <c r="AM35" s="273"/>
      <c r="AN35" s="273"/>
      <c r="AO35" s="273"/>
      <c r="AP35" s="273"/>
      <c r="AQ35" s="273"/>
      <c r="AR35" s="274"/>
      <c r="AS35" s="155">
        <f t="shared" si="0"/>
        <v>1</v>
      </c>
      <c r="AT35" s="156">
        <f t="shared" si="1"/>
        <v>1</v>
      </c>
    </row>
    <row r="36" spans="1:46" ht="135">
      <c r="A36" s="299" t="s">
        <v>177</v>
      </c>
      <c r="B36" s="300" t="s">
        <v>27</v>
      </c>
      <c r="C36" s="301" t="s">
        <v>28</v>
      </c>
      <c r="D36" s="359">
        <v>0.11</v>
      </c>
      <c r="E36" s="312" t="s">
        <v>578</v>
      </c>
      <c r="F36" s="360">
        <v>0.02</v>
      </c>
      <c r="G36" s="305" t="s">
        <v>35</v>
      </c>
      <c r="H36" s="301" t="s">
        <v>246</v>
      </c>
      <c r="I36" s="344" t="s">
        <v>599</v>
      </c>
      <c r="J36" s="301" t="s">
        <v>226</v>
      </c>
      <c r="K36" s="345" t="s">
        <v>627</v>
      </c>
      <c r="L36" s="345" t="s">
        <v>628</v>
      </c>
      <c r="M36" s="345" t="s">
        <v>629</v>
      </c>
      <c r="N36" s="301" t="s">
        <v>360</v>
      </c>
      <c r="O36" s="301" t="s">
        <v>233</v>
      </c>
      <c r="P36" s="301" t="s">
        <v>361</v>
      </c>
      <c r="Q36" s="172">
        <v>2022</v>
      </c>
      <c r="R36" s="367">
        <v>100</v>
      </c>
      <c r="S36" s="362">
        <v>46022</v>
      </c>
      <c r="T36" s="368">
        <v>0</v>
      </c>
      <c r="U36" s="368">
        <v>30</v>
      </c>
      <c r="V36" s="368">
        <v>40</v>
      </c>
      <c r="W36" s="368">
        <v>30</v>
      </c>
      <c r="X36" s="369">
        <v>100</v>
      </c>
      <c r="Y36" s="345" t="s">
        <v>603</v>
      </c>
      <c r="Z36" s="345" t="s">
        <v>630</v>
      </c>
      <c r="AA36" s="345" t="s">
        <v>340</v>
      </c>
      <c r="AB36" s="196">
        <v>4</v>
      </c>
      <c r="AC36" s="166">
        <v>34</v>
      </c>
      <c r="AD36" s="157"/>
      <c r="AE36" s="157"/>
      <c r="AF36" s="157">
        <f>+AB36+AC36</f>
        <v>38</v>
      </c>
      <c r="AG36" s="221" t="s">
        <v>631</v>
      </c>
      <c r="AH36" s="238" t="s">
        <v>632</v>
      </c>
      <c r="AI36" s="176" t="s">
        <v>12</v>
      </c>
      <c r="AJ36" s="176" t="s">
        <v>633</v>
      </c>
      <c r="AK36" s="487" t="s">
        <v>634</v>
      </c>
      <c r="AL36" s="346" t="s">
        <v>12</v>
      </c>
      <c r="AM36" s="158"/>
      <c r="AN36" s="158"/>
      <c r="AO36" s="158"/>
      <c r="AP36" s="158"/>
      <c r="AQ36" s="158"/>
      <c r="AR36" s="159"/>
      <c r="AS36" s="155">
        <f t="shared" si="0"/>
        <v>1.0000100000000001</v>
      </c>
      <c r="AT36" s="156">
        <f t="shared" si="1"/>
        <v>0.38</v>
      </c>
    </row>
    <row r="37" spans="1:46" ht="240.75" customHeight="1">
      <c r="A37" s="299" t="s">
        <v>178</v>
      </c>
      <c r="B37" s="300" t="s">
        <v>27</v>
      </c>
      <c r="C37" s="301" t="s">
        <v>28</v>
      </c>
      <c r="D37" s="359">
        <v>0.11</v>
      </c>
      <c r="E37" s="312" t="s">
        <v>578</v>
      </c>
      <c r="F37" s="360">
        <v>0.02</v>
      </c>
      <c r="G37" s="305" t="s">
        <v>35</v>
      </c>
      <c r="H37" s="301" t="s">
        <v>246</v>
      </c>
      <c r="I37" s="344" t="s">
        <v>599</v>
      </c>
      <c r="J37" s="301" t="s">
        <v>226</v>
      </c>
      <c r="K37" s="345" t="s">
        <v>635</v>
      </c>
      <c r="L37" s="345" t="s">
        <v>636</v>
      </c>
      <c r="M37" s="345" t="s">
        <v>637</v>
      </c>
      <c r="N37" s="301" t="s">
        <v>336</v>
      </c>
      <c r="O37" s="301" t="s">
        <v>227</v>
      </c>
      <c r="P37" s="301" t="s">
        <v>337</v>
      </c>
      <c r="Q37" s="172">
        <v>2022</v>
      </c>
      <c r="R37" s="365">
        <v>1</v>
      </c>
      <c r="S37" s="362">
        <v>46022</v>
      </c>
      <c r="T37" s="365">
        <v>1</v>
      </c>
      <c r="U37" s="365">
        <v>1</v>
      </c>
      <c r="V37" s="365">
        <v>1</v>
      </c>
      <c r="W37" s="365">
        <v>1</v>
      </c>
      <c r="X37" s="366">
        <v>1</v>
      </c>
      <c r="Y37" s="345" t="s">
        <v>603</v>
      </c>
      <c r="Z37" s="345" t="s">
        <v>638</v>
      </c>
      <c r="AA37" s="345" t="s">
        <v>340</v>
      </c>
      <c r="AB37" s="239">
        <v>1</v>
      </c>
      <c r="AC37" s="239">
        <v>1</v>
      </c>
      <c r="AD37" s="157"/>
      <c r="AE37" s="157"/>
      <c r="AF37" s="239">
        <v>1</v>
      </c>
      <c r="AG37" s="221" t="s">
        <v>639</v>
      </c>
      <c r="AH37" s="238" t="s">
        <v>640</v>
      </c>
      <c r="AI37" s="176" t="s">
        <v>12</v>
      </c>
      <c r="AJ37" s="486" t="s">
        <v>641</v>
      </c>
      <c r="AK37" s="487" t="s">
        <v>635</v>
      </c>
      <c r="AL37" s="346" t="s">
        <v>12</v>
      </c>
      <c r="AM37" s="158"/>
      <c r="AN37" s="158"/>
      <c r="AO37" s="158"/>
      <c r="AP37" s="158"/>
      <c r="AQ37" s="158"/>
      <c r="AR37" s="159"/>
      <c r="AS37" s="155">
        <f t="shared" si="0"/>
        <v>1</v>
      </c>
      <c r="AT37" s="156">
        <f t="shared" si="1"/>
        <v>1</v>
      </c>
    </row>
    <row r="38" spans="1:46" ht="150.75" customHeight="1">
      <c r="A38" s="299" t="s">
        <v>179</v>
      </c>
      <c r="B38" s="300" t="s">
        <v>27</v>
      </c>
      <c r="C38" s="301" t="s">
        <v>28</v>
      </c>
      <c r="D38" s="359">
        <v>0.11</v>
      </c>
      <c r="E38" s="312" t="s">
        <v>578</v>
      </c>
      <c r="F38" s="360">
        <v>0.02</v>
      </c>
      <c r="G38" s="305" t="s">
        <v>35</v>
      </c>
      <c r="H38" s="301" t="s">
        <v>246</v>
      </c>
      <c r="I38" s="344" t="s">
        <v>599</v>
      </c>
      <c r="J38" s="301" t="s">
        <v>226</v>
      </c>
      <c r="K38" s="303" t="s">
        <v>642</v>
      </c>
      <c r="L38" s="303" t="s">
        <v>643</v>
      </c>
      <c r="M38" s="303" t="s">
        <v>644</v>
      </c>
      <c r="N38" s="301" t="s">
        <v>360</v>
      </c>
      <c r="O38" s="301" t="s">
        <v>233</v>
      </c>
      <c r="P38" s="301" t="s">
        <v>361</v>
      </c>
      <c r="Q38" s="172">
        <v>2022</v>
      </c>
      <c r="R38" s="368">
        <v>32</v>
      </c>
      <c r="S38" s="362">
        <v>46022</v>
      </c>
      <c r="T38" s="368">
        <v>3</v>
      </c>
      <c r="U38" s="368">
        <v>5</v>
      </c>
      <c r="V38" s="368">
        <v>5</v>
      </c>
      <c r="W38" s="368">
        <v>3</v>
      </c>
      <c r="X38" s="370">
        <v>16</v>
      </c>
      <c r="Y38" s="345" t="s">
        <v>603</v>
      </c>
      <c r="Z38" s="345" t="s">
        <v>645</v>
      </c>
      <c r="AA38" s="345" t="s">
        <v>605</v>
      </c>
      <c r="AB38" s="196">
        <v>0</v>
      </c>
      <c r="AC38" s="162">
        <v>8</v>
      </c>
      <c r="AD38" s="157"/>
      <c r="AE38" s="157"/>
      <c r="AF38" s="157">
        <f>+AB38+AC38</f>
        <v>8</v>
      </c>
      <c r="AG38" s="221" t="s">
        <v>646</v>
      </c>
      <c r="AH38" s="238" t="s">
        <v>647</v>
      </c>
      <c r="AI38" s="240" t="s">
        <v>608</v>
      </c>
      <c r="AJ38" s="486" t="s">
        <v>648</v>
      </c>
      <c r="AK38" s="487" t="s">
        <v>649</v>
      </c>
      <c r="AL38" s="346" t="s">
        <v>12</v>
      </c>
      <c r="AM38" s="158"/>
      <c r="AN38" s="158"/>
      <c r="AO38" s="158"/>
      <c r="AP38" s="158"/>
      <c r="AQ38" s="158"/>
      <c r="AR38" s="159"/>
      <c r="AS38" s="155">
        <f t="shared" si="0"/>
        <v>1.0000100000000001</v>
      </c>
      <c r="AT38" s="156">
        <f t="shared" si="1"/>
        <v>0.5</v>
      </c>
    </row>
    <row r="39" spans="1:46" ht="322.5" customHeight="1">
      <c r="A39" s="299" t="s">
        <v>180</v>
      </c>
      <c r="B39" s="300" t="s">
        <v>27</v>
      </c>
      <c r="C39" s="301" t="s">
        <v>28</v>
      </c>
      <c r="D39" s="359">
        <v>0.11</v>
      </c>
      <c r="E39" s="312" t="s">
        <v>578</v>
      </c>
      <c r="F39" s="360">
        <v>0.02</v>
      </c>
      <c r="G39" s="305" t="s">
        <v>35</v>
      </c>
      <c r="H39" s="301" t="s">
        <v>246</v>
      </c>
      <c r="I39" s="344" t="s">
        <v>599</v>
      </c>
      <c r="J39" s="301" t="s">
        <v>226</v>
      </c>
      <c r="K39" s="303" t="s">
        <v>650</v>
      </c>
      <c r="L39" s="303" t="s">
        <v>651</v>
      </c>
      <c r="M39" s="303" t="s">
        <v>652</v>
      </c>
      <c r="N39" s="301" t="s">
        <v>360</v>
      </c>
      <c r="O39" s="301" t="s">
        <v>233</v>
      </c>
      <c r="P39" s="301" t="s">
        <v>337</v>
      </c>
      <c r="Q39" s="172">
        <v>2022</v>
      </c>
      <c r="R39" s="365">
        <v>1</v>
      </c>
      <c r="S39" s="362">
        <v>46022</v>
      </c>
      <c r="T39" s="365">
        <v>0.05</v>
      </c>
      <c r="U39" s="365">
        <v>0.25</v>
      </c>
      <c r="V39" s="365">
        <v>0.35</v>
      </c>
      <c r="W39" s="365">
        <v>0.35</v>
      </c>
      <c r="X39" s="366">
        <v>1</v>
      </c>
      <c r="Y39" s="345" t="s">
        <v>603</v>
      </c>
      <c r="Z39" s="345" t="s">
        <v>653</v>
      </c>
      <c r="AA39" s="345" t="s">
        <v>340</v>
      </c>
      <c r="AB39" s="239">
        <v>0.05</v>
      </c>
      <c r="AC39" s="488">
        <v>0.25</v>
      </c>
      <c r="AD39" s="157"/>
      <c r="AE39" s="157"/>
      <c r="AF39" s="123">
        <v>0.3</v>
      </c>
      <c r="AG39" s="221" t="s">
        <v>654</v>
      </c>
      <c r="AH39" s="238" t="s">
        <v>655</v>
      </c>
      <c r="AI39" s="176" t="s">
        <v>12</v>
      </c>
      <c r="AJ39" s="486" t="s">
        <v>656</v>
      </c>
      <c r="AK39" s="487" t="s">
        <v>657</v>
      </c>
      <c r="AL39" s="416" t="s">
        <v>12</v>
      </c>
      <c r="AM39" s="158"/>
      <c r="AN39" s="158"/>
      <c r="AO39" s="158"/>
      <c r="AP39" s="158"/>
      <c r="AQ39" s="158"/>
      <c r="AR39" s="159"/>
      <c r="AS39" s="155">
        <f t="shared" si="0"/>
        <v>1</v>
      </c>
      <c r="AT39" s="156">
        <f t="shared" si="1"/>
        <v>0.3</v>
      </c>
    </row>
    <row r="40" spans="1:46" ht="103.5" customHeight="1">
      <c r="A40" s="299" t="s">
        <v>181</v>
      </c>
      <c r="B40" s="300" t="s">
        <v>27</v>
      </c>
      <c r="C40" s="301" t="s">
        <v>28</v>
      </c>
      <c r="D40" s="359">
        <v>0.11</v>
      </c>
      <c r="E40" s="312" t="s">
        <v>598</v>
      </c>
      <c r="F40" s="359">
        <v>0.06</v>
      </c>
      <c r="G40" s="305" t="s">
        <v>244</v>
      </c>
      <c r="H40" s="301" t="s">
        <v>246</v>
      </c>
      <c r="I40" s="344" t="s">
        <v>658</v>
      </c>
      <c r="J40" s="301" t="s">
        <v>226</v>
      </c>
      <c r="K40" s="303" t="s">
        <v>659</v>
      </c>
      <c r="L40" s="303" t="s">
        <v>660</v>
      </c>
      <c r="M40" s="303" t="s">
        <v>661</v>
      </c>
      <c r="N40" s="301" t="s">
        <v>336</v>
      </c>
      <c r="O40" s="301" t="s">
        <v>230</v>
      </c>
      <c r="P40" s="301" t="s">
        <v>337</v>
      </c>
      <c r="Q40" s="301">
        <v>2023</v>
      </c>
      <c r="R40" s="336">
        <v>1</v>
      </c>
      <c r="S40" s="307">
        <v>45291</v>
      </c>
      <c r="T40" s="120">
        <v>1</v>
      </c>
      <c r="U40" s="120">
        <v>1</v>
      </c>
      <c r="V40" s="120">
        <v>1</v>
      </c>
      <c r="W40" s="120">
        <v>1</v>
      </c>
      <c r="X40" s="174">
        <v>1</v>
      </c>
      <c r="Y40" s="194" t="s">
        <v>662</v>
      </c>
      <c r="Z40" s="195" t="s">
        <v>663</v>
      </c>
      <c r="AA40" s="194" t="s">
        <v>340</v>
      </c>
      <c r="AB40" s="371">
        <v>0</v>
      </c>
      <c r="AC40" s="161">
        <v>0</v>
      </c>
      <c r="AD40" s="157"/>
      <c r="AE40" s="157"/>
      <c r="AF40" s="157">
        <v>0</v>
      </c>
      <c r="AG40" s="221" t="s">
        <v>664</v>
      </c>
      <c r="AH40" s="220" t="s">
        <v>665</v>
      </c>
      <c r="AI40" s="259" t="s">
        <v>666</v>
      </c>
      <c r="AJ40" s="473" t="s">
        <v>667</v>
      </c>
      <c r="AK40" s="500" t="s">
        <v>668</v>
      </c>
      <c r="AL40" s="473" t="s">
        <v>669</v>
      </c>
      <c r="AM40" s="158"/>
      <c r="AN40" s="158"/>
      <c r="AO40" s="158"/>
      <c r="AP40" s="158"/>
      <c r="AQ40" s="158"/>
      <c r="AR40" s="159"/>
      <c r="AS40" s="155">
        <f t="shared" si="0"/>
        <v>0</v>
      </c>
      <c r="AT40" s="156">
        <f t="shared" si="1"/>
        <v>0</v>
      </c>
    </row>
    <row r="41" spans="1:46" ht="139.9" customHeight="1">
      <c r="A41" s="299" t="s">
        <v>182</v>
      </c>
      <c r="B41" s="300" t="s">
        <v>27</v>
      </c>
      <c r="C41" s="301" t="s">
        <v>28</v>
      </c>
      <c r="D41" s="359">
        <v>0.11</v>
      </c>
      <c r="E41" s="312" t="s">
        <v>598</v>
      </c>
      <c r="F41" s="359">
        <v>0.03</v>
      </c>
      <c r="G41" s="305" t="s">
        <v>244</v>
      </c>
      <c r="H41" s="301" t="s">
        <v>246</v>
      </c>
      <c r="I41" s="344" t="s">
        <v>658</v>
      </c>
      <c r="J41" s="301" t="s">
        <v>226</v>
      </c>
      <c r="K41" s="303" t="s">
        <v>670</v>
      </c>
      <c r="L41" s="303" t="s">
        <v>671</v>
      </c>
      <c r="M41" s="303" t="s">
        <v>672</v>
      </c>
      <c r="N41" s="301" t="s">
        <v>336</v>
      </c>
      <c r="O41" s="301" t="s">
        <v>230</v>
      </c>
      <c r="P41" s="301" t="s">
        <v>337</v>
      </c>
      <c r="Q41" s="301">
        <v>2023</v>
      </c>
      <c r="R41" s="336">
        <v>1</v>
      </c>
      <c r="S41" s="307">
        <v>45291</v>
      </c>
      <c r="T41" s="120">
        <v>1</v>
      </c>
      <c r="U41" s="120">
        <v>1</v>
      </c>
      <c r="V41" s="120">
        <v>1</v>
      </c>
      <c r="W41" s="120">
        <v>1</v>
      </c>
      <c r="X41" s="174">
        <v>1</v>
      </c>
      <c r="Y41" s="194" t="s">
        <v>673</v>
      </c>
      <c r="Z41" s="195" t="s">
        <v>674</v>
      </c>
      <c r="AA41" s="194" t="s">
        <v>340</v>
      </c>
      <c r="AB41" s="175">
        <v>1</v>
      </c>
      <c r="AC41" s="501">
        <v>0.73</v>
      </c>
      <c r="AD41" s="501">
        <v>0.73</v>
      </c>
      <c r="AE41" s="501">
        <v>0.73</v>
      </c>
      <c r="AF41" s="501">
        <v>0.73</v>
      </c>
      <c r="AG41" s="260" t="s">
        <v>675</v>
      </c>
      <c r="AH41" s="220" t="s">
        <v>676</v>
      </c>
      <c r="AI41" s="245" t="s">
        <v>677</v>
      </c>
      <c r="AJ41" s="473" t="s">
        <v>678</v>
      </c>
      <c r="AK41" s="500" t="s">
        <v>679</v>
      </c>
      <c r="AL41" s="473" t="s">
        <v>680</v>
      </c>
      <c r="AM41" s="158"/>
      <c r="AN41" s="158"/>
      <c r="AO41" s="158"/>
      <c r="AP41" s="158"/>
      <c r="AQ41" s="158"/>
      <c r="AR41" s="159"/>
      <c r="AS41" s="155">
        <f t="shared" si="0"/>
        <v>0.73</v>
      </c>
      <c r="AT41" s="156">
        <f t="shared" si="1"/>
        <v>0.73</v>
      </c>
    </row>
    <row r="42" spans="1:46" ht="115.15" customHeight="1">
      <c r="A42" s="299" t="s">
        <v>183</v>
      </c>
      <c r="B42" s="300" t="s">
        <v>27</v>
      </c>
      <c r="C42" s="301" t="s">
        <v>28</v>
      </c>
      <c r="D42" s="359">
        <v>0.11</v>
      </c>
      <c r="E42" s="312" t="s">
        <v>598</v>
      </c>
      <c r="F42" s="359">
        <v>0.03</v>
      </c>
      <c r="G42" s="305" t="s">
        <v>244</v>
      </c>
      <c r="H42" s="301" t="s">
        <v>246</v>
      </c>
      <c r="I42" s="344" t="s">
        <v>658</v>
      </c>
      <c r="J42" s="301" t="s">
        <v>226</v>
      </c>
      <c r="K42" s="303" t="s">
        <v>681</v>
      </c>
      <c r="L42" s="303" t="s">
        <v>682</v>
      </c>
      <c r="M42" s="303" t="s">
        <v>683</v>
      </c>
      <c r="N42" s="301" t="s">
        <v>336</v>
      </c>
      <c r="O42" s="301" t="s">
        <v>230</v>
      </c>
      <c r="P42" s="301" t="s">
        <v>337</v>
      </c>
      <c r="Q42" s="301" t="s">
        <v>348</v>
      </c>
      <c r="R42" s="336" t="s">
        <v>348</v>
      </c>
      <c r="S42" s="307" t="s">
        <v>348</v>
      </c>
      <c r="T42" s="120">
        <v>1</v>
      </c>
      <c r="U42" s="120">
        <v>1</v>
      </c>
      <c r="V42" s="120">
        <v>1</v>
      </c>
      <c r="W42" s="120">
        <v>1</v>
      </c>
      <c r="X42" s="174">
        <v>1</v>
      </c>
      <c r="Y42" s="194" t="s">
        <v>684</v>
      </c>
      <c r="Z42" s="195" t="s">
        <v>685</v>
      </c>
      <c r="AA42" s="194" t="s">
        <v>340</v>
      </c>
      <c r="AB42" s="371">
        <v>0</v>
      </c>
      <c r="AC42" s="501">
        <v>1</v>
      </c>
      <c r="AD42" s="501">
        <v>1</v>
      </c>
      <c r="AE42" s="501">
        <v>1</v>
      </c>
      <c r="AF42" s="501">
        <v>1</v>
      </c>
      <c r="AG42" s="221"/>
      <c r="AH42" s="220"/>
      <c r="AI42" s="176" t="s">
        <v>12</v>
      </c>
      <c r="AJ42" s="473" t="s">
        <v>686</v>
      </c>
      <c r="AK42" s="500" t="s">
        <v>687</v>
      </c>
      <c r="AL42" s="473" t="s">
        <v>688</v>
      </c>
      <c r="AM42" s="158"/>
      <c r="AN42" s="158"/>
      <c r="AO42" s="158"/>
      <c r="AP42" s="158"/>
      <c r="AQ42" s="158"/>
      <c r="AR42" s="159"/>
      <c r="AS42" s="155">
        <f t="shared" si="0"/>
        <v>1</v>
      </c>
      <c r="AT42" s="156">
        <f t="shared" si="1"/>
        <v>1</v>
      </c>
    </row>
    <row r="43" spans="1:46" ht="409.5" customHeight="1">
      <c r="A43" s="299" t="s">
        <v>184</v>
      </c>
      <c r="B43" s="317" t="s">
        <v>27</v>
      </c>
      <c r="C43" s="305" t="s">
        <v>28</v>
      </c>
      <c r="D43" s="372">
        <v>0.06</v>
      </c>
      <c r="E43" s="312" t="s">
        <v>578</v>
      </c>
      <c r="F43" s="359">
        <v>0.06</v>
      </c>
      <c r="G43" s="305" t="s">
        <v>266</v>
      </c>
      <c r="H43" s="301" t="s">
        <v>254</v>
      </c>
      <c r="I43" s="344" t="s">
        <v>689</v>
      </c>
      <c r="J43" s="301" t="s">
        <v>226</v>
      </c>
      <c r="K43" s="303" t="s">
        <v>690</v>
      </c>
      <c r="L43" s="124" t="s">
        <v>691</v>
      </c>
      <c r="M43" s="303" t="s">
        <v>692</v>
      </c>
      <c r="N43" s="301" t="s">
        <v>336</v>
      </c>
      <c r="O43" s="301" t="s">
        <v>227</v>
      </c>
      <c r="P43" s="301" t="s">
        <v>361</v>
      </c>
      <c r="Q43" s="305" t="s">
        <v>348</v>
      </c>
      <c r="R43" s="332" t="s">
        <v>348</v>
      </c>
      <c r="S43" s="307" t="s">
        <v>348</v>
      </c>
      <c r="T43" s="332">
        <v>2</v>
      </c>
      <c r="U43" s="328">
        <v>4</v>
      </c>
      <c r="V43" s="328">
        <v>3</v>
      </c>
      <c r="W43" s="328">
        <v>3</v>
      </c>
      <c r="X43" s="330">
        <v>12</v>
      </c>
      <c r="Y43" s="331" t="s">
        <v>693</v>
      </c>
      <c r="Z43" s="331" t="s">
        <v>694</v>
      </c>
      <c r="AA43" s="331" t="s">
        <v>340</v>
      </c>
      <c r="AB43" s="157">
        <v>2</v>
      </c>
      <c r="AC43" s="419">
        <v>4</v>
      </c>
      <c r="AD43" s="157"/>
      <c r="AE43" s="157"/>
      <c r="AF43" s="157">
        <f>AC43+AB43</f>
        <v>6</v>
      </c>
      <c r="AG43" s="124" t="s">
        <v>695</v>
      </c>
      <c r="AH43" s="213" t="s">
        <v>696</v>
      </c>
      <c r="AI43" s="176" t="s">
        <v>12</v>
      </c>
      <c r="AJ43" s="420" t="s">
        <v>697</v>
      </c>
      <c r="AK43" s="421" t="s">
        <v>698</v>
      </c>
      <c r="AL43" s="424" t="s">
        <v>12</v>
      </c>
      <c r="AM43" s="158"/>
      <c r="AN43" s="158"/>
      <c r="AO43" s="158"/>
      <c r="AP43" s="158"/>
      <c r="AQ43" s="158"/>
      <c r="AR43" s="271"/>
      <c r="AS43" s="155">
        <f t="shared" si="0"/>
        <v>1.0000100000000001</v>
      </c>
      <c r="AT43" s="156">
        <f t="shared" si="1"/>
        <v>0.5</v>
      </c>
    </row>
    <row r="44" spans="1:46" ht="223.5" customHeight="1">
      <c r="A44" s="299" t="s">
        <v>185</v>
      </c>
      <c r="B44" s="317" t="s">
        <v>27</v>
      </c>
      <c r="C44" s="305" t="s">
        <v>28</v>
      </c>
      <c r="D44" s="372">
        <v>0.11</v>
      </c>
      <c r="E44" s="312" t="s">
        <v>578</v>
      </c>
      <c r="F44" s="324">
        <v>0.04</v>
      </c>
      <c r="G44" s="305" t="s">
        <v>41</v>
      </c>
      <c r="H44" s="301" t="s">
        <v>246</v>
      </c>
      <c r="I44" s="344" t="s">
        <v>699</v>
      </c>
      <c r="J44" s="301" t="s">
        <v>226</v>
      </c>
      <c r="K44" s="303" t="s">
        <v>700</v>
      </c>
      <c r="L44" s="124" t="s">
        <v>701</v>
      </c>
      <c r="M44" s="303" t="s">
        <v>702</v>
      </c>
      <c r="N44" s="301" t="s">
        <v>336</v>
      </c>
      <c r="O44" s="301" t="s">
        <v>227</v>
      </c>
      <c r="P44" s="301" t="s">
        <v>337</v>
      </c>
      <c r="Q44" s="305">
        <v>2023</v>
      </c>
      <c r="R44" s="321">
        <v>1</v>
      </c>
      <c r="S44" s="307" t="s">
        <v>703</v>
      </c>
      <c r="T44" s="336">
        <v>1</v>
      </c>
      <c r="U44" s="321">
        <v>1</v>
      </c>
      <c r="V44" s="321">
        <v>1</v>
      </c>
      <c r="W44" s="321">
        <v>1</v>
      </c>
      <c r="X44" s="373">
        <v>1</v>
      </c>
      <c r="Y44" s="322" t="s">
        <v>704</v>
      </c>
      <c r="Z44" s="322" t="s">
        <v>705</v>
      </c>
      <c r="AA44" s="323" t="s">
        <v>340</v>
      </c>
      <c r="AB44" s="123">
        <v>1</v>
      </c>
      <c r="AC44" s="455">
        <f>+(3/3)</f>
        <v>1</v>
      </c>
      <c r="AD44" s="123"/>
      <c r="AE44" s="123"/>
      <c r="AF44" s="123">
        <v>1</v>
      </c>
      <c r="AG44" s="124" t="s">
        <v>706</v>
      </c>
      <c r="AH44" s="220" t="s">
        <v>707</v>
      </c>
      <c r="AI44" s="221" t="s">
        <v>708</v>
      </c>
      <c r="AJ44" s="423" t="s">
        <v>709</v>
      </c>
      <c r="AK44" s="421" t="s">
        <v>710</v>
      </c>
      <c r="AL44" s="423" t="s">
        <v>711</v>
      </c>
      <c r="AM44" s="158"/>
      <c r="AN44" s="158"/>
      <c r="AO44" s="158"/>
      <c r="AP44" s="158"/>
      <c r="AQ44" s="158"/>
      <c r="AR44" s="271"/>
      <c r="AS44" s="155">
        <f t="shared" si="0"/>
        <v>1</v>
      </c>
      <c r="AT44" s="156">
        <f t="shared" si="1"/>
        <v>1</v>
      </c>
    </row>
    <row r="45" spans="1:46" ht="394.5" customHeight="1">
      <c r="A45" s="299" t="s">
        <v>186</v>
      </c>
      <c r="B45" s="317" t="s">
        <v>27</v>
      </c>
      <c r="C45" s="305" t="s">
        <v>28</v>
      </c>
      <c r="D45" s="372">
        <v>0.11</v>
      </c>
      <c r="E45" s="312" t="s">
        <v>578</v>
      </c>
      <c r="F45" s="324">
        <v>0.04</v>
      </c>
      <c r="G45" s="305" t="s">
        <v>41</v>
      </c>
      <c r="H45" s="301" t="s">
        <v>246</v>
      </c>
      <c r="I45" s="344" t="s">
        <v>699</v>
      </c>
      <c r="J45" s="301" t="s">
        <v>226</v>
      </c>
      <c r="K45" s="303" t="s">
        <v>712</v>
      </c>
      <c r="L45" s="124" t="s">
        <v>713</v>
      </c>
      <c r="M45" s="303" t="s">
        <v>714</v>
      </c>
      <c r="N45" s="301" t="s">
        <v>360</v>
      </c>
      <c r="O45" s="301" t="s">
        <v>233</v>
      </c>
      <c r="P45" s="301" t="s">
        <v>361</v>
      </c>
      <c r="Q45" s="305">
        <v>2025</v>
      </c>
      <c r="R45" s="172">
        <v>403</v>
      </c>
      <c r="S45" s="307">
        <v>45930</v>
      </c>
      <c r="T45" s="368">
        <v>50</v>
      </c>
      <c r="U45" s="368">
        <v>130</v>
      </c>
      <c r="V45" s="172">
        <v>94</v>
      </c>
      <c r="W45" s="172">
        <v>30</v>
      </c>
      <c r="X45" s="368">
        <v>304</v>
      </c>
      <c r="Y45" s="322" t="s">
        <v>715</v>
      </c>
      <c r="Z45" s="322" t="s">
        <v>716</v>
      </c>
      <c r="AA45" s="374" t="s">
        <v>340</v>
      </c>
      <c r="AB45" s="157">
        <v>30</v>
      </c>
      <c r="AC45" s="456">
        <v>61</v>
      </c>
      <c r="AD45" s="123"/>
      <c r="AE45" s="123"/>
      <c r="AF45" s="157">
        <f>+AC45+AB45</f>
        <v>91</v>
      </c>
      <c r="AG45" s="124" t="s">
        <v>717</v>
      </c>
      <c r="AH45" s="220" t="s">
        <v>718</v>
      </c>
      <c r="AI45" s="221" t="s">
        <v>719</v>
      </c>
      <c r="AJ45" s="438" t="s">
        <v>720</v>
      </c>
      <c r="AK45" s="457" t="s">
        <v>721</v>
      </c>
      <c r="AL45" s="458" t="s">
        <v>722</v>
      </c>
      <c r="AM45" s="158"/>
      <c r="AN45" s="158"/>
      <c r="AO45" s="158"/>
      <c r="AP45" s="158"/>
      <c r="AQ45" s="158"/>
      <c r="AR45" s="271"/>
      <c r="AS45" s="155">
        <f t="shared" si="0"/>
        <v>0.46923076923076923</v>
      </c>
      <c r="AT45" s="156">
        <f t="shared" si="1"/>
        <v>0.29934210526315791</v>
      </c>
    </row>
    <row r="46" spans="1:46" ht="409.5">
      <c r="A46" s="299" t="s">
        <v>187</v>
      </c>
      <c r="B46" s="317" t="s">
        <v>27</v>
      </c>
      <c r="C46" s="305" t="s">
        <v>28</v>
      </c>
      <c r="D46" s="372">
        <v>0.11</v>
      </c>
      <c r="E46" s="312" t="s">
        <v>578</v>
      </c>
      <c r="F46" s="324">
        <v>0.03</v>
      </c>
      <c r="G46" s="305" t="s">
        <v>41</v>
      </c>
      <c r="H46" s="301" t="s">
        <v>246</v>
      </c>
      <c r="I46" s="344" t="s">
        <v>699</v>
      </c>
      <c r="J46" s="301" t="s">
        <v>226</v>
      </c>
      <c r="K46" s="303" t="s">
        <v>723</v>
      </c>
      <c r="L46" s="124" t="s">
        <v>724</v>
      </c>
      <c r="M46" s="303" t="s">
        <v>725</v>
      </c>
      <c r="N46" s="301" t="s">
        <v>360</v>
      </c>
      <c r="O46" s="301" t="s">
        <v>233</v>
      </c>
      <c r="P46" s="301" t="s">
        <v>361</v>
      </c>
      <c r="Q46" s="305" t="s">
        <v>348</v>
      </c>
      <c r="R46" s="332" t="s">
        <v>348</v>
      </c>
      <c r="S46" s="332" t="s">
        <v>348</v>
      </c>
      <c r="T46" s="332">
        <v>70</v>
      </c>
      <c r="U46" s="328">
        <v>120</v>
      </c>
      <c r="V46" s="328">
        <v>120</v>
      </c>
      <c r="W46" s="328">
        <v>34</v>
      </c>
      <c r="X46" s="330">
        <v>344</v>
      </c>
      <c r="Y46" s="322" t="s">
        <v>726</v>
      </c>
      <c r="Z46" s="322" t="s">
        <v>727</v>
      </c>
      <c r="AA46" s="374" t="s">
        <v>340</v>
      </c>
      <c r="AB46" s="157">
        <v>63</v>
      </c>
      <c r="AC46" s="456">
        <v>95</v>
      </c>
      <c r="AD46" s="157"/>
      <c r="AE46" s="157"/>
      <c r="AF46" s="157">
        <f>+AC46+AB46</f>
        <v>158</v>
      </c>
      <c r="AG46" s="124" t="s">
        <v>728</v>
      </c>
      <c r="AH46" s="220" t="s">
        <v>729</v>
      </c>
      <c r="AI46" s="222" t="s">
        <v>730</v>
      </c>
      <c r="AJ46" s="445" t="s">
        <v>731</v>
      </c>
      <c r="AK46" s="457" t="s">
        <v>732</v>
      </c>
      <c r="AL46" s="459" t="s">
        <v>711</v>
      </c>
      <c r="AM46" s="158"/>
      <c r="AN46" s="158"/>
      <c r="AO46" s="158"/>
      <c r="AP46" s="158"/>
      <c r="AQ46" s="158"/>
      <c r="AR46" s="271"/>
      <c r="AS46" s="155">
        <f t="shared" si="0"/>
        <v>0.79166666666666663</v>
      </c>
      <c r="AT46" s="156">
        <f t="shared" si="1"/>
        <v>0.45930232558139533</v>
      </c>
    </row>
    <row r="47" spans="1:46" ht="150" customHeight="1">
      <c r="A47" s="299" t="s">
        <v>188</v>
      </c>
      <c r="B47" s="317" t="s">
        <v>27</v>
      </c>
      <c r="C47" s="305" t="s">
        <v>28</v>
      </c>
      <c r="D47" s="324">
        <v>0.11</v>
      </c>
      <c r="E47" s="312" t="s">
        <v>733</v>
      </c>
      <c r="F47" s="324">
        <v>0.03</v>
      </c>
      <c r="G47" s="305" t="s">
        <v>29</v>
      </c>
      <c r="H47" s="301" t="s">
        <v>246</v>
      </c>
      <c r="I47" s="375" t="s">
        <v>734</v>
      </c>
      <c r="J47" s="301" t="s">
        <v>226</v>
      </c>
      <c r="K47" s="124" t="s">
        <v>735</v>
      </c>
      <c r="L47" s="124" t="s">
        <v>736</v>
      </c>
      <c r="M47" s="124" t="s">
        <v>737</v>
      </c>
      <c r="N47" s="301" t="s">
        <v>360</v>
      </c>
      <c r="O47" s="301" t="s">
        <v>233</v>
      </c>
      <c r="P47" s="301" t="s">
        <v>361</v>
      </c>
      <c r="Q47" s="172">
        <v>2024</v>
      </c>
      <c r="R47" s="172">
        <v>700</v>
      </c>
      <c r="S47" s="362">
        <v>46022</v>
      </c>
      <c r="T47" s="339">
        <v>100</v>
      </c>
      <c r="U47" s="340">
        <v>250</v>
      </c>
      <c r="V47" s="340">
        <v>250</v>
      </c>
      <c r="W47" s="340">
        <v>250</v>
      </c>
      <c r="X47" s="376">
        <f>+T47+U47+V47+W47</f>
        <v>850</v>
      </c>
      <c r="Y47" s="345" t="s">
        <v>738</v>
      </c>
      <c r="Z47" s="345" t="s">
        <v>739</v>
      </c>
      <c r="AA47" s="345" t="s">
        <v>605</v>
      </c>
      <c r="AB47" s="172" t="s">
        <v>740</v>
      </c>
      <c r="AC47" s="412">
        <v>730</v>
      </c>
      <c r="AD47" s="172"/>
      <c r="AE47" s="172"/>
      <c r="AF47" s="172">
        <v>976</v>
      </c>
      <c r="AG47" s="246" t="s">
        <v>741</v>
      </c>
      <c r="AH47" s="213" t="s">
        <v>742</v>
      </c>
      <c r="AI47" s="176" t="s">
        <v>12</v>
      </c>
      <c r="AJ47" s="448" t="s">
        <v>743</v>
      </c>
      <c r="AK47" s="461" t="s">
        <v>744</v>
      </c>
      <c r="AL47" s="412" t="s">
        <v>561</v>
      </c>
      <c r="AM47" s="158"/>
      <c r="AN47" s="158"/>
      <c r="AO47" s="158"/>
      <c r="AP47" s="158"/>
      <c r="AQ47" s="158"/>
      <c r="AR47" s="268"/>
      <c r="AS47" s="155">
        <f t="shared" si="0"/>
        <v>1.0000100000000001</v>
      </c>
      <c r="AT47" s="156">
        <f t="shared" si="1"/>
        <v>1.0000100000000001</v>
      </c>
    </row>
    <row r="48" spans="1:46" ht="164.25" customHeight="1">
      <c r="A48" s="299" t="s">
        <v>189</v>
      </c>
      <c r="B48" s="317" t="s">
        <v>27</v>
      </c>
      <c r="C48" s="305" t="s">
        <v>28</v>
      </c>
      <c r="D48" s="324">
        <v>0.11</v>
      </c>
      <c r="E48" s="312" t="s">
        <v>733</v>
      </c>
      <c r="F48" s="324">
        <v>0.03</v>
      </c>
      <c r="G48" s="305" t="s">
        <v>29</v>
      </c>
      <c r="H48" s="301" t="s">
        <v>246</v>
      </c>
      <c r="I48" s="375" t="s">
        <v>734</v>
      </c>
      <c r="J48" s="301" t="s">
        <v>226</v>
      </c>
      <c r="K48" s="124" t="s">
        <v>745</v>
      </c>
      <c r="L48" s="377" t="s">
        <v>746</v>
      </c>
      <c r="M48" s="124" t="s">
        <v>747</v>
      </c>
      <c r="N48" s="301" t="s">
        <v>360</v>
      </c>
      <c r="O48" s="301" t="s">
        <v>233</v>
      </c>
      <c r="P48" s="301" t="s">
        <v>361</v>
      </c>
      <c r="Q48" s="172">
        <v>2024</v>
      </c>
      <c r="R48" s="172">
        <v>3500</v>
      </c>
      <c r="S48" s="362">
        <v>46022</v>
      </c>
      <c r="T48" s="339">
        <v>2300</v>
      </c>
      <c r="U48" s="339">
        <v>2400</v>
      </c>
      <c r="V48" s="339">
        <v>2500</v>
      </c>
      <c r="W48" s="339">
        <v>2600</v>
      </c>
      <c r="X48" s="378">
        <f>+T48+U48+V48+W48</f>
        <v>9800</v>
      </c>
      <c r="Y48" s="345" t="s">
        <v>748</v>
      </c>
      <c r="Z48" s="345" t="s">
        <v>749</v>
      </c>
      <c r="AA48" s="379" t="s">
        <v>605</v>
      </c>
      <c r="AB48" s="196">
        <v>18960</v>
      </c>
      <c r="AC48" s="466">
        <v>40845</v>
      </c>
      <c r="AD48" s="123"/>
      <c r="AE48" s="123"/>
      <c r="AF48" s="196">
        <v>59805</v>
      </c>
      <c r="AG48" s="246" t="s">
        <v>750</v>
      </c>
      <c r="AH48" s="213" t="s">
        <v>751</v>
      </c>
      <c r="AI48" s="176" t="s">
        <v>12</v>
      </c>
      <c r="AJ48" s="422" t="s">
        <v>752</v>
      </c>
      <c r="AK48" s="462" t="s">
        <v>753</v>
      </c>
      <c r="AL48" s="465" t="s">
        <v>561</v>
      </c>
      <c r="AM48" s="158"/>
      <c r="AN48" s="158"/>
      <c r="AO48" s="158"/>
      <c r="AP48" s="158"/>
      <c r="AQ48" s="158"/>
      <c r="AR48" s="268"/>
      <c r="AS48" s="155">
        <f t="shared" si="0"/>
        <v>1.0000100000000001</v>
      </c>
      <c r="AT48" s="156">
        <f t="shared" si="1"/>
        <v>1.0000100000000001</v>
      </c>
    </row>
    <row r="49" spans="1:46" ht="216.75" customHeight="1">
      <c r="A49" s="299" t="s">
        <v>190</v>
      </c>
      <c r="B49" s="317" t="s">
        <v>27</v>
      </c>
      <c r="C49" s="305" t="s">
        <v>28</v>
      </c>
      <c r="D49" s="324">
        <v>0.11</v>
      </c>
      <c r="E49" s="312" t="s">
        <v>733</v>
      </c>
      <c r="F49" s="324">
        <v>0.02</v>
      </c>
      <c r="G49" s="305" t="s">
        <v>29</v>
      </c>
      <c r="H49" s="301" t="s">
        <v>246</v>
      </c>
      <c r="I49" s="375" t="s">
        <v>734</v>
      </c>
      <c r="J49" s="301" t="s">
        <v>226</v>
      </c>
      <c r="K49" s="124" t="s">
        <v>754</v>
      </c>
      <c r="L49" s="124" t="s">
        <v>755</v>
      </c>
      <c r="M49" s="124" t="s">
        <v>756</v>
      </c>
      <c r="N49" s="301" t="s">
        <v>360</v>
      </c>
      <c r="O49" s="301" t="s">
        <v>233</v>
      </c>
      <c r="P49" s="301" t="s">
        <v>361</v>
      </c>
      <c r="Q49" s="172">
        <v>2024</v>
      </c>
      <c r="R49" s="172">
        <v>150</v>
      </c>
      <c r="S49" s="362">
        <v>46022</v>
      </c>
      <c r="T49" s="339">
        <v>25</v>
      </c>
      <c r="U49" s="339">
        <v>45</v>
      </c>
      <c r="V49" s="339">
        <v>55</v>
      </c>
      <c r="W49" s="339">
        <v>75</v>
      </c>
      <c r="X49" s="378">
        <f>+T49+U49+V49+W49</f>
        <v>200</v>
      </c>
      <c r="Y49" s="345" t="s">
        <v>738</v>
      </c>
      <c r="Z49" s="345" t="s">
        <v>757</v>
      </c>
      <c r="AA49" s="345" t="s">
        <v>340</v>
      </c>
      <c r="AB49" s="172">
        <v>99</v>
      </c>
      <c r="AC49" s="412">
        <v>179</v>
      </c>
      <c r="AD49" s="172"/>
      <c r="AE49" s="172"/>
      <c r="AF49" s="172">
        <v>278</v>
      </c>
      <c r="AG49" s="246" t="s">
        <v>758</v>
      </c>
      <c r="AH49" s="213" t="s">
        <v>759</v>
      </c>
      <c r="AI49" s="176" t="s">
        <v>12</v>
      </c>
      <c r="AJ49" s="422" t="s">
        <v>760</v>
      </c>
      <c r="AK49" s="463" t="s">
        <v>761</v>
      </c>
      <c r="AL49" s="412" t="s">
        <v>561</v>
      </c>
      <c r="AM49" s="172"/>
      <c r="AN49" s="172"/>
      <c r="AO49" s="172"/>
      <c r="AP49" s="158"/>
      <c r="AQ49" s="158"/>
      <c r="AR49" s="268"/>
      <c r="AS49" s="155">
        <f t="shared" si="0"/>
        <v>1.0000100000000001</v>
      </c>
      <c r="AT49" s="156">
        <f t="shared" si="1"/>
        <v>1.0000100000000001</v>
      </c>
    </row>
    <row r="50" spans="1:46" ht="285" customHeight="1">
      <c r="A50" s="299" t="s">
        <v>191</v>
      </c>
      <c r="B50" s="317" t="s">
        <v>27</v>
      </c>
      <c r="C50" s="305" t="s">
        <v>28</v>
      </c>
      <c r="D50" s="324">
        <v>0.11</v>
      </c>
      <c r="E50" s="312" t="s">
        <v>578</v>
      </c>
      <c r="F50" s="324">
        <v>0.03</v>
      </c>
      <c r="G50" s="305" t="s">
        <v>29</v>
      </c>
      <c r="H50" s="301" t="s">
        <v>246</v>
      </c>
      <c r="I50" s="375" t="s">
        <v>734</v>
      </c>
      <c r="J50" s="301" t="s">
        <v>226</v>
      </c>
      <c r="K50" s="124" t="s">
        <v>762</v>
      </c>
      <c r="L50" s="124" t="s">
        <v>763</v>
      </c>
      <c r="M50" s="124" t="s">
        <v>764</v>
      </c>
      <c r="N50" s="301" t="s">
        <v>360</v>
      </c>
      <c r="O50" s="301" t="s">
        <v>233</v>
      </c>
      <c r="P50" s="301" t="s">
        <v>361</v>
      </c>
      <c r="Q50" s="305">
        <v>2024</v>
      </c>
      <c r="R50" s="328">
        <v>25</v>
      </c>
      <c r="S50" s="329">
        <v>46022</v>
      </c>
      <c r="T50" s="328">
        <v>5</v>
      </c>
      <c r="U50" s="328">
        <v>6</v>
      </c>
      <c r="V50" s="328">
        <v>7</v>
      </c>
      <c r="W50" s="328">
        <v>8</v>
      </c>
      <c r="X50" s="330">
        <f>+T50+U50+V50+W50</f>
        <v>26</v>
      </c>
      <c r="Y50" s="345" t="s">
        <v>738</v>
      </c>
      <c r="Z50" s="345" t="s">
        <v>765</v>
      </c>
      <c r="AA50" s="331" t="s">
        <v>340</v>
      </c>
      <c r="AB50" s="157">
        <v>5</v>
      </c>
      <c r="AC50" s="162">
        <v>5</v>
      </c>
      <c r="AD50" s="157"/>
      <c r="AE50" s="157"/>
      <c r="AF50" s="157">
        <v>10</v>
      </c>
      <c r="AG50" s="246" t="s">
        <v>766</v>
      </c>
      <c r="AH50" s="213" t="s">
        <v>767</v>
      </c>
      <c r="AI50" s="176" t="s">
        <v>12</v>
      </c>
      <c r="AJ50" s="460" t="s">
        <v>768</v>
      </c>
      <c r="AK50" s="464" t="s">
        <v>769</v>
      </c>
      <c r="AL50" s="465" t="s">
        <v>561</v>
      </c>
      <c r="AM50" s="275"/>
      <c r="AN50" s="275"/>
      <c r="AO50" s="275"/>
      <c r="AP50" s="158"/>
      <c r="AQ50" s="158"/>
      <c r="AR50" s="272"/>
      <c r="AS50" s="155">
        <f t="shared" si="0"/>
        <v>0.83333333333333337</v>
      </c>
      <c r="AT50" s="156">
        <f t="shared" si="1"/>
        <v>0.38461538461538464</v>
      </c>
    </row>
    <row r="51" spans="1:46" ht="242.25">
      <c r="A51" s="299" t="s">
        <v>192</v>
      </c>
      <c r="B51" s="317" t="s">
        <v>27</v>
      </c>
      <c r="C51" s="305" t="s">
        <v>28</v>
      </c>
      <c r="D51" s="372">
        <v>0.06</v>
      </c>
      <c r="E51" s="312" t="s">
        <v>578</v>
      </c>
      <c r="F51" s="304">
        <v>0.03</v>
      </c>
      <c r="G51" s="305" t="s">
        <v>265</v>
      </c>
      <c r="H51" s="301" t="s">
        <v>254</v>
      </c>
      <c r="I51" s="380" t="s">
        <v>770</v>
      </c>
      <c r="J51" s="301" t="s">
        <v>226</v>
      </c>
      <c r="K51" s="124" t="s">
        <v>771</v>
      </c>
      <c r="L51" s="167" t="s">
        <v>772</v>
      </c>
      <c r="M51" s="167" t="s">
        <v>773</v>
      </c>
      <c r="N51" s="301" t="s">
        <v>336</v>
      </c>
      <c r="O51" s="301" t="s">
        <v>227</v>
      </c>
      <c r="P51" s="301" t="s">
        <v>361</v>
      </c>
      <c r="Q51" s="305">
        <v>2025</v>
      </c>
      <c r="R51" s="328">
        <v>12</v>
      </c>
      <c r="S51" s="329">
        <v>46022</v>
      </c>
      <c r="T51" s="328">
        <v>0</v>
      </c>
      <c r="U51" s="328">
        <v>2</v>
      </c>
      <c r="V51" s="328">
        <v>5</v>
      </c>
      <c r="W51" s="328">
        <v>5</v>
      </c>
      <c r="X51" s="330">
        <v>12</v>
      </c>
      <c r="Y51" s="334" t="s">
        <v>774</v>
      </c>
      <c r="Z51" s="334" t="s">
        <v>775</v>
      </c>
      <c r="AA51" s="334" t="s">
        <v>340</v>
      </c>
      <c r="AB51" s="340">
        <v>0</v>
      </c>
      <c r="AC51" s="411">
        <v>5</v>
      </c>
      <c r="AD51" s="290"/>
      <c r="AE51" s="290"/>
      <c r="AF51" s="499">
        <v>5</v>
      </c>
      <c r="AG51" s="214" t="s">
        <v>776</v>
      </c>
      <c r="AH51" s="214" t="s">
        <v>777</v>
      </c>
      <c r="AI51" s="176" t="s">
        <v>12</v>
      </c>
      <c r="AJ51" s="451" t="s">
        <v>778</v>
      </c>
      <c r="AK51" s="443" t="s">
        <v>779</v>
      </c>
      <c r="AL51" s="452" t="s">
        <v>780</v>
      </c>
      <c r="AM51" s="275"/>
      <c r="AN51" s="275"/>
      <c r="AO51" s="275"/>
      <c r="AP51" s="158"/>
      <c r="AQ51" s="158"/>
      <c r="AR51" s="272"/>
      <c r="AS51" s="155" t="str">
        <f>+IFERROR(IF(A51=A50,"No requiere reporte",IF(OR(U51=0,U51=""),"No aplica, no hay meta",IF(AC51="","No se reportó avance",IF(AC51="N/A","No Aplica",IF(OR(AND(O51="Capacidad",OR(R51="",R51=0,R51="N/A")),AND(O51="Reducción",OR(R51="",R51=0,R51="N/A"))),"Se requiere valor de línea base para este tipo de acumulación",IF(OR(AND(O51="Flujo",OR(R51&lt;&gt;"",R51&lt;&gt;0,R51&lt;&gt;"N/A"),AC51="N/A"),AND(O51="Stock",OR(R51&lt;&gt;"",R51&lt;&gt;0,R51&lt;&gt;"N/A"),AC51="N/A")),"No aplica",IF(O51="Flujo",IF(AC51/U51&gt;1,1.00001,AC51/U51),IF(O51="Stock",IF(AC51/T51&gt;1,1.00001,AC51/U51),IF(O51="Acumulado",IF((AC51)/U51&gt;1,1.00001,(AC51)/U51),IF(O51="Capacidad",IF(((AC51-R51)/(U51-R51))&gt;1,1.00001,((AC51-R51)/(U51-R51))),IF(O51="Reducción",IF(((R51-AC51)/(R51-U51))&gt;1,1.00001,((R51-AC51)/(R51-U51))),"Revisar acumulación"))))))))))),"Revisar fórmula")</f>
        <v>Revisar fórmula</v>
      </c>
      <c r="AT51" s="156">
        <f t="shared" si="1"/>
        <v>0.41666666666666669</v>
      </c>
    </row>
    <row r="52" spans="1:46" ht="267.75">
      <c r="A52" s="299" t="s">
        <v>193</v>
      </c>
      <c r="B52" s="317" t="s">
        <v>27</v>
      </c>
      <c r="C52" s="305" t="s">
        <v>28</v>
      </c>
      <c r="D52" s="372">
        <v>0.06</v>
      </c>
      <c r="E52" s="312" t="s">
        <v>578</v>
      </c>
      <c r="F52" s="304">
        <v>0.03</v>
      </c>
      <c r="G52" s="305" t="s">
        <v>265</v>
      </c>
      <c r="H52" s="301" t="s">
        <v>254</v>
      </c>
      <c r="I52" s="380" t="s">
        <v>770</v>
      </c>
      <c r="J52" s="301" t="s">
        <v>226</v>
      </c>
      <c r="K52" s="124" t="s">
        <v>781</v>
      </c>
      <c r="L52" s="167" t="s">
        <v>782</v>
      </c>
      <c r="M52" s="167" t="s">
        <v>783</v>
      </c>
      <c r="N52" s="301" t="s">
        <v>360</v>
      </c>
      <c r="O52" s="301" t="s">
        <v>233</v>
      </c>
      <c r="P52" s="301" t="s">
        <v>361</v>
      </c>
      <c r="Q52" s="305">
        <v>2025</v>
      </c>
      <c r="R52" s="328">
        <v>17</v>
      </c>
      <c r="S52" s="329">
        <v>46022</v>
      </c>
      <c r="T52" s="328">
        <v>2</v>
      </c>
      <c r="U52" s="328">
        <v>5</v>
      </c>
      <c r="V52" s="328">
        <v>5</v>
      </c>
      <c r="W52" s="328">
        <v>5</v>
      </c>
      <c r="X52" s="330">
        <v>17</v>
      </c>
      <c r="Y52" s="334" t="s">
        <v>784</v>
      </c>
      <c r="Z52" s="334" t="s">
        <v>775</v>
      </c>
      <c r="AA52" s="334" t="s">
        <v>340</v>
      </c>
      <c r="AB52" s="157">
        <v>2</v>
      </c>
      <c r="AC52" s="162">
        <v>5</v>
      </c>
      <c r="AD52" s="157"/>
      <c r="AE52" s="157"/>
      <c r="AF52" s="216">
        <f>SUM(AB52+AC52)</f>
        <v>7</v>
      </c>
      <c r="AG52" s="217" t="s">
        <v>785</v>
      </c>
      <c r="AH52" s="218" t="s">
        <v>193</v>
      </c>
      <c r="AI52" s="176" t="s">
        <v>12</v>
      </c>
      <c r="AJ52" s="451" t="s">
        <v>786</v>
      </c>
      <c r="AK52" s="443" t="s">
        <v>787</v>
      </c>
      <c r="AL52" s="452" t="s">
        <v>780</v>
      </c>
      <c r="AM52" s="275"/>
      <c r="AN52" s="275"/>
      <c r="AO52" s="275"/>
      <c r="AP52" s="158"/>
      <c r="AQ52" s="158"/>
      <c r="AR52" s="272"/>
      <c r="AS52" s="155">
        <f t="shared" si="0"/>
        <v>1</v>
      </c>
      <c r="AT52" s="156">
        <f t="shared" si="1"/>
        <v>0.41176470588235292</v>
      </c>
    </row>
    <row r="53" spans="1:46" ht="191.25" customHeight="1">
      <c r="A53" s="299" t="s">
        <v>194</v>
      </c>
      <c r="B53" s="300" t="s">
        <v>27</v>
      </c>
      <c r="C53" s="301" t="s">
        <v>28</v>
      </c>
      <c r="D53" s="359">
        <v>0.11</v>
      </c>
      <c r="E53" s="312" t="s">
        <v>578</v>
      </c>
      <c r="F53" s="381">
        <v>0.04</v>
      </c>
      <c r="G53" s="305" t="s">
        <v>38</v>
      </c>
      <c r="H53" s="301" t="s">
        <v>246</v>
      </c>
      <c r="I53" s="306" t="s">
        <v>788</v>
      </c>
      <c r="J53" s="301" t="s">
        <v>226</v>
      </c>
      <c r="K53" s="345" t="s">
        <v>789</v>
      </c>
      <c r="L53" s="345" t="s">
        <v>790</v>
      </c>
      <c r="M53" s="345" t="s">
        <v>791</v>
      </c>
      <c r="N53" s="301" t="s">
        <v>336</v>
      </c>
      <c r="O53" s="301" t="s">
        <v>230</v>
      </c>
      <c r="P53" s="301" t="s">
        <v>337</v>
      </c>
      <c r="Q53" s="301">
        <v>2023</v>
      </c>
      <c r="R53" s="304">
        <v>1</v>
      </c>
      <c r="S53" s="338">
        <v>45930</v>
      </c>
      <c r="T53" s="279">
        <v>0.9</v>
      </c>
      <c r="U53" s="279">
        <v>0.9</v>
      </c>
      <c r="V53" s="279">
        <v>0.9</v>
      </c>
      <c r="W53" s="279">
        <v>0.9</v>
      </c>
      <c r="X53" s="382">
        <v>0.9</v>
      </c>
      <c r="Y53" s="383" t="s">
        <v>792</v>
      </c>
      <c r="Z53" s="334" t="s">
        <v>793</v>
      </c>
      <c r="AA53" s="383" t="s">
        <v>340</v>
      </c>
      <c r="AB53" s="197">
        <f>+(290/290)*T53</f>
        <v>0.9</v>
      </c>
      <c r="AC53" s="182">
        <f>+(431/431)*U53</f>
        <v>0.9</v>
      </c>
      <c r="AD53" s="182">
        <f t="shared" ref="AD53:AF53" si="3">+(431/431)*V53</f>
        <v>0.9</v>
      </c>
      <c r="AE53" s="182">
        <f t="shared" si="3"/>
        <v>0.9</v>
      </c>
      <c r="AF53" s="182">
        <f t="shared" si="3"/>
        <v>0.9</v>
      </c>
      <c r="AG53" s="217" t="s">
        <v>794</v>
      </c>
      <c r="AH53" s="215" t="s">
        <v>795</v>
      </c>
      <c r="AI53" s="176" t="s">
        <v>12</v>
      </c>
      <c r="AJ53" s="436" t="s">
        <v>796</v>
      </c>
      <c r="AK53" s="434" t="s">
        <v>194</v>
      </c>
      <c r="AL53" s="415" t="s">
        <v>12</v>
      </c>
      <c r="AM53" s="158"/>
      <c r="AN53" s="158"/>
      <c r="AO53" s="158"/>
      <c r="AP53" s="158"/>
      <c r="AQ53" s="158"/>
      <c r="AR53" s="276"/>
      <c r="AS53" s="155">
        <f t="shared" si="0"/>
        <v>1</v>
      </c>
      <c r="AT53" s="156">
        <f t="shared" si="1"/>
        <v>1</v>
      </c>
    </row>
    <row r="54" spans="1:46" ht="222.75" customHeight="1">
      <c r="A54" s="299" t="s">
        <v>195</v>
      </c>
      <c r="B54" s="300" t="s">
        <v>27</v>
      </c>
      <c r="C54" s="301" t="s">
        <v>28</v>
      </c>
      <c r="D54" s="359">
        <v>0.11</v>
      </c>
      <c r="E54" s="312" t="s">
        <v>578</v>
      </c>
      <c r="F54" s="381">
        <v>0.04</v>
      </c>
      <c r="G54" s="305" t="s">
        <v>38</v>
      </c>
      <c r="H54" s="301" t="s">
        <v>246</v>
      </c>
      <c r="I54" s="306" t="s">
        <v>788</v>
      </c>
      <c r="J54" s="301" t="s">
        <v>226</v>
      </c>
      <c r="K54" s="345" t="s">
        <v>797</v>
      </c>
      <c r="L54" s="345" t="s">
        <v>798</v>
      </c>
      <c r="M54" s="345" t="s">
        <v>799</v>
      </c>
      <c r="N54" s="301" t="s">
        <v>336</v>
      </c>
      <c r="O54" s="301" t="s">
        <v>230</v>
      </c>
      <c r="P54" s="301" t="s">
        <v>337</v>
      </c>
      <c r="Q54" s="301">
        <v>2023</v>
      </c>
      <c r="R54" s="304">
        <v>1</v>
      </c>
      <c r="S54" s="338">
        <v>45930</v>
      </c>
      <c r="T54" s="175">
        <v>1</v>
      </c>
      <c r="U54" s="175">
        <v>1</v>
      </c>
      <c r="V54" s="175">
        <v>1</v>
      </c>
      <c r="W54" s="175">
        <v>1</v>
      </c>
      <c r="X54" s="175">
        <v>1</v>
      </c>
      <c r="Y54" s="383" t="s">
        <v>800</v>
      </c>
      <c r="Z54" s="383" t="s">
        <v>801</v>
      </c>
      <c r="AA54" s="384" t="s">
        <v>340</v>
      </c>
      <c r="AB54" s="123">
        <f>IF((269/284)&gt;=85%,1,(269/284)/85%)</f>
        <v>1</v>
      </c>
      <c r="AC54" s="442">
        <f>IF((520/577)&gt;=85%,1,(520/577)/85%)</f>
        <v>1</v>
      </c>
      <c r="AD54" s="442">
        <f t="shared" ref="AD54:AF54" si="4">IF((520/577)&gt;=85%,1,(520/577)/85%)</f>
        <v>1</v>
      </c>
      <c r="AE54" s="442">
        <f t="shared" si="4"/>
        <v>1</v>
      </c>
      <c r="AF54" s="442">
        <f t="shared" si="4"/>
        <v>1</v>
      </c>
      <c r="AG54" s="200" t="s">
        <v>802</v>
      </c>
      <c r="AH54" s="198" t="s">
        <v>803</v>
      </c>
      <c r="AI54" s="176" t="s">
        <v>12</v>
      </c>
      <c r="AJ54" s="436" t="s">
        <v>804</v>
      </c>
      <c r="AK54" s="251" t="s">
        <v>195</v>
      </c>
      <c r="AL54" s="415" t="s">
        <v>12</v>
      </c>
      <c r="AM54" s="158"/>
      <c r="AN54" s="158"/>
      <c r="AO54" s="158"/>
      <c r="AP54" s="158"/>
      <c r="AQ54" s="158"/>
      <c r="AR54" s="277"/>
      <c r="AS54" s="155">
        <f t="shared" si="0"/>
        <v>1</v>
      </c>
      <c r="AT54" s="156">
        <f t="shared" si="1"/>
        <v>1</v>
      </c>
    </row>
    <row r="55" spans="1:46" ht="409.6">
      <c r="A55" s="299" t="s">
        <v>196</v>
      </c>
      <c r="B55" s="300" t="s">
        <v>27</v>
      </c>
      <c r="C55" s="301" t="s">
        <v>28</v>
      </c>
      <c r="D55" s="359">
        <v>0.11</v>
      </c>
      <c r="E55" s="312" t="s">
        <v>578</v>
      </c>
      <c r="F55" s="381">
        <v>0.03</v>
      </c>
      <c r="G55" s="305" t="s">
        <v>38</v>
      </c>
      <c r="H55" s="301" t="s">
        <v>246</v>
      </c>
      <c r="I55" s="306" t="s">
        <v>788</v>
      </c>
      <c r="J55" s="301" t="s">
        <v>226</v>
      </c>
      <c r="K55" s="345" t="s">
        <v>805</v>
      </c>
      <c r="L55" s="345" t="s">
        <v>806</v>
      </c>
      <c r="M55" s="345" t="s">
        <v>807</v>
      </c>
      <c r="N55" s="301" t="s">
        <v>336</v>
      </c>
      <c r="O55" s="301" t="s">
        <v>230</v>
      </c>
      <c r="P55" s="301" t="s">
        <v>337</v>
      </c>
      <c r="Q55" s="301">
        <v>2025</v>
      </c>
      <c r="R55" s="304">
        <v>1</v>
      </c>
      <c r="S55" s="338">
        <v>45930</v>
      </c>
      <c r="T55" s="175">
        <v>1</v>
      </c>
      <c r="U55" s="175">
        <v>1</v>
      </c>
      <c r="V55" s="175">
        <v>1</v>
      </c>
      <c r="W55" s="175">
        <v>1</v>
      </c>
      <c r="X55" s="175">
        <v>1</v>
      </c>
      <c r="Y55" s="383" t="s">
        <v>808</v>
      </c>
      <c r="Z55" s="383" t="s">
        <v>808</v>
      </c>
      <c r="AA55" s="384" t="s">
        <v>340</v>
      </c>
      <c r="AB55" s="197">
        <f>+(4/4)*T55</f>
        <v>1</v>
      </c>
      <c r="AC55" s="442">
        <f>+(3/3)*U55</f>
        <v>1</v>
      </c>
      <c r="AD55" s="442">
        <f t="shared" ref="AD55:AF55" si="5">+(3/3)*V55</f>
        <v>1</v>
      </c>
      <c r="AE55" s="442">
        <f t="shared" si="5"/>
        <v>1</v>
      </c>
      <c r="AF55" s="442">
        <f t="shared" si="5"/>
        <v>1</v>
      </c>
      <c r="AG55" s="199" t="s">
        <v>809</v>
      </c>
      <c r="AH55" s="198" t="s">
        <v>810</v>
      </c>
      <c r="AI55" s="176" t="s">
        <v>12</v>
      </c>
      <c r="AJ55" s="435" t="s">
        <v>811</v>
      </c>
      <c r="AK55" s="251" t="s">
        <v>196</v>
      </c>
      <c r="AL55" s="415" t="s">
        <v>12</v>
      </c>
      <c r="AM55" s="158"/>
      <c r="AN55" s="158"/>
      <c r="AO55" s="158"/>
      <c r="AP55" s="158"/>
      <c r="AQ55" s="158"/>
      <c r="AR55" s="276"/>
      <c r="AS55" s="155">
        <f t="shared" si="0"/>
        <v>1</v>
      </c>
      <c r="AT55" s="156">
        <f t="shared" si="1"/>
        <v>1</v>
      </c>
    </row>
    <row r="56" spans="1:46" ht="409.6">
      <c r="A56" s="299" t="s">
        <v>197</v>
      </c>
      <c r="B56" s="317" t="s">
        <v>27</v>
      </c>
      <c r="C56" s="305" t="s">
        <v>28</v>
      </c>
      <c r="D56" s="324">
        <v>0.11</v>
      </c>
      <c r="E56" s="312" t="s">
        <v>578</v>
      </c>
      <c r="F56" s="324">
        <v>0.03</v>
      </c>
      <c r="G56" s="305" t="s">
        <v>32</v>
      </c>
      <c r="H56" s="301" t="s">
        <v>246</v>
      </c>
      <c r="I56" s="353" t="s">
        <v>812</v>
      </c>
      <c r="J56" s="301" t="s">
        <v>229</v>
      </c>
      <c r="K56" s="303" t="s">
        <v>813</v>
      </c>
      <c r="L56" s="303" t="s">
        <v>814</v>
      </c>
      <c r="M56" s="303" t="s">
        <v>815</v>
      </c>
      <c r="N56" s="301" t="s">
        <v>360</v>
      </c>
      <c r="O56" s="301" t="s">
        <v>233</v>
      </c>
      <c r="P56" s="301" t="s">
        <v>361</v>
      </c>
      <c r="Q56" s="305">
        <v>2023</v>
      </c>
      <c r="R56" s="340">
        <v>357</v>
      </c>
      <c r="S56" s="329">
        <v>46022</v>
      </c>
      <c r="T56" s="339">
        <v>5</v>
      </c>
      <c r="U56" s="339">
        <v>25</v>
      </c>
      <c r="V56" s="339">
        <v>25</v>
      </c>
      <c r="W56" s="339">
        <v>25</v>
      </c>
      <c r="X56" s="376">
        <f>+T56+U56+V56+W56</f>
        <v>80</v>
      </c>
      <c r="Y56" s="385" t="s">
        <v>816</v>
      </c>
      <c r="Z56" s="385" t="s">
        <v>817</v>
      </c>
      <c r="AA56" s="384" t="s">
        <v>340</v>
      </c>
      <c r="AB56" s="386">
        <f>2+19+19</f>
        <v>40</v>
      </c>
      <c r="AC56" s="505">
        <v>104</v>
      </c>
      <c r="AD56" s="157"/>
      <c r="AE56" s="157"/>
      <c r="AF56" s="294">
        <v>144</v>
      </c>
      <c r="AG56" s="201" t="s">
        <v>818</v>
      </c>
      <c r="AH56" s="202" t="s">
        <v>819</v>
      </c>
      <c r="AI56" s="176" t="s">
        <v>12</v>
      </c>
      <c r="AJ56" s="473" t="s">
        <v>820</v>
      </c>
      <c r="AK56" s="473" t="s">
        <v>821</v>
      </c>
      <c r="AL56" s="473" t="s">
        <v>822</v>
      </c>
      <c r="AM56" s="158"/>
      <c r="AN56" s="158"/>
      <c r="AO56" s="158"/>
      <c r="AP56" s="158"/>
      <c r="AQ56" s="158"/>
      <c r="AR56" s="271"/>
      <c r="AS56" s="155">
        <f t="shared" si="0"/>
        <v>1.0000100000000001</v>
      </c>
      <c r="AT56" s="156">
        <f t="shared" si="1"/>
        <v>1.0000100000000001</v>
      </c>
    </row>
    <row r="57" spans="1:46" ht="241.5" customHeight="1">
      <c r="A57" s="299" t="s">
        <v>198</v>
      </c>
      <c r="B57" s="317" t="s">
        <v>27</v>
      </c>
      <c r="C57" s="305" t="s">
        <v>28</v>
      </c>
      <c r="D57" s="324">
        <v>0.11</v>
      </c>
      <c r="E57" s="312" t="s">
        <v>578</v>
      </c>
      <c r="F57" s="324">
        <v>0.04</v>
      </c>
      <c r="G57" s="305" t="s">
        <v>32</v>
      </c>
      <c r="H57" s="301" t="s">
        <v>246</v>
      </c>
      <c r="I57" s="353" t="s">
        <v>812</v>
      </c>
      <c r="J57" s="301" t="s">
        <v>226</v>
      </c>
      <c r="K57" s="303" t="s">
        <v>823</v>
      </c>
      <c r="L57" s="303" t="s">
        <v>824</v>
      </c>
      <c r="M57" s="303" t="s">
        <v>825</v>
      </c>
      <c r="N57" s="301" t="s">
        <v>336</v>
      </c>
      <c r="O57" s="301" t="s">
        <v>227</v>
      </c>
      <c r="P57" s="301" t="s">
        <v>337</v>
      </c>
      <c r="Q57" s="305">
        <v>2023</v>
      </c>
      <c r="R57" s="321">
        <v>1</v>
      </c>
      <c r="S57" s="329">
        <v>46022</v>
      </c>
      <c r="T57" s="336">
        <v>1</v>
      </c>
      <c r="U57" s="336">
        <v>1</v>
      </c>
      <c r="V57" s="336">
        <v>1</v>
      </c>
      <c r="W57" s="336">
        <v>1</v>
      </c>
      <c r="X57" s="373">
        <v>1</v>
      </c>
      <c r="Y57" s="322" t="s">
        <v>826</v>
      </c>
      <c r="Z57" s="322" t="s">
        <v>827</v>
      </c>
      <c r="AA57" s="384" t="s">
        <v>340</v>
      </c>
      <c r="AB57" s="279">
        <f>(480/480)*100%</f>
        <v>1</v>
      </c>
      <c r="AC57" s="507">
        <v>1</v>
      </c>
      <c r="AD57" s="290"/>
      <c r="AE57" s="290"/>
      <c r="AF57" s="279">
        <v>1</v>
      </c>
      <c r="AG57" s="201" t="s">
        <v>828</v>
      </c>
      <c r="AH57" s="203" t="s">
        <v>829</v>
      </c>
      <c r="AI57" s="176" t="s">
        <v>12</v>
      </c>
      <c r="AJ57" s="473" t="s">
        <v>830</v>
      </c>
      <c r="AK57" s="473" t="s">
        <v>831</v>
      </c>
      <c r="AL57" s="415" t="s">
        <v>12</v>
      </c>
      <c r="AM57" s="158"/>
      <c r="AN57" s="158"/>
      <c r="AO57" s="158"/>
      <c r="AP57" s="158"/>
      <c r="AQ57" s="158"/>
      <c r="AR57" s="271"/>
      <c r="AS57" s="155">
        <f t="shared" si="0"/>
        <v>1</v>
      </c>
      <c r="AT57" s="156">
        <f t="shared" si="1"/>
        <v>1</v>
      </c>
    </row>
    <row r="58" spans="1:46" ht="191.25">
      <c r="A58" s="299" t="s">
        <v>199</v>
      </c>
      <c r="B58" s="317" t="s">
        <v>27</v>
      </c>
      <c r="C58" s="305" t="s">
        <v>28</v>
      </c>
      <c r="D58" s="324">
        <v>0.11</v>
      </c>
      <c r="E58" s="312" t="s">
        <v>578</v>
      </c>
      <c r="F58" s="324">
        <v>0.04</v>
      </c>
      <c r="G58" s="305" t="s">
        <v>32</v>
      </c>
      <c r="H58" s="301" t="s">
        <v>246</v>
      </c>
      <c r="I58" s="353" t="s">
        <v>812</v>
      </c>
      <c r="J58" s="301" t="s">
        <v>232</v>
      </c>
      <c r="K58" s="303" t="s">
        <v>832</v>
      </c>
      <c r="L58" s="303" t="s">
        <v>833</v>
      </c>
      <c r="M58" s="303" t="s">
        <v>834</v>
      </c>
      <c r="N58" s="301" t="s">
        <v>336</v>
      </c>
      <c r="O58" s="301" t="s">
        <v>227</v>
      </c>
      <c r="P58" s="301" t="s">
        <v>337</v>
      </c>
      <c r="Q58" s="305">
        <v>2019</v>
      </c>
      <c r="R58" s="387">
        <v>1</v>
      </c>
      <c r="S58" s="329">
        <v>46022</v>
      </c>
      <c r="T58" s="388">
        <v>1</v>
      </c>
      <c r="U58" s="387">
        <v>1</v>
      </c>
      <c r="V58" s="387">
        <v>1</v>
      </c>
      <c r="W58" s="387">
        <v>1</v>
      </c>
      <c r="X58" s="389">
        <v>1</v>
      </c>
      <c r="Y58" s="383" t="s">
        <v>835</v>
      </c>
      <c r="Z58" s="383" t="s">
        <v>836</v>
      </c>
      <c r="AA58" s="384" t="s">
        <v>340</v>
      </c>
      <c r="AB58" s="170">
        <f>(5037/5037)*100%</f>
        <v>1</v>
      </c>
      <c r="AC58" s="507">
        <v>1</v>
      </c>
      <c r="AD58" s="290"/>
      <c r="AE58" s="290"/>
      <c r="AF58" s="507">
        <v>1</v>
      </c>
      <c r="AG58" s="201" t="s">
        <v>837</v>
      </c>
      <c r="AH58" s="203" t="s">
        <v>838</v>
      </c>
      <c r="AI58" s="176" t="s">
        <v>12</v>
      </c>
      <c r="AJ58" s="473" t="s">
        <v>839</v>
      </c>
      <c r="AK58" s="473" t="s">
        <v>840</v>
      </c>
      <c r="AL58" s="415" t="s">
        <v>12</v>
      </c>
      <c r="AM58" s="158"/>
      <c r="AN58" s="158"/>
      <c r="AO58" s="158"/>
      <c r="AP58" s="158"/>
      <c r="AQ58" s="158"/>
      <c r="AR58" s="271"/>
      <c r="AS58" s="155">
        <f t="shared" si="0"/>
        <v>1</v>
      </c>
      <c r="AT58" s="156">
        <f t="shared" si="1"/>
        <v>1</v>
      </c>
    </row>
    <row r="59" spans="1:46" ht="395.25">
      <c r="A59" s="299" t="s">
        <v>200</v>
      </c>
      <c r="B59" s="317" t="s">
        <v>27</v>
      </c>
      <c r="C59" s="305" t="s">
        <v>28</v>
      </c>
      <c r="D59" s="324">
        <v>0.11</v>
      </c>
      <c r="E59" s="312" t="s">
        <v>578</v>
      </c>
      <c r="F59" s="324">
        <v>0.05</v>
      </c>
      <c r="G59" s="305" t="s">
        <v>59</v>
      </c>
      <c r="H59" s="301" t="s">
        <v>249</v>
      </c>
      <c r="I59" s="353" t="s">
        <v>841</v>
      </c>
      <c r="J59" s="301" t="s">
        <v>226</v>
      </c>
      <c r="K59" s="303" t="s">
        <v>842</v>
      </c>
      <c r="L59" s="303" t="s">
        <v>843</v>
      </c>
      <c r="M59" s="303" t="s">
        <v>844</v>
      </c>
      <c r="N59" s="301" t="s">
        <v>360</v>
      </c>
      <c r="O59" s="301" t="s">
        <v>233</v>
      </c>
      <c r="P59" s="301" t="s">
        <v>361</v>
      </c>
      <c r="Q59" s="305" t="s">
        <v>348</v>
      </c>
      <c r="R59" s="387" t="s">
        <v>348</v>
      </c>
      <c r="S59" s="329" t="s">
        <v>348</v>
      </c>
      <c r="T59" s="332">
        <v>0</v>
      </c>
      <c r="U59" s="328">
        <v>6</v>
      </c>
      <c r="V59" s="328">
        <v>0</v>
      </c>
      <c r="W59" s="328">
        <v>6</v>
      </c>
      <c r="X59" s="328">
        <v>12</v>
      </c>
      <c r="Y59" s="303" t="s">
        <v>845</v>
      </c>
      <c r="Z59" s="303" t="s">
        <v>846</v>
      </c>
      <c r="AA59" s="303" t="s">
        <v>847</v>
      </c>
      <c r="AB59" s="196" t="s">
        <v>12</v>
      </c>
      <c r="AC59" s="411">
        <v>72</v>
      </c>
      <c r="AD59" s="290"/>
      <c r="AE59" s="290"/>
      <c r="AF59" s="497">
        <v>72</v>
      </c>
      <c r="AG59" s="167" t="s">
        <v>848</v>
      </c>
      <c r="AH59" s="160"/>
      <c r="AI59" s="346" t="s">
        <v>12</v>
      </c>
      <c r="AJ59" s="448" t="s">
        <v>849</v>
      </c>
      <c r="AK59" s="449" t="s">
        <v>850</v>
      </c>
      <c r="AL59" s="449" t="s">
        <v>12</v>
      </c>
      <c r="AM59" s="158"/>
      <c r="AN59" s="158"/>
      <c r="AO59" s="158"/>
      <c r="AP59" s="158"/>
      <c r="AQ59" s="158"/>
      <c r="AR59" s="271"/>
      <c r="AS59" s="155">
        <f t="shared" si="0"/>
        <v>1.0000100000000001</v>
      </c>
      <c r="AT59" s="156">
        <f t="shared" si="1"/>
        <v>1.0000100000000001</v>
      </c>
    </row>
    <row r="60" spans="1:46" ht="204.75">
      <c r="A60" s="299" t="s">
        <v>201</v>
      </c>
      <c r="B60" s="317" t="s">
        <v>27</v>
      </c>
      <c r="C60" s="305" t="s">
        <v>28</v>
      </c>
      <c r="D60" s="324">
        <v>0.11</v>
      </c>
      <c r="E60" s="312" t="s">
        <v>578</v>
      </c>
      <c r="F60" s="324">
        <v>0.06</v>
      </c>
      <c r="G60" s="305" t="s">
        <v>59</v>
      </c>
      <c r="H60" s="301" t="s">
        <v>249</v>
      </c>
      <c r="I60" s="353" t="s">
        <v>841</v>
      </c>
      <c r="J60" s="301" t="s">
        <v>229</v>
      </c>
      <c r="K60" s="303" t="s">
        <v>851</v>
      </c>
      <c r="L60" s="303" t="s">
        <v>852</v>
      </c>
      <c r="M60" s="303" t="s">
        <v>853</v>
      </c>
      <c r="N60" s="301" t="s">
        <v>336</v>
      </c>
      <c r="O60" s="301" t="s">
        <v>227</v>
      </c>
      <c r="P60" s="301" t="s">
        <v>337</v>
      </c>
      <c r="Q60" s="301" t="s">
        <v>854</v>
      </c>
      <c r="R60" s="301" t="s">
        <v>348</v>
      </c>
      <c r="S60" s="301" t="s">
        <v>348</v>
      </c>
      <c r="T60" s="279">
        <v>0</v>
      </c>
      <c r="U60" s="387">
        <v>0.9</v>
      </c>
      <c r="V60" s="387">
        <v>0</v>
      </c>
      <c r="W60" s="387">
        <v>0.9</v>
      </c>
      <c r="X60" s="387">
        <v>0.9</v>
      </c>
      <c r="Y60" s="303" t="s">
        <v>855</v>
      </c>
      <c r="Z60" s="303" t="s">
        <v>856</v>
      </c>
      <c r="AA60" s="303" t="s">
        <v>847</v>
      </c>
      <c r="AB60" s="166" t="s">
        <v>12</v>
      </c>
      <c r="AC60" s="182">
        <v>0.97</v>
      </c>
      <c r="AD60" s="290"/>
      <c r="AE60" s="290"/>
      <c r="AF60" s="170">
        <f>AC60</f>
        <v>0.97</v>
      </c>
      <c r="AG60" s="167" t="s">
        <v>857</v>
      </c>
      <c r="AH60" s="160"/>
      <c r="AI60" s="176" t="s">
        <v>12</v>
      </c>
      <c r="AJ60" s="438" t="s">
        <v>858</v>
      </c>
      <c r="AK60" s="449" t="s">
        <v>859</v>
      </c>
      <c r="AL60" s="415" t="s">
        <v>12</v>
      </c>
      <c r="AM60" s="158"/>
      <c r="AN60" s="158"/>
      <c r="AO60" s="158"/>
      <c r="AP60" s="158"/>
      <c r="AQ60" s="158"/>
      <c r="AR60" s="271"/>
      <c r="AS60" s="155" t="str">
        <f>+IFERROR(IF(A60=A59,"No requiere reporte",IF(OR(U60=0,U60=""),"No aplica, no hay meta",IF(AC60="","No se reportó avance",IF(AC60="N/A","No Aplica",IF(OR(AND(O60="Capacidad",OR(R60="",R60=0,R60="N/A")),AND(O60="Reducción",OR(R60="",R60=0,R60="N/A"))),"Se requiere valor de línea base para este tipo de acumulación",IF(OR(AND(O60="Flujo",OR(R60&lt;&gt;"",R60&lt;&gt;0,R60&lt;&gt;"N/A"),AC60="N/A"),AND(O60="Stock",OR(R60&lt;&gt;"",R60&lt;&gt;0,R60&lt;&gt;"N/A"),AC60="N/A")),"No aplica",IF(O60="Flujo",IF(AC60/U60&gt;1,1.00001,AC60/U60),IF(O60="Stock",IF(AC60/T60&gt;1,1.00001,AC60/U60),IF(O60="Acumulado",IF((AC60)/U60&gt;1,1.00001,(AC60)/U60),IF(O60="Capacidad",IF(((AC60-R60)/(U60-R60))&gt;1,1.00001,((AC60-R60)/(U60-R60))),IF(O60="Reducción",IF(((R60-AC60)/(R60-U60))&gt;1,1.00001,((R60-AC60)/(R60-U60))),"Revisar acumulación"))))))))))),"Revisar fórmula")</f>
        <v>Revisar fórmula</v>
      </c>
      <c r="AT60" s="156">
        <f t="shared" si="1"/>
        <v>1.0000100000000001</v>
      </c>
    </row>
    <row r="61" spans="1:46" ht="100.5" customHeight="1">
      <c r="A61" s="299" t="s">
        <v>202</v>
      </c>
      <c r="B61" s="300" t="s">
        <v>60</v>
      </c>
      <c r="C61" s="301" t="s">
        <v>61</v>
      </c>
      <c r="D61" s="390">
        <v>1</v>
      </c>
      <c r="E61" s="312" t="s">
        <v>860</v>
      </c>
      <c r="F61" s="304">
        <v>0.5</v>
      </c>
      <c r="G61" s="305" t="s">
        <v>62</v>
      </c>
      <c r="H61" s="301" t="s">
        <v>249</v>
      </c>
      <c r="I61" s="344" t="s">
        <v>861</v>
      </c>
      <c r="J61" s="301" t="s">
        <v>229</v>
      </c>
      <c r="K61" s="303" t="s">
        <v>862</v>
      </c>
      <c r="L61" s="303" t="s">
        <v>863</v>
      </c>
      <c r="M61" s="303" t="s">
        <v>864</v>
      </c>
      <c r="N61" s="301" t="s">
        <v>360</v>
      </c>
      <c r="O61" s="301" t="s">
        <v>230</v>
      </c>
      <c r="P61" s="301" t="s">
        <v>337</v>
      </c>
      <c r="Q61" s="301">
        <v>2024</v>
      </c>
      <c r="R61" s="339">
        <v>85</v>
      </c>
      <c r="S61" s="307">
        <v>46022</v>
      </c>
      <c r="T61" s="279">
        <v>0.15</v>
      </c>
      <c r="U61" s="279">
        <v>0.35</v>
      </c>
      <c r="V61" s="279">
        <v>0.7</v>
      </c>
      <c r="W61" s="279">
        <v>0.85</v>
      </c>
      <c r="X61" s="373">
        <v>0.85</v>
      </c>
      <c r="Y61" s="323" t="s">
        <v>865</v>
      </c>
      <c r="Z61" s="323" t="s">
        <v>866</v>
      </c>
      <c r="AA61" s="323" t="s">
        <v>340</v>
      </c>
      <c r="AB61" s="197">
        <f>3493208116/6126909897</f>
        <v>0.5701419108040785</v>
      </c>
      <c r="AC61" s="472">
        <f>4626475404.75/7535909897</f>
        <v>0.61392392796412965</v>
      </c>
      <c r="AD61" s="123"/>
      <c r="AE61" s="123"/>
      <c r="AF61" s="223">
        <f>4626475404.75/7535909897</f>
        <v>0.61392392796412965</v>
      </c>
      <c r="AG61" s="221" t="s">
        <v>867</v>
      </c>
      <c r="AH61" s="224" t="s">
        <v>202</v>
      </c>
      <c r="AI61" s="222" t="s">
        <v>868</v>
      </c>
      <c r="AJ61" s="246" t="s">
        <v>869</v>
      </c>
      <c r="AK61" s="470" t="s">
        <v>202</v>
      </c>
      <c r="AL61" s="471" t="s">
        <v>12</v>
      </c>
      <c r="AM61" s="158"/>
      <c r="AN61" s="158"/>
      <c r="AO61" s="158"/>
      <c r="AP61" s="158"/>
      <c r="AQ61" s="158"/>
      <c r="AR61" s="271"/>
      <c r="AS61" s="155">
        <f t="shared" si="0"/>
        <v>1.0000100000000001</v>
      </c>
      <c r="AT61" s="156">
        <f t="shared" si="1"/>
        <v>0.72226344466368197</v>
      </c>
    </row>
    <row r="62" spans="1:46" ht="135" customHeight="1">
      <c r="A62" s="299" t="s">
        <v>203</v>
      </c>
      <c r="B62" s="300" t="s">
        <v>60</v>
      </c>
      <c r="C62" s="301" t="s">
        <v>61</v>
      </c>
      <c r="D62" s="390">
        <v>1</v>
      </c>
      <c r="E62" s="312" t="s">
        <v>860</v>
      </c>
      <c r="F62" s="304">
        <v>0.5</v>
      </c>
      <c r="G62" s="305" t="s">
        <v>62</v>
      </c>
      <c r="H62" s="301" t="s">
        <v>249</v>
      </c>
      <c r="I62" s="344" t="s">
        <v>861</v>
      </c>
      <c r="J62" s="301" t="s">
        <v>229</v>
      </c>
      <c r="K62" s="303" t="s">
        <v>870</v>
      </c>
      <c r="L62" s="303" t="s">
        <v>871</v>
      </c>
      <c r="M62" s="303" t="s">
        <v>872</v>
      </c>
      <c r="N62" s="301" t="s">
        <v>360</v>
      </c>
      <c r="O62" s="301" t="s">
        <v>233</v>
      </c>
      <c r="P62" s="301" t="s">
        <v>361</v>
      </c>
      <c r="Q62" s="301">
        <v>2024</v>
      </c>
      <c r="R62" s="339">
        <v>25</v>
      </c>
      <c r="S62" s="307">
        <v>46022</v>
      </c>
      <c r="T62" s="294">
        <v>0</v>
      </c>
      <c r="U62" s="294">
        <v>10</v>
      </c>
      <c r="V62" s="294">
        <v>9</v>
      </c>
      <c r="W62" s="294">
        <v>8</v>
      </c>
      <c r="X62" s="376">
        <f>+U62+V62+W62</f>
        <v>27</v>
      </c>
      <c r="Y62" s="391" t="s">
        <v>872</v>
      </c>
      <c r="Z62" s="391" t="s">
        <v>873</v>
      </c>
      <c r="AA62" s="323" t="s">
        <v>340</v>
      </c>
      <c r="AB62" s="157">
        <v>0</v>
      </c>
      <c r="AC62" s="166">
        <v>10</v>
      </c>
      <c r="AD62" s="157"/>
      <c r="AE62" s="157"/>
      <c r="AF62" s="157">
        <f>+AB62+AC62</f>
        <v>10</v>
      </c>
      <c r="AG62" s="221" t="s">
        <v>874</v>
      </c>
      <c r="AH62" s="225" t="s">
        <v>203</v>
      </c>
      <c r="AI62" s="176" t="s">
        <v>12</v>
      </c>
      <c r="AJ62" s="246" t="s">
        <v>875</v>
      </c>
      <c r="AK62" s="470" t="s">
        <v>203</v>
      </c>
      <c r="AL62" s="473" t="s">
        <v>876</v>
      </c>
      <c r="AM62" s="158"/>
      <c r="AN62" s="158"/>
      <c r="AO62" s="158"/>
      <c r="AP62" s="158"/>
      <c r="AQ62" s="158"/>
      <c r="AR62" s="278"/>
      <c r="AS62" s="155">
        <f t="shared" si="0"/>
        <v>1</v>
      </c>
      <c r="AT62" s="156">
        <f t="shared" si="1"/>
        <v>0.37037037037037035</v>
      </c>
    </row>
    <row r="63" spans="1:46" ht="186" customHeight="1">
      <c r="A63" s="299" t="s">
        <v>204</v>
      </c>
      <c r="B63" s="300" t="s">
        <v>60</v>
      </c>
      <c r="C63" s="301" t="s">
        <v>74</v>
      </c>
      <c r="D63" s="390">
        <v>1</v>
      </c>
      <c r="E63" s="312" t="s">
        <v>877</v>
      </c>
      <c r="F63" s="304">
        <v>0.33</v>
      </c>
      <c r="G63" s="305" t="s">
        <v>62</v>
      </c>
      <c r="H63" s="301" t="s">
        <v>249</v>
      </c>
      <c r="I63" s="344" t="s">
        <v>861</v>
      </c>
      <c r="J63" s="301" t="s">
        <v>226</v>
      </c>
      <c r="K63" s="303" t="s">
        <v>878</v>
      </c>
      <c r="L63" s="303" t="s">
        <v>879</v>
      </c>
      <c r="M63" s="167" t="s">
        <v>880</v>
      </c>
      <c r="N63" s="301" t="s">
        <v>360</v>
      </c>
      <c r="O63" s="301" t="s">
        <v>230</v>
      </c>
      <c r="P63" s="301" t="s">
        <v>337</v>
      </c>
      <c r="Q63" s="301">
        <v>2024</v>
      </c>
      <c r="R63" s="304">
        <v>0.8</v>
      </c>
      <c r="S63" s="307">
        <v>46022</v>
      </c>
      <c r="T63" s="279">
        <v>1</v>
      </c>
      <c r="U63" s="279">
        <v>1</v>
      </c>
      <c r="V63" s="279">
        <v>1</v>
      </c>
      <c r="W63" s="279">
        <v>1</v>
      </c>
      <c r="X63" s="279">
        <v>1</v>
      </c>
      <c r="Y63" s="323" t="s">
        <v>865</v>
      </c>
      <c r="Z63" s="325" t="s">
        <v>881</v>
      </c>
      <c r="AA63" s="323" t="s">
        <v>340</v>
      </c>
      <c r="AB63" s="170">
        <f>4510/4510</f>
        <v>1</v>
      </c>
      <c r="AC63" s="478">
        <f>8012/8012</f>
        <v>1</v>
      </c>
      <c r="AD63" s="201"/>
      <c r="AE63" s="292"/>
      <c r="AF63" s="226">
        <f>AC63</f>
        <v>1</v>
      </c>
      <c r="AG63" s="202" t="s">
        <v>882</v>
      </c>
      <c r="AH63" s="225" t="s">
        <v>204</v>
      </c>
      <c r="AI63" s="176" t="s">
        <v>12</v>
      </c>
      <c r="AJ63" s="474" t="s">
        <v>883</v>
      </c>
      <c r="AK63" s="475" t="s">
        <v>204</v>
      </c>
      <c r="AL63" s="476" t="s">
        <v>12</v>
      </c>
      <c r="AM63" s="158"/>
      <c r="AN63" s="158"/>
      <c r="AO63" s="158"/>
      <c r="AP63" s="158"/>
      <c r="AQ63" s="158"/>
      <c r="AR63" s="272"/>
      <c r="AS63" s="155">
        <f t="shared" si="0"/>
        <v>1</v>
      </c>
      <c r="AT63" s="156">
        <f t="shared" si="1"/>
        <v>1</v>
      </c>
    </row>
    <row r="64" spans="1:46" ht="284.25" customHeight="1">
      <c r="A64" s="299" t="s">
        <v>205</v>
      </c>
      <c r="B64" s="300" t="s">
        <v>60</v>
      </c>
      <c r="C64" s="301" t="s">
        <v>74</v>
      </c>
      <c r="D64" s="390">
        <v>1</v>
      </c>
      <c r="E64" s="312" t="s">
        <v>877</v>
      </c>
      <c r="F64" s="304">
        <v>0.33</v>
      </c>
      <c r="G64" s="305" t="s">
        <v>62</v>
      </c>
      <c r="H64" s="301" t="s">
        <v>249</v>
      </c>
      <c r="I64" s="344" t="s">
        <v>861</v>
      </c>
      <c r="J64" s="301" t="s">
        <v>229</v>
      </c>
      <c r="K64" s="303" t="s">
        <v>884</v>
      </c>
      <c r="L64" s="303" t="s">
        <v>885</v>
      </c>
      <c r="M64" s="303" t="s">
        <v>886</v>
      </c>
      <c r="N64" s="301" t="s">
        <v>360</v>
      </c>
      <c r="O64" s="301" t="s">
        <v>230</v>
      </c>
      <c r="P64" s="301" t="s">
        <v>337</v>
      </c>
      <c r="Q64" s="301">
        <v>2024</v>
      </c>
      <c r="R64" s="304">
        <v>0.9</v>
      </c>
      <c r="S64" s="307">
        <v>46022</v>
      </c>
      <c r="T64" s="279">
        <v>1</v>
      </c>
      <c r="U64" s="279">
        <v>1</v>
      </c>
      <c r="V64" s="279">
        <v>1</v>
      </c>
      <c r="W64" s="279">
        <v>1</v>
      </c>
      <c r="X64" s="279">
        <v>1</v>
      </c>
      <c r="Y64" s="323" t="s">
        <v>865</v>
      </c>
      <c r="Z64" s="325" t="s">
        <v>887</v>
      </c>
      <c r="AA64" s="323" t="s">
        <v>340</v>
      </c>
      <c r="AB64" s="170">
        <v>1</v>
      </c>
      <c r="AC64" s="478">
        <f>6240/6240</f>
        <v>1</v>
      </c>
      <c r="AD64" s="279"/>
      <c r="AE64" s="279"/>
      <c r="AF64" s="226">
        <v>1</v>
      </c>
      <c r="AG64" s="202" t="s">
        <v>888</v>
      </c>
      <c r="AH64" s="225" t="s">
        <v>205</v>
      </c>
      <c r="AI64" s="176" t="s">
        <v>12</v>
      </c>
      <c r="AJ64" s="474" t="s">
        <v>889</v>
      </c>
      <c r="AK64" s="475" t="s">
        <v>205</v>
      </c>
      <c r="AL64" s="476" t="s">
        <v>12</v>
      </c>
      <c r="AM64" s="279"/>
      <c r="AN64" s="279"/>
      <c r="AO64" s="279"/>
      <c r="AP64" s="158"/>
      <c r="AQ64" s="158"/>
      <c r="AR64" s="271"/>
      <c r="AS64" s="155">
        <f t="shared" si="0"/>
        <v>1</v>
      </c>
      <c r="AT64" s="156">
        <f t="shared" si="1"/>
        <v>1</v>
      </c>
    </row>
    <row r="65" spans="1:46" ht="276.75" customHeight="1">
      <c r="A65" s="299" t="s">
        <v>206</v>
      </c>
      <c r="B65" s="300" t="s">
        <v>60</v>
      </c>
      <c r="C65" s="301" t="s">
        <v>74</v>
      </c>
      <c r="D65" s="390">
        <v>1</v>
      </c>
      <c r="E65" s="312" t="s">
        <v>877</v>
      </c>
      <c r="F65" s="304">
        <v>0.34</v>
      </c>
      <c r="G65" s="305" t="s">
        <v>62</v>
      </c>
      <c r="H65" s="301" t="s">
        <v>249</v>
      </c>
      <c r="I65" s="344" t="s">
        <v>861</v>
      </c>
      <c r="J65" s="301" t="s">
        <v>232</v>
      </c>
      <c r="K65" s="303" t="s">
        <v>890</v>
      </c>
      <c r="L65" s="303" t="s">
        <v>891</v>
      </c>
      <c r="M65" s="303" t="s">
        <v>892</v>
      </c>
      <c r="N65" s="301" t="s">
        <v>360</v>
      </c>
      <c r="O65" s="301" t="s">
        <v>230</v>
      </c>
      <c r="P65" s="301" t="s">
        <v>337</v>
      </c>
      <c r="Q65" s="301">
        <v>2024</v>
      </c>
      <c r="R65" s="304">
        <v>1</v>
      </c>
      <c r="S65" s="307">
        <v>46022</v>
      </c>
      <c r="T65" s="279">
        <v>1</v>
      </c>
      <c r="U65" s="279">
        <v>1</v>
      </c>
      <c r="V65" s="279">
        <v>1</v>
      </c>
      <c r="W65" s="279">
        <v>1</v>
      </c>
      <c r="X65" s="279">
        <v>1</v>
      </c>
      <c r="Y65" s="325" t="s">
        <v>893</v>
      </c>
      <c r="Z65" s="325" t="s">
        <v>887</v>
      </c>
      <c r="AA65" s="323" t="s">
        <v>340</v>
      </c>
      <c r="AB65" s="170">
        <v>1</v>
      </c>
      <c r="AC65" s="409">
        <f>4443/4443</f>
        <v>1</v>
      </c>
      <c r="AD65" s="123"/>
      <c r="AE65" s="123"/>
      <c r="AF65" s="226">
        <f>AC65</f>
        <v>1</v>
      </c>
      <c r="AG65" s="227" t="s">
        <v>894</v>
      </c>
      <c r="AH65" s="225" t="s">
        <v>206</v>
      </c>
      <c r="AI65" s="176" t="s">
        <v>12</v>
      </c>
      <c r="AJ65" s="474" t="s">
        <v>895</v>
      </c>
      <c r="AK65" s="475" t="s">
        <v>206</v>
      </c>
      <c r="AL65" s="476" t="s">
        <v>12</v>
      </c>
      <c r="AM65" s="158"/>
      <c r="AN65" s="158"/>
      <c r="AO65" s="158"/>
      <c r="AP65" s="158"/>
      <c r="AQ65" s="158"/>
      <c r="AR65" s="271"/>
      <c r="AS65" s="155">
        <f t="shared" si="0"/>
        <v>1</v>
      </c>
      <c r="AT65" s="156">
        <f t="shared" si="1"/>
        <v>1</v>
      </c>
    </row>
    <row r="66" spans="1:46" ht="191.25">
      <c r="A66" s="299" t="s">
        <v>207</v>
      </c>
      <c r="B66" s="317" t="s">
        <v>60</v>
      </c>
      <c r="C66" s="305" t="s">
        <v>67</v>
      </c>
      <c r="D66" s="390">
        <v>1</v>
      </c>
      <c r="E66" s="312" t="s">
        <v>896</v>
      </c>
      <c r="F66" s="304">
        <v>0.25</v>
      </c>
      <c r="G66" s="305" t="s">
        <v>263</v>
      </c>
      <c r="H66" s="301" t="s">
        <v>249</v>
      </c>
      <c r="I66" s="344" t="s">
        <v>897</v>
      </c>
      <c r="J66" s="301" t="s">
        <v>226</v>
      </c>
      <c r="K66" s="303" t="s">
        <v>898</v>
      </c>
      <c r="L66" s="303" t="s">
        <v>899</v>
      </c>
      <c r="M66" s="303" t="s">
        <v>900</v>
      </c>
      <c r="N66" s="301" t="s">
        <v>360</v>
      </c>
      <c r="O66" s="301" t="s">
        <v>233</v>
      </c>
      <c r="P66" s="301" t="s">
        <v>361</v>
      </c>
      <c r="Q66" s="301">
        <v>2024</v>
      </c>
      <c r="R66" s="332">
        <v>12</v>
      </c>
      <c r="S66" s="307">
        <v>46022</v>
      </c>
      <c r="T66" s="392">
        <v>3</v>
      </c>
      <c r="U66" s="293">
        <v>3</v>
      </c>
      <c r="V66" s="293">
        <v>3</v>
      </c>
      <c r="W66" s="293">
        <v>3</v>
      </c>
      <c r="X66" s="376">
        <f>+T66+U66+V66+W66</f>
        <v>12</v>
      </c>
      <c r="Y66" s="391" t="s">
        <v>901</v>
      </c>
      <c r="Z66" s="391" t="s">
        <v>902</v>
      </c>
      <c r="AA66" s="391" t="s">
        <v>340</v>
      </c>
      <c r="AB66" s="293">
        <v>3</v>
      </c>
      <c r="AC66" s="177">
        <v>3</v>
      </c>
      <c r="AD66" s="293"/>
      <c r="AE66" s="293"/>
      <c r="AF66" s="177">
        <v>6</v>
      </c>
      <c r="AG66" s="178" t="s">
        <v>903</v>
      </c>
      <c r="AH66" s="179" t="s">
        <v>904</v>
      </c>
      <c r="AI66" s="178" t="s">
        <v>905</v>
      </c>
      <c r="AJ66" s="178" t="s">
        <v>906</v>
      </c>
      <c r="AK66" s="178" t="s">
        <v>907</v>
      </c>
      <c r="AL66" s="178" t="s">
        <v>908</v>
      </c>
      <c r="AM66" s="158"/>
      <c r="AN66" s="158"/>
      <c r="AO66" s="158"/>
      <c r="AP66" s="158"/>
      <c r="AQ66" s="158"/>
      <c r="AR66" s="280"/>
      <c r="AS66" s="155">
        <f t="shared" si="0"/>
        <v>1</v>
      </c>
      <c r="AT66" s="156">
        <f>+IFERROR(IF(A66=A65,"No requiere reporte",IF(OR(X66=0,X66=""),"No aplica, no hay meta",IF(AF66="","No se reportó avance",IF(AF66="N/A","No Aplica",IF(OR(AND(O66="Capacidad",OR(R66="",R66=0,R66="N/A")),AND(O66="Reducción",OR(R66="",R66=0,R66="N/A"))),"Se requiere valor de línea base para este tipo de acumulación",IF(OR(AND(O66="Flujo",OR(R66&lt;&gt;"",R66&lt;&gt;0,R66&lt;&gt;"N/A"),AF66="N/A"),AND(O66="Stock",OR(R66&lt;&gt;"",R66&lt;&gt;0,R66&lt;&gt;"N/A"),AF66="N/A")),"No aplica",IF(O66="Flujo",IF(AF66/X66&gt;1,1.00001,AF66/X66),IF(O66="Stock",IF(AF66/X66&gt;1,1.00001,AF66/X66),IF(O66="Acumulado",IF((AF66)/X66&gt;1,1.00001,(AF66)/X66),IF(O66="Capacidad",IF(((AF66-R66)/(X66-R66))&gt;1,1.00001,((AF66-R66)/(X66-R66))),IF(O66="Reducción",IF(((R66-AF66)/(R66-X66))&gt;1,1.00001,((R66-AF66)/(R66-X66))),"Revisar acumulación"))))))))))),"Revisar fórmula")</f>
        <v>0.5</v>
      </c>
    </row>
    <row r="67" spans="1:46" ht="267.75">
      <c r="A67" s="299" t="s">
        <v>208</v>
      </c>
      <c r="B67" s="317" t="s">
        <v>60</v>
      </c>
      <c r="C67" s="305" t="s">
        <v>67</v>
      </c>
      <c r="D67" s="390">
        <v>1</v>
      </c>
      <c r="E67" s="312" t="s">
        <v>896</v>
      </c>
      <c r="F67" s="304">
        <v>0.25</v>
      </c>
      <c r="G67" s="305" t="s">
        <v>263</v>
      </c>
      <c r="H67" s="301" t="s">
        <v>249</v>
      </c>
      <c r="I67" s="344" t="s">
        <v>897</v>
      </c>
      <c r="J67" s="301" t="s">
        <v>229</v>
      </c>
      <c r="K67" s="124" t="s">
        <v>909</v>
      </c>
      <c r="L67" s="124" t="s">
        <v>910</v>
      </c>
      <c r="M67" s="124" t="s">
        <v>911</v>
      </c>
      <c r="N67" s="301" t="s">
        <v>336</v>
      </c>
      <c r="O67" s="301" t="s">
        <v>230</v>
      </c>
      <c r="P67" s="301" t="s">
        <v>337</v>
      </c>
      <c r="Q67" s="301">
        <v>2024</v>
      </c>
      <c r="R67" s="304">
        <v>1</v>
      </c>
      <c r="S67" s="307">
        <v>46022</v>
      </c>
      <c r="T67" s="279">
        <v>1</v>
      </c>
      <c r="U67" s="279">
        <v>1</v>
      </c>
      <c r="V67" s="279">
        <v>1</v>
      </c>
      <c r="W67" s="279">
        <v>1</v>
      </c>
      <c r="X67" s="279">
        <v>1</v>
      </c>
      <c r="Y67" s="325" t="s">
        <v>912</v>
      </c>
      <c r="Z67" s="325" t="s">
        <v>913</v>
      </c>
      <c r="AA67" s="325" t="s">
        <v>340</v>
      </c>
      <c r="AB67" s="393">
        <v>1</v>
      </c>
      <c r="AC67" s="526">
        <f>(5/5)</f>
        <v>1</v>
      </c>
      <c r="AD67" s="294"/>
      <c r="AE67" s="294"/>
      <c r="AF67" s="132">
        <f>(5/5)*100</f>
        <v>100</v>
      </c>
      <c r="AG67" s="180" t="s">
        <v>914</v>
      </c>
      <c r="AH67" s="181" t="s">
        <v>915</v>
      </c>
      <c r="AI67" s="180" t="s">
        <v>916</v>
      </c>
      <c r="AJ67" s="180" t="s">
        <v>916</v>
      </c>
      <c r="AK67" s="180" t="s">
        <v>917</v>
      </c>
      <c r="AL67" s="180"/>
      <c r="AM67" s="158"/>
      <c r="AN67" s="158"/>
      <c r="AO67" s="158"/>
      <c r="AP67" s="158"/>
      <c r="AQ67" s="158"/>
      <c r="AR67" s="281"/>
      <c r="AS67" s="155">
        <f t="shared" si="0"/>
        <v>1</v>
      </c>
      <c r="AT67" s="156">
        <f t="shared" si="1"/>
        <v>1.0000100000000001</v>
      </c>
    </row>
    <row r="68" spans="1:46" ht="102.75" customHeight="1">
      <c r="A68" s="299" t="s">
        <v>209</v>
      </c>
      <c r="B68" s="317" t="s">
        <v>60</v>
      </c>
      <c r="C68" s="305" t="s">
        <v>67</v>
      </c>
      <c r="D68" s="390">
        <v>1</v>
      </c>
      <c r="E68" s="312" t="s">
        <v>896</v>
      </c>
      <c r="F68" s="304">
        <v>0.25</v>
      </c>
      <c r="G68" s="305" t="s">
        <v>263</v>
      </c>
      <c r="H68" s="301" t="s">
        <v>249</v>
      </c>
      <c r="I68" s="344" t="s">
        <v>897</v>
      </c>
      <c r="J68" s="301" t="s">
        <v>229</v>
      </c>
      <c r="K68" s="124" t="s">
        <v>918</v>
      </c>
      <c r="L68" s="124" t="s">
        <v>919</v>
      </c>
      <c r="M68" s="124" t="s">
        <v>920</v>
      </c>
      <c r="N68" s="301" t="s">
        <v>360</v>
      </c>
      <c r="O68" s="301" t="s">
        <v>233</v>
      </c>
      <c r="P68" s="301" t="s">
        <v>361</v>
      </c>
      <c r="Q68" s="301">
        <v>2024</v>
      </c>
      <c r="R68" s="340">
        <v>4</v>
      </c>
      <c r="S68" s="307">
        <v>46022</v>
      </c>
      <c r="T68" s="340">
        <v>1</v>
      </c>
      <c r="U68" s="340">
        <v>1</v>
      </c>
      <c r="V68" s="340">
        <v>1</v>
      </c>
      <c r="W68" s="340">
        <v>1</v>
      </c>
      <c r="X68" s="376">
        <f>+T68+U68+V68+W68</f>
        <v>4</v>
      </c>
      <c r="Y68" s="391" t="s">
        <v>921</v>
      </c>
      <c r="Z68" s="391" t="s">
        <v>922</v>
      </c>
      <c r="AA68" s="391" t="s">
        <v>340</v>
      </c>
      <c r="AB68" s="340">
        <v>1</v>
      </c>
      <c r="AC68" s="411">
        <v>1</v>
      </c>
      <c r="AD68" s="290"/>
      <c r="AE68" s="290"/>
      <c r="AF68" s="133">
        <v>2</v>
      </c>
      <c r="AG68" s="180" t="s">
        <v>923</v>
      </c>
      <c r="AH68" s="182"/>
      <c r="AI68" s="180" t="s">
        <v>924</v>
      </c>
      <c r="AJ68" s="180" t="s">
        <v>925</v>
      </c>
      <c r="AK68" s="180" t="s">
        <v>926</v>
      </c>
      <c r="AL68" s="180" t="s">
        <v>927</v>
      </c>
      <c r="AM68" s="158"/>
      <c r="AN68" s="158"/>
      <c r="AO68" s="158"/>
      <c r="AP68" s="158"/>
      <c r="AQ68" s="158"/>
      <c r="AR68" s="281"/>
      <c r="AS68" s="155">
        <f t="shared" si="0"/>
        <v>1</v>
      </c>
      <c r="AT68" s="156">
        <f t="shared" si="1"/>
        <v>0.5</v>
      </c>
    </row>
    <row r="69" spans="1:46" ht="93" customHeight="1">
      <c r="A69" s="299" t="s">
        <v>210</v>
      </c>
      <c r="B69" s="317" t="s">
        <v>60</v>
      </c>
      <c r="C69" s="305" t="s">
        <v>67</v>
      </c>
      <c r="D69" s="390">
        <v>1</v>
      </c>
      <c r="E69" s="312" t="s">
        <v>896</v>
      </c>
      <c r="F69" s="304">
        <v>0.25</v>
      </c>
      <c r="G69" s="305" t="s">
        <v>263</v>
      </c>
      <c r="H69" s="301" t="s">
        <v>249</v>
      </c>
      <c r="I69" s="344" t="s">
        <v>897</v>
      </c>
      <c r="J69" s="301" t="s">
        <v>226</v>
      </c>
      <c r="K69" s="124" t="s">
        <v>928</v>
      </c>
      <c r="L69" s="124" t="s">
        <v>929</v>
      </c>
      <c r="M69" s="124" t="s">
        <v>930</v>
      </c>
      <c r="N69" s="301" t="s">
        <v>336</v>
      </c>
      <c r="O69" s="301" t="s">
        <v>230</v>
      </c>
      <c r="P69" s="301" t="s">
        <v>337</v>
      </c>
      <c r="Q69" s="301">
        <v>2024</v>
      </c>
      <c r="R69" s="304">
        <v>1</v>
      </c>
      <c r="S69" s="307">
        <v>46022</v>
      </c>
      <c r="T69" s="279">
        <v>1</v>
      </c>
      <c r="U69" s="279">
        <v>1</v>
      </c>
      <c r="V69" s="279">
        <v>1</v>
      </c>
      <c r="W69" s="279">
        <v>1</v>
      </c>
      <c r="X69" s="279">
        <v>1</v>
      </c>
      <c r="Y69" s="325" t="s">
        <v>931</v>
      </c>
      <c r="Z69" s="325" t="s">
        <v>932</v>
      </c>
      <c r="AA69" s="325" t="s">
        <v>340</v>
      </c>
      <c r="AB69" s="157">
        <f>1542/1542*100</f>
        <v>100</v>
      </c>
      <c r="AC69" s="409">
        <f>(6/6)</f>
        <v>1</v>
      </c>
      <c r="AD69" s="157"/>
      <c r="AE69" s="157"/>
      <c r="AF69" s="162">
        <f>(6/6)*100</f>
        <v>100</v>
      </c>
      <c r="AG69" s="180" t="s">
        <v>933</v>
      </c>
      <c r="AH69" s="181" t="s">
        <v>934</v>
      </c>
      <c r="AI69" s="180" t="s">
        <v>924</v>
      </c>
      <c r="AJ69" s="180" t="s">
        <v>935</v>
      </c>
      <c r="AK69" s="180" t="s">
        <v>936</v>
      </c>
      <c r="AL69" s="180"/>
      <c r="AM69" s="158"/>
      <c r="AN69" s="158"/>
      <c r="AO69" s="158"/>
      <c r="AP69" s="158"/>
      <c r="AQ69" s="158"/>
      <c r="AR69" s="281"/>
      <c r="AS69" s="155">
        <f t="shared" ref="AS69:AS87" si="6">+IFERROR(IF(A69=A68,"No requiere reporte",IF(OR(U69=0,U69=""),"No aplica, no hay meta",IF(AC69="","No se reportó avance",IF(AC69="N/A","No Aplica",IF(OR(AND(O69="Capacidad",OR(R69="",R69=0,R69="N/A")),AND(O69="Reducción",OR(R69="",R69=0,R69="N/A"))),"Se requiere valor de línea base para este tipo de acumulación",IF(OR(AND(O69="Flujo",OR(R69&lt;&gt;"",R69&lt;&gt;0,R69&lt;&gt;"N/A"),AC69="N/A"),AND(O69="Stock",OR(R69&lt;&gt;"",R69&lt;&gt;0,R69&lt;&gt;"N/A"),AC69="N/A")),"No aplica",IF(O69="Flujo",IF(AC69/U69&gt;1,1.00001,AC69/U69),IF(O69="Stock",IF(AC69/T69&gt;1,1.00001,AC69/U69),IF(O69="Acumulado",IF((AC69)/U69&gt;1,1.00001,(AC69)/U69),IF(O69="Capacidad",IF(((AC69-R69)/(U69-R69))&gt;1,1.00001,((AC69-R69)/(U69-R69))),IF(O69="Reducción",IF(((R69-AC69)/(R69-U69))&gt;1,1.00001,((R69-AC69)/(R69-U69))),"Revisar acumulación"))))))))))),"Revisar fórmula")</f>
        <v>1</v>
      </c>
      <c r="AT69" s="156">
        <f t="shared" ref="AT69:AT87" si="7">+IFERROR(IF(A69=A68,"No requiere reporte",IF(OR(X69=0,X69=""),"No aplica, no hay meta",IF(AF69="","No se reportó avance",IF(AF69="N/A","No Aplica",IF(OR(AND(O69="Capacidad",OR(R69="",R69=0,R69="N/A")),AND(O69="Reducción",OR(R69="",R69=0,R69="N/A"))),"Se requiere valor de línea base para este tipo de acumulación",IF(OR(AND(O69="Flujo",OR(R69&lt;&gt;"",R69&lt;&gt;0,R69&lt;&gt;"N/A"),AF69="N/A"),AND(O69="Stock",OR(R69&lt;&gt;"",R69&lt;&gt;0,R69&lt;&gt;"N/A"),AF69="N/A")),"No aplica",IF(O69="Flujo",IF(AF69/X69&gt;1,1.00001,AF69/X69),IF(O69="Stock",IF(AF69/X69&gt;1,1.00001,AF69/X69),IF(O69="Acumulado",IF((AF69)/X69&gt;1,1.00001,(AF69)/X69),IF(O69="Capacidad",IF(((AF69-R69)/(X69-R69))&gt;1,1.00001,((AF69-R69)/(X69-R69))),IF(O69="Reducción",IF(((R69-AF69)/(R69-X69))&gt;1,1.00001,((R69-AF69)/(R69-X69))),"Revisar acumulación"))))))))))),"Revisar fórmula")</f>
        <v>1.0000100000000001</v>
      </c>
    </row>
    <row r="70" spans="1:46" ht="66.75" customHeight="1">
      <c r="A70" s="299" t="s">
        <v>211</v>
      </c>
      <c r="B70" s="300" t="s">
        <v>60</v>
      </c>
      <c r="C70" s="301" t="s">
        <v>77</v>
      </c>
      <c r="D70" s="302">
        <v>1</v>
      </c>
      <c r="E70" s="312" t="s">
        <v>937</v>
      </c>
      <c r="F70" s="394">
        <v>0.22</v>
      </c>
      <c r="G70" s="301" t="s">
        <v>238</v>
      </c>
      <c r="H70" s="301" t="s">
        <v>246</v>
      </c>
      <c r="I70" s="344" t="s">
        <v>938</v>
      </c>
      <c r="J70" s="301" t="s">
        <v>226</v>
      </c>
      <c r="K70" s="345" t="s">
        <v>939</v>
      </c>
      <c r="L70" s="345" t="s">
        <v>940</v>
      </c>
      <c r="M70" s="345" t="s">
        <v>941</v>
      </c>
      <c r="N70" s="301" t="s">
        <v>336</v>
      </c>
      <c r="O70" s="301" t="s">
        <v>233</v>
      </c>
      <c r="P70" s="301" t="s">
        <v>337</v>
      </c>
      <c r="Q70" s="172">
        <v>2024</v>
      </c>
      <c r="R70" s="365">
        <v>1</v>
      </c>
      <c r="S70" s="362">
        <v>46022</v>
      </c>
      <c r="T70" s="394">
        <v>0</v>
      </c>
      <c r="U70" s="394">
        <v>1</v>
      </c>
      <c r="V70" s="394">
        <v>0</v>
      </c>
      <c r="W70" s="394">
        <v>1</v>
      </c>
      <c r="X70" s="394">
        <v>1</v>
      </c>
      <c r="Y70" s="395" t="s">
        <v>942</v>
      </c>
      <c r="Z70" s="395" t="s">
        <v>942</v>
      </c>
      <c r="AA70" s="395" t="s">
        <v>847</v>
      </c>
      <c r="AB70" s="249" t="s">
        <v>12</v>
      </c>
      <c r="AC70" s="490">
        <f>76/76</f>
        <v>1</v>
      </c>
      <c r="AD70" s="290"/>
      <c r="AE70" s="290"/>
      <c r="AF70" s="490">
        <f>76/76</f>
        <v>1</v>
      </c>
      <c r="AG70" s="249" t="s">
        <v>12</v>
      </c>
      <c r="AH70" s="249" t="s">
        <v>12</v>
      </c>
      <c r="AI70" s="176" t="s">
        <v>12</v>
      </c>
      <c r="AJ70" s="473" t="s">
        <v>943</v>
      </c>
      <c r="AK70" s="480" t="s">
        <v>944</v>
      </c>
      <c r="AL70" s="176" t="s">
        <v>12</v>
      </c>
      <c r="AM70" s="158"/>
      <c r="AN70" s="158"/>
      <c r="AO70" s="158"/>
      <c r="AP70" s="158"/>
      <c r="AQ70" s="158"/>
      <c r="AR70" s="282"/>
      <c r="AS70" s="155">
        <f t="shared" si="6"/>
        <v>1</v>
      </c>
      <c r="AT70" s="156">
        <f t="shared" si="7"/>
        <v>1</v>
      </c>
    </row>
    <row r="71" spans="1:46" ht="54.75" customHeight="1">
      <c r="A71" s="299" t="s">
        <v>212</v>
      </c>
      <c r="B71" s="300" t="s">
        <v>60</v>
      </c>
      <c r="C71" s="301" t="s">
        <v>77</v>
      </c>
      <c r="D71" s="302">
        <v>1</v>
      </c>
      <c r="E71" s="312" t="s">
        <v>937</v>
      </c>
      <c r="F71" s="394">
        <v>0.22</v>
      </c>
      <c r="G71" s="301" t="s">
        <v>238</v>
      </c>
      <c r="H71" s="301" t="s">
        <v>246</v>
      </c>
      <c r="I71" s="344" t="s">
        <v>938</v>
      </c>
      <c r="J71" s="301" t="s">
        <v>226</v>
      </c>
      <c r="K71" s="345" t="s">
        <v>945</v>
      </c>
      <c r="L71" s="345" t="s">
        <v>946</v>
      </c>
      <c r="M71" s="345" t="s">
        <v>947</v>
      </c>
      <c r="N71" s="301" t="s">
        <v>336</v>
      </c>
      <c r="O71" s="301" t="s">
        <v>233</v>
      </c>
      <c r="P71" s="301" t="s">
        <v>337</v>
      </c>
      <c r="Q71" s="172">
        <v>2024</v>
      </c>
      <c r="R71" s="365">
        <v>1</v>
      </c>
      <c r="S71" s="362">
        <v>46022</v>
      </c>
      <c r="T71" s="394">
        <v>0</v>
      </c>
      <c r="U71" s="394">
        <v>1</v>
      </c>
      <c r="V71" s="394">
        <v>0</v>
      </c>
      <c r="W71" s="394">
        <v>1</v>
      </c>
      <c r="X71" s="394">
        <v>1</v>
      </c>
      <c r="Y71" s="395" t="s">
        <v>948</v>
      </c>
      <c r="Z71" s="395" t="s">
        <v>948</v>
      </c>
      <c r="AA71" s="395" t="s">
        <v>847</v>
      </c>
      <c r="AB71" s="249" t="s">
        <v>12</v>
      </c>
      <c r="AC71" s="525">
        <v>1</v>
      </c>
      <c r="AD71" s="290"/>
      <c r="AE71" s="290"/>
      <c r="AF71" s="525">
        <v>1</v>
      </c>
      <c r="AG71" s="249" t="s">
        <v>12</v>
      </c>
      <c r="AH71" s="249" t="s">
        <v>12</v>
      </c>
      <c r="AI71" s="176" t="s">
        <v>12</v>
      </c>
      <c r="AJ71" s="473" t="s">
        <v>949</v>
      </c>
      <c r="AK71" s="480" t="s">
        <v>950</v>
      </c>
      <c r="AL71" s="176" t="s">
        <v>12</v>
      </c>
      <c r="AM71" s="158"/>
      <c r="AN71" s="158"/>
      <c r="AO71" s="158"/>
      <c r="AP71" s="158"/>
      <c r="AQ71" s="158"/>
      <c r="AR71" s="282"/>
      <c r="AS71" s="155">
        <f t="shared" si="6"/>
        <v>1</v>
      </c>
      <c r="AT71" s="156">
        <f t="shared" si="7"/>
        <v>1</v>
      </c>
    </row>
    <row r="72" spans="1:46" ht="64.5" customHeight="1">
      <c r="A72" s="299" t="s">
        <v>213</v>
      </c>
      <c r="B72" s="300" t="s">
        <v>60</v>
      </c>
      <c r="C72" s="301" t="s">
        <v>77</v>
      </c>
      <c r="D72" s="302">
        <v>1</v>
      </c>
      <c r="E72" s="312" t="s">
        <v>937</v>
      </c>
      <c r="F72" s="394">
        <v>0.22</v>
      </c>
      <c r="G72" s="301" t="s">
        <v>238</v>
      </c>
      <c r="H72" s="301" t="s">
        <v>246</v>
      </c>
      <c r="I72" s="344" t="s">
        <v>938</v>
      </c>
      <c r="J72" s="301" t="s">
        <v>226</v>
      </c>
      <c r="K72" s="345" t="s">
        <v>951</v>
      </c>
      <c r="L72" s="345" t="s">
        <v>952</v>
      </c>
      <c r="M72" s="345" t="s">
        <v>953</v>
      </c>
      <c r="N72" s="301" t="s">
        <v>336</v>
      </c>
      <c r="O72" s="301" t="s">
        <v>233</v>
      </c>
      <c r="P72" s="301" t="s">
        <v>337</v>
      </c>
      <c r="Q72" s="172">
        <v>2024</v>
      </c>
      <c r="R72" s="365">
        <v>1</v>
      </c>
      <c r="S72" s="362">
        <v>46022</v>
      </c>
      <c r="T72" s="394">
        <v>1</v>
      </c>
      <c r="U72" s="394">
        <v>1</v>
      </c>
      <c r="V72" s="394">
        <v>1</v>
      </c>
      <c r="W72" s="394">
        <v>1</v>
      </c>
      <c r="X72" s="394">
        <v>1</v>
      </c>
      <c r="Y72" s="395" t="s">
        <v>954</v>
      </c>
      <c r="Z72" s="395" t="s">
        <v>954</v>
      </c>
      <c r="AA72" s="395" t="s">
        <v>340</v>
      </c>
      <c r="AB72" s="239">
        <v>0.88</v>
      </c>
      <c r="AC72" s="455">
        <v>1</v>
      </c>
      <c r="AD72" s="123"/>
      <c r="AE72" s="123"/>
      <c r="AF72" s="197">
        <f>(7+5)/(8+5)</f>
        <v>0.92307692307692313</v>
      </c>
      <c r="AG72" s="247" t="s">
        <v>955</v>
      </c>
      <c r="AH72" s="248" t="s">
        <v>956</v>
      </c>
      <c r="AI72" s="176" t="s">
        <v>12</v>
      </c>
      <c r="AJ72" s="473" t="s">
        <v>957</v>
      </c>
      <c r="AK72" s="480" t="s">
        <v>958</v>
      </c>
      <c r="AL72" s="176" t="s">
        <v>12</v>
      </c>
      <c r="AM72" s="158"/>
      <c r="AN72" s="158"/>
      <c r="AO72" s="158"/>
      <c r="AP72" s="158"/>
      <c r="AQ72" s="158"/>
      <c r="AR72" s="282"/>
      <c r="AS72" s="155">
        <f t="shared" si="6"/>
        <v>1</v>
      </c>
      <c r="AT72" s="156">
        <f t="shared" si="7"/>
        <v>0.92307692307692313</v>
      </c>
    </row>
    <row r="73" spans="1:46" ht="62.25" customHeight="1">
      <c r="A73" s="299" t="s">
        <v>214</v>
      </c>
      <c r="B73" s="300" t="s">
        <v>60</v>
      </c>
      <c r="C73" s="301" t="s">
        <v>77</v>
      </c>
      <c r="D73" s="302">
        <v>1</v>
      </c>
      <c r="E73" s="312" t="s">
        <v>937</v>
      </c>
      <c r="F73" s="394">
        <v>0.22</v>
      </c>
      <c r="G73" s="301" t="s">
        <v>238</v>
      </c>
      <c r="H73" s="301" t="s">
        <v>246</v>
      </c>
      <c r="I73" s="344" t="s">
        <v>938</v>
      </c>
      <c r="J73" s="301" t="s">
        <v>226</v>
      </c>
      <c r="K73" s="345" t="s">
        <v>959</v>
      </c>
      <c r="L73" s="345" t="s">
        <v>960</v>
      </c>
      <c r="M73" s="345" t="s">
        <v>961</v>
      </c>
      <c r="N73" s="301" t="s">
        <v>336</v>
      </c>
      <c r="O73" s="301" t="s">
        <v>233</v>
      </c>
      <c r="P73" s="301" t="s">
        <v>337</v>
      </c>
      <c r="Q73" s="172">
        <v>2024</v>
      </c>
      <c r="R73" s="365">
        <v>1</v>
      </c>
      <c r="S73" s="362">
        <v>46022</v>
      </c>
      <c r="T73" s="394">
        <v>1</v>
      </c>
      <c r="U73" s="394">
        <v>1</v>
      </c>
      <c r="V73" s="394">
        <v>1</v>
      </c>
      <c r="W73" s="394">
        <v>1</v>
      </c>
      <c r="X73" s="394">
        <v>1</v>
      </c>
      <c r="Y73" s="395" t="s">
        <v>962</v>
      </c>
      <c r="Z73" s="395" t="s">
        <v>962</v>
      </c>
      <c r="AA73" s="395" t="s">
        <v>340</v>
      </c>
      <c r="AB73" s="239">
        <f>139/137</f>
        <v>1.0145985401459854</v>
      </c>
      <c r="AC73" s="455">
        <f>159/159</f>
        <v>1</v>
      </c>
      <c r="AD73" s="290"/>
      <c r="AE73" s="290"/>
      <c r="AF73" s="239">
        <f>(139+159)/(137+159)</f>
        <v>1.0067567567567568</v>
      </c>
      <c r="AG73" s="247" t="s">
        <v>963</v>
      </c>
      <c r="AH73" s="248" t="s">
        <v>964</v>
      </c>
      <c r="AI73" s="176" t="s">
        <v>12</v>
      </c>
      <c r="AJ73" s="479" t="s">
        <v>965</v>
      </c>
      <c r="AK73" s="480" t="s">
        <v>966</v>
      </c>
      <c r="AL73" s="176" t="s">
        <v>12</v>
      </c>
      <c r="AM73" s="158"/>
      <c r="AN73" s="158"/>
      <c r="AO73" s="158"/>
      <c r="AP73" s="158"/>
      <c r="AQ73" s="158"/>
      <c r="AR73" s="282"/>
      <c r="AS73" s="155">
        <f t="shared" si="6"/>
        <v>1</v>
      </c>
      <c r="AT73" s="156">
        <f t="shared" si="7"/>
        <v>1.0000100000000001</v>
      </c>
    </row>
    <row r="74" spans="1:46" ht="49.5" customHeight="1">
      <c r="A74" s="299" t="s">
        <v>215</v>
      </c>
      <c r="B74" s="300" t="s">
        <v>60</v>
      </c>
      <c r="C74" s="301" t="s">
        <v>77</v>
      </c>
      <c r="D74" s="302">
        <v>1</v>
      </c>
      <c r="E74" s="312" t="s">
        <v>937</v>
      </c>
      <c r="F74" s="394">
        <v>0.12</v>
      </c>
      <c r="G74" s="301" t="s">
        <v>238</v>
      </c>
      <c r="H74" s="301" t="s">
        <v>246</v>
      </c>
      <c r="I74" s="344" t="s">
        <v>938</v>
      </c>
      <c r="J74" s="301" t="s">
        <v>226</v>
      </c>
      <c r="K74" s="345" t="s">
        <v>967</v>
      </c>
      <c r="L74" s="345" t="s">
        <v>968</v>
      </c>
      <c r="M74" s="345" t="s">
        <v>969</v>
      </c>
      <c r="N74" s="301" t="s">
        <v>336</v>
      </c>
      <c r="O74" s="301" t="s">
        <v>233</v>
      </c>
      <c r="P74" s="301" t="s">
        <v>337</v>
      </c>
      <c r="Q74" s="172">
        <v>2024</v>
      </c>
      <c r="R74" s="365">
        <v>1</v>
      </c>
      <c r="S74" s="362">
        <v>46022</v>
      </c>
      <c r="T74" s="394">
        <v>1</v>
      </c>
      <c r="U74" s="394">
        <v>1</v>
      </c>
      <c r="V74" s="394">
        <v>1</v>
      </c>
      <c r="W74" s="394">
        <v>1</v>
      </c>
      <c r="X74" s="394">
        <v>1</v>
      </c>
      <c r="Y74" s="395" t="s">
        <v>970</v>
      </c>
      <c r="Z74" s="395" t="s">
        <v>970</v>
      </c>
      <c r="AA74" s="395" t="s">
        <v>340</v>
      </c>
      <c r="AB74" s="396" t="s">
        <v>546</v>
      </c>
      <c r="AC74" s="455">
        <v>1</v>
      </c>
      <c r="AD74" s="290"/>
      <c r="AE74" s="290"/>
      <c r="AF74" s="239">
        <v>1</v>
      </c>
      <c r="AG74" s="247" t="s">
        <v>971</v>
      </c>
      <c r="AH74" s="247" t="s">
        <v>972</v>
      </c>
      <c r="AI74" s="176" t="s">
        <v>12</v>
      </c>
      <c r="AJ74" s="479" t="s">
        <v>973</v>
      </c>
      <c r="AK74" s="480" t="s">
        <v>974</v>
      </c>
      <c r="AL74" s="176" t="s">
        <v>12</v>
      </c>
      <c r="AM74" s="158"/>
      <c r="AN74" s="158"/>
      <c r="AO74" s="158"/>
      <c r="AP74" s="158"/>
      <c r="AQ74" s="158"/>
      <c r="AR74" s="272"/>
      <c r="AS74" s="155">
        <f t="shared" si="6"/>
        <v>1</v>
      </c>
      <c r="AT74" s="156">
        <f t="shared" si="7"/>
        <v>1</v>
      </c>
    </row>
    <row r="75" spans="1:46" ht="369.75">
      <c r="A75" s="299" t="s">
        <v>216</v>
      </c>
      <c r="B75" s="317" t="s">
        <v>60</v>
      </c>
      <c r="C75" s="305" t="s">
        <v>82</v>
      </c>
      <c r="D75" s="311">
        <v>1</v>
      </c>
      <c r="E75" s="312" t="s">
        <v>975</v>
      </c>
      <c r="F75" s="324">
        <v>1</v>
      </c>
      <c r="G75" s="305" t="s">
        <v>23</v>
      </c>
      <c r="H75" s="301" t="s">
        <v>252</v>
      </c>
      <c r="I75" s="269" t="s">
        <v>402</v>
      </c>
      <c r="J75" s="301" t="s">
        <v>229</v>
      </c>
      <c r="K75" s="124" t="s">
        <v>976</v>
      </c>
      <c r="L75" s="124" t="s">
        <v>977</v>
      </c>
      <c r="M75" s="124" t="s">
        <v>978</v>
      </c>
      <c r="N75" s="301" t="s">
        <v>360</v>
      </c>
      <c r="O75" s="301" t="s">
        <v>230</v>
      </c>
      <c r="P75" s="301" t="s">
        <v>337</v>
      </c>
      <c r="Q75" s="301">
        <v>2025</v>
      </c>
      <c r="R75" s="304">
        <v>0.37</v>
      </c>
      <c r="S75" s="338">
        <v>46022</v>
      </c>
      <c r="T75" s="321">
        <v>0.37</v>
      </c>
      <c r="U75" s="321">
        <v>0.38</v>
      </c>
      <c r="V75" s="321">
        <v>0.39</v>
      </c>
      <c r="W75" s="321">
        <v>0.4</v>
      </c>
      <c r="X75" s="373">
        <v>0.4</v>
      </c>
      <c r="Y75" s="323" t="s">
        <v>979</v>
      </c>
      <c r="Z75" s="395" t="s">
        <v>980</v>
      </c>
      <c r="AA75" s="397" t="s">
        <v>340</v>
      </c>
      <c r="AB75" s="398">
        <f>4560/10942</f>
        <v>0.41674282580881011</v>
      </c>
      <c r="AC75" s="444">
        <v>0.48</v>
      </c>
      <c r="AD75" s="157"/>
      <c r="AE75" s="157"/>
      <c r="AF75" s="206">
        <f>7853/16509*100%</f>
        <v>0.47567993215821675</v>
      </c>
      <c r="AG75" s="207" t="s">
        <v>981</v>
      </c>
      <c r="AH75" s="208" t="s">
        <v>982</v>
      </c>
      <c r="AI75" s="209" t="s">
        <v>983</v>
      </c>
      <c r="AJ75" s="438" t="s">
        <v>984</v>
      </c>
      <c r="AK75" s="450" t="s">
        <v>982</v>
      </c>
      <c r="AL75" s="445" t="s">
        <v>985</v>
      </c>
      <c r="AM75" s="158"/>
      <c r="AN75" s="158"/>
      <c r="AO75" s="158"/>
      <c r="AP75" s="158"/>
      <c r="AQ75" s="158"/>
      <c r="AR75" s="268"/>
      <c r="AS75" s="155">
        <f t="shared" si="6"/>
        <v>1.0000100000000001</v>
      </c>
      <c r="AT75" s="156">
        <f t="shared" si="7"/>
        <v>1.0000100000000001</v>
      </c>
    </row>
    <row r="76" spans="1:46" ht="216" customHeight="1">
      <c r="A76" s="299" t="s">
        <v>217</v>
      </c>
      <c r="B76" s="317" t="s">
        <v>60</v>
      </c>
      <c r="C76" s="305" t="s">
        <v>80</v>
      </c>
      <c r="D76" s="311">
        <v>1</v>
      </c>
      <c r="E76" s="312" t="s">
        <v>986</v>
      </c>
      <c r="F76" s="324">
        <v>0.25</v>
      </c>
      <c r="G76" s="305" t="s">
        <v>23</v>
      </c>
      <c r="H76" s="301" t="s">
        <v>252</v>
      </c>
      <c r="I76" s="269" t="s">
        <v>402</v>
      </c>
      <c r="J76" s="301" t="s">
        <v>229</v>
      </c>
      <c r="K76" s="124" t="s">
        <v>987</v>
      </c>
      <c r="L76" s="124" t="s">
        <v>988</v>
      </c>
      <c r="M76" s="124" t="s">
        <v>989</v>
      </c>
      <c r="N76" s="301" t="s">
        <v>336</v>
      </c>
      <c r="O76" s="301" t="s">
        <v>230</v>
      </c>
      <c r="P76" s="301" t="s">
        <v>337</v>
      </c>
      <c r="Q76" s="305">
        <v>2022</v>
      </c>
      <c r="R76" s="321">
        <v>1</v>
      </c>
      <c r="S76" s="399">
        <v>46022</v>
      </c>
      <c r="T76" s="321">
        <v>1</v>
      </c>
      <c r="U76" s="321">
        <v>1</v>
      </c>
      <c r="V76" s="321">
        <v>1</v>
      </c>
      <c r="W76" s="321">
        <v>1</v>
      </c>
      <c r="X76" s="373">
        <v>1</v>
      </c>
      <c r="Y76" s="323" t="s">
        <v>990</v>
      </c>
      <c r="Z76" s="322" t="s">
        <v>991</v>
      </c>
      <c r="AA76" s="397" t="s">
        <v>340</v>
      </c>
      <c r="AB76" s="400">
        <f>125/125*100%</f>
        <v>1</v>
      </c>
      <c r="AC76" s="498">
        <f>153/153*100%</f>
        <v>1</v>
      </c>
      <c r="AD76" s="288"/>
      <c r="AE76" s="288"/>
      <c r="AF76" s="183">
        <f>173/173*100%</f>
        <v>1</v>
      </c>
      <c r="AG76" s="210" t="s">
        <v>992</v>
      </c>
      <c r="AH76" s="211" t="s">
        <v>993</v>
      </c>
      <c r="AI76" s="176" t="s">
        <v>12</v>
      </c>
      <c r="AJ76" s="437" t="s">
        <v>994</v>
      </c>
      <c r="AK76" s="211" t="s">
        <v>995</v>
      </c>
      <c r="AL76" s="415" t="s">
        <v>12</v>
      </c>
      <c r="AM76" s="158"/>
      <c r="AN76" s="158"/>
      <c r="AO76" s="158"/>
      <c r="AP76" s="158"/>
      <c r="AQ76" s="158"/>
      <c r="AR76" s="268"/>
      <c r="AS76" s="155">
        <f t="shared" si="6"/>
        <v>1</v>
      </c>
      <c r="AT76" s="156">
        <f t="shared" si="7"/>
        <v>1</v>
      </c>
    </row>
    <row r="77" spans="1:46" ht="188.25" customHeight="1">
      <c r="A77" s="299" t="s">
        <v>218</v>
      </c>
      <c r="B77" s="317" t="s">
        <v>60</v>
      </c>
      <c r="C77" s="305" t="s">
        <v>80</v>
      </c>
      <c r="D77" s="311">
        <v>1</v>
      </c>
      <c r="E77" s="312" t="s">
        <v>986</v>
      </c>
      <c r="F77" s="324">
        <v>0.25</v>
      </c>
      <c r="G77" s="305" t="s">
        <v>23</v>
      </c>
      <c r="H77" s="301" t="s">
        <v>252</v>
      </c>
      <c r="I77" s="269" t="s">
        <v>402</v>
      </c>
      <c r="J77" s="301" t="s">
        <v>229</v>
      </c>
      <c r="K77" s="124" t="s">
        <v>996</v>
      </c>
      <c r="L77" s="124" t="s">
        <v>997</v>
      </c>
      <c r="M77" s="124" t="s">
        <v>998</v>
      </c>
      <c r="N77" s="301" t="s">
        <v>336</v>
      </c>
      <c r="O77" s="301" t="s">
        <v>230</v>
      </c>
      <c r="P77" s="301" t="s">
        <v>337</v>
      </c>
      <c r="Q77" s="305">
        <v>2022</v>
      </c>
      <c r="R77" s="321">
        <v>1</v>
      </c>
      <c r="S77" s="399">
        <v>46022</v>
      </c>
      <c r="T77" s="321">
        <v>1</v>
      </c>
      <c r="U77" s="321">
        <v>1</v>
      </c>
      <c r="V77" s="321">
        <v>1</v>
      </c>
      <c r="W77" s="321">
        <v>1</v>
      </c>
      <c r="X77" s="373">
        <v>1</v>
      </c>
      <c r="Y77" s="323" t="s">
        <v>999</v>
      </c>
      <c r="Z77" s="323" t="s">
        <v>1000</v>
      </c>
      <c r="AA77" s="397" t="s">
        <v>340</v>
      </c>
      <c r="AB77" s="183">
        <f>2528/2528*100%</f>
        <v>1</v>
      </c>
      <c r="AC77" s="409">
        <f>1222/1222*100%</f>
        <v>1</v>
      </c>
      <c r="AD77" s="290"/>
      <c r="AE77" s="290"/>
      <c r="AF77" s="183">
        <f>1222/1222*100%</f>
        <v>1</v>
      </c>
      <c r="AG77" s="210" t="s">
        <v>1001</v>
      </c>
      <c r="AH77" s="211" t="s">
        <v>1002</v>
      </c>
      <c r="AI77" s="176" t="s">
        <v>12</v>
      </c>
      <c r="AJ77" s="438" t="s">
        <v>1003</v>
      </c>
      <c r="AK77" s="220" t="s">
        <v>1004</v>
      </c>
      <c r="AL77" s="417" t="s">
        <v>12</v>
      </c>
      <c r="AM77" s="158"/>
      <c r="AN77" s="158"/>
      <c r="AO77" s="158"/>
      <c r="AP77" s="158"/>
      <c r="AQ77" s="158"/>
      <c r="AR77" s="268"/>
      <c r="AS77" s="155">
        <f t="shared" si="6"/>
        <v>1</v>
      </c>
      <c r="AT77" s="156">
        <f t="shared" si="7"/>
        <v>1</v>
      </c>
    </row>
    <row r="78" spans="1:46" ht="191.25">
      <c r="A78" s="299" t="s">
        <v>219</v>
      </c>
      <c r="B78" s="317" t="s">
        <v>60</v>
      </c>
      <c r="C78" s="305" t="s">
        <v>80</v>
      </c>
      <c r="D78" s="311">
        <v>1</v>
      </c>
      <c r="E78" s="312" t="s">
        <v>986</v>
      </c>
      <c r="F78" s="324">
        <v>0.25</v>
      </c>
      <c r="G78" s="305" t="s">
        <v>23</v>
      </c>
      <c r="H78" s="301" t="s">
        <v>252</v>
      </c>
      <c r="I78" s="269" t="s">
        <v>402</v>
      </c>
      <c r="J78" s="301" t="s">
        <v>226</v>
      </c>
      <c r="K78" s="124" t="s">
        <v>1005</v>
      </c>
      <c r="L78" s="124" t="s">
        <v>1006</v>
      </c>
      <c r="M78" s="124" t="s">
        <v>1007</v>
      </c>
      <c r="N78" s="301" t="s">
        <v>336</v>
      </c>
      <c r="O78" s="301" t="s">
        <v>230</v>
      </c>
      <c r="P78" s="301" t="s">
        <v>337</v>
      </c>
      <c r="Q78" s="305">
        <v>2025</v>
      </c>
      <c r="R78" s="321">
        <v>1</v>
      </c>
      <c r="S78" s="399">
        <v>46022</v>
      </c>
      <c r="T78" s="321">
        <v>1</v>
      </c>
      <c r="U78" s="321">
        <v>1</v>
      </c>
      <c r="V78" s="321">
        <v>1</v>
      </c>
      <c r="W78" s="321">
        <v>1</v>
      </c>
      <c r="X78" s="373">
        <v>1</v>
      </c>
      <c r="Y78" s="323" t="s">
        <v>1008</v>
      </c>
      <c r="Z78" s="323" t="s">
        <v>1009</v>
      </c>
      <c r="AA78" s="397" t="s">
        <v>340</v>
      </c>
      <c r="AB78" s="183">
        <f>(2/2)*100%</f>
        <v>1</v>
      </c>
      <c r="AC78" s="441">
        <v>1</v>
      </c>
      <c r="AD78" s="288"/>
      <c r="AE78" s="288"/>
      <c r="AF78" s="183">
        <v>1</v>
      </c>
      <c r="AG78" s="176" t="s">
        <v>1010</v>
      </c>
      <c r="AH78" s="211" t="s">
        <v>1011</v>
      </c>
      <c r="AI78" s="176" t="s">
        <v>12</v>
      </c>
      <c r="AJ78" s="439" t="s">
        <v>1010</v>
      </c>
      <c r="AK78" s="211" t="s">
        <v>1011</v>
      </c>
      <c r="AL78" s="415" t="s">
        <v>12</v>
      </c>
      <c r="AM78" s="158"/>
      <c r="AN78" s="158"/>
      <c r="AO78" s="158"/>
      <c r="AP78" s="158"/>
      <c r="AQ78" s="158"/>
      <c r="AR78" s="165"/>
      <c r="AS78" s="155">
        <f t="shared" si="6"/>
        <v>1</v>
      </c>
      <c r="AT78" s="156">
        <f t="shared" si="7"/>
        <v>1</v>
      </c>
    </row>
    <row r="79" spans="1:46" ht="280.5">
      <c r="A79" s="299" t="s">
        <v>220</v>
      </c>
      <c r="B79" s="317" t="s">
        <v>60</v>
      </c>
      <c r="C79" s="305" t="s">
        <v>80</v>
      </c>
      <c r="D79" s="311">
        <v>1</v>
      </c>
      <c r="E79" s="312" t="s">
        <v>986</v>
      </c>
      <c r="F79" s="324">
        <v>0.25</v>
      </c>
      <c r="G79" s="305" t="s">
        <v>23</v>
      </c>
      <c r="H79" s="301" t="s">
        <v>252</v>
      </c>
      <c r="I79" s="269" t="s">
        <v>402</v>
      </c>
      <c r="J79" s="301" t="s">
        <v>226</v>
      </c>
      <c r="K79" s="124" t="s">
        <v>1012</v>
      </c>
      <c r="L79" s="124" t="s">
        <v>1013</v>
      </c>
      <c r="M79" s="124" t="s">
        <v>1014</v>
      </c>
      <c r="N79" s="301" t="s">
        <v>336</v>
      </c>
      <c r="O79" s="301" t="s">
        <v>230</v>
      </c>
      <c r="P79" s="301" t="s">
        <v>337</v>
      </c>
      <c r="Q79" s="305">
        <v>2025</v>
      </c>
      <c r="R79" s="321">
        <v>0.95</v>
      </c>
      <c r="S79" s="399">
        <v>46022</v>
      </c>
      <c r="T79" s="321">
        <v>0.95</v>
      </c>
      <c r="U79" s="321">
        <v>0.95</v>
      </c>
      <c r="V79" s="321">
        <v>0.95</v>
      </c>
      <c r="W79" s="321">
        <v>0.95</v>
      </c>
      <c r="X79" s="321">
        <v>0.95</v>
      </c>
      <c r="Y79" s="323" t="s">
        <v>1015</v>
      </c>
      <c r="Z79" s="323" t="s">
        <v>1016</v>
      </c>
      <c r="AA79" s="323" t="s">
        <v>340</v>
      </c>
      <c r="AB79" s="183">
        <v>0.95</v>
      </c>
      <c r="AC79" s="182">
        <f>95/95*100%</f>
        <v>1</v>
      </c>
      <c r="AD79" s="290"/>
      <c r="AE79" s="290"/>
      <c r="AF79" s="183">
        <f>95/100*100%</f>
        <v>0.95</v>
      </c>
      <c r="AG79" s="201" t="s">
        <v>1017</v>
      </c>
      <c r="AH79" s="220" t="s">
        <v>1018</v>
      </c>
      <c r="AI79" s="176" t="s">
        <v>12</v>
      </c>
      <c r="AJ79" s="440" t="s">
        <v>1017</v>
      </c>
      <c r="AK79" s="211" t="s">
        <v>1018</v>
      </c>
      <c r="AL79" s="415" t="s">
        <v>12</v>
      </c>
      <c r="AM79" s="158"/>
      <c r="AN79" s="158"/>
      <c r="AO79" s="158"/>
      <c r="AP79" s="158"/>
      <c r="AQ79" s="158"/>
      <c r="AR79" s="268"/>
      <c r="AS79" s="155">
        <f t="shared" si="6"/>
        <v>1.0000100000000001</v>
      </c>
      <c r="AT79" s="156">
        <f t="shared" si="7"/>
        <v>1</v>
      </c>
    </row>
    <row r="80" spans="1:46" ht="150">
      <c r="A80" s="299" t="s">
        <v>221</v>
      </c>
      <c r="B80" s="300" t="s">
        <v>60</v>
      </c>
      <c r="C80" s="301" t="s">
        <v>71</v>
      </c>
      <c r="D80" s="390">
        <v>1</v>
      </c>
      <c r="E80" s="312" t="s">
        <v>1019</v>
      </c>
      <c r="F80" s="304">
        <v>0.5</v>
      </c>
      <c r="G80" s="305" t="s">
        <v>62</v>
      </c>
      <c r="H80" s="301" t="s">
        <v>249</v>
      </c>
      <c r="I80" s="306" t="s">
        <v>861</v>
      </c>
      <c r="J80" s="301" t="s">
        <v>226</v>
      </c>
      <c r="K80" s="303" t="s">
        <v>1020</v>
      </c>
      <c r="L80" s="303" t="s">
        <v>1021</v>
      </c>
      <c r="M80" s="303" t="s">
        <v>1022</v>
      </c>
      <c r="N80" s="301" t="s">
        <v>360</v>
      </c>
      <c r="O80" s="301" t="s">
        <v>233</v>
      </c>
      <c r="P80" s="301" t="s">
        <v>361</v>
      </c>
      <c r="Q80" s="301">
        <v>2024</v>
      </c>
      <c r="R80" s="332">
        <v>2</v>
      </c>
      <c r="S80" s="399">
        <v>46022</v>
      </c>
      <c r="T80" s="401">
        <v>2</v>
      </c>
      <c r="U80" s="401">
        <v>1</v>
      </c>
      <c r="V80" s="401">
        <v>0</v>
      </c>
      <c r="W80" s="401">
        <v>1</v>
      </c>
      <c r="X80" s="402">
        <f>+T80+U80+V80+W80</f>
        <v>4</v>
      </c>
      <c r="Y80" s="167" t="s">
        <v>1023</v>
      </c>
      <c r="Z80" s="167" t="s">
        <v>1024</v>
      </c>
      <c r="AA80" s="323" t="s">
        <v>340</v>
      </c>
      <c r="AB80" s="157">
        <v>2</v>
      </c>
      <c r="AC80" s="162">
        <v>1</v>
      </c>
      <c r="AD80" s="157"/>
      <c r="AE80" s="157"/>
      <c r="AF80" s="157">
        <f>+AC80+AB80</f>
        <v>3</v>
      </c>
      <c r="AG80" s="229" t="s">
        <v>1025</v>
      </c>
      <c r="AH80" s="225" t="s">
        <v>221</v>
      </c>
      <c r="AI80" s="176" t="s">
        <v>12</v>
      </c>
      <c r="AJ80" s="473" t="s">
        <v>1026</v>
      </c>
      <c r="AK80" s="470" t="s">
        <v>221</v>
      </c>
      <c r="AL80" s="471" t="s">
        <v>12</v>
      </c>
      <c r="AM80" s="158"/>
      <c r="AN80" s="158"/>
      <c r="AO80" s="158"/>
      <c r="AP80" s="158"/>
      <c r="AQ80" s="158"/>
      <c r="AR80" s="278"/>
      <c r="AS80" s="155">
        <f t="shared" si="6"/>
        <v>1</v>
      </c>
      <c r="AT80" s="156">
        <f t="shared" si="7"/>
        <v>0.75</v>
      </c>
    </row>
    <row r="81" spans="1:46" ht="117.75" customHeight="1">
      <c r="A81" s="299" t="s">
        <v>222</v>
      </c>
      <c r="B81" s="300" t="s">
        <v>60</v>
      </c>
      <c r="C81" s="301" t="s">
        <v>71</v>
      </c>
      <c r="D81" s="390">
        <v>1</v>
      </c>
      <c r="E81" s="312" t="s">
        <v>1019</v>
      </c>
      <c r="F81" s="304">
        <v>0.5</v>
      </c>
      <c r="G81" s="305" t="s">
        <v>62</v>
      </c>
      <c r="H81" s="301" t="s">
        <v>249</v>
      </c>
      <c r="I81" s="306" t="s">
        <v>861</v>
      </c>
      <c r="J81" s="301" t="s">
        <v>232</v>
      </c>
      <c r="K81" s="303" t="s">
        <v>1027</v>
      </c>
      <c r="L81" s="303" t="s">
        <v>1028</v>
      </c>
      <c r="M81" s="303" t="s">
        <v>1029</v>
      </c>
      <c r="N81" s="301" t="s">
        <v>360</v>
      </c>
      <c r="O81" s="301" t="s">
        <v>233</v>
      </c>
      <c r="P81" s="301" t="s">
        <v>337</v>
      </c>
      <c r="Q81" s="301">
        <v>2024</v>
      </c>
      <c r="R81" s="336">
        <v>0.52</v>
      </c>
      <c r="S81" s="399">
        <v>46022</v>
      </c>
      <c r="T81" s="403">
        <v>0</v>
      </c>
      <c r="U81" s="403">
        <v>0</v>
      </c>
      <c r="V81" s="403">
        <v>0</v>
      </c>
      <c r="W81" s="403">
        <v>1</v>
      </c>
      <c r="X81" s="404">
        <v>1</v>
      </c>
      <c r="Y81" s="322" t="s">
        <v>1023</v>
      </c>
      <c r="Z81" s="322" t="s">
        <v>1030</v>
      </c>
      <c r="AA81" s="322" t="s">
        <v>340</v>
      </c>
      <c r="AB81" s="157">
        <v>0</v>
      </c>
      <c r="AC81" s="162">
        <v>0</v>
      </c>
      <c r="AD81" s="123"/>
      <c r="AE81" s="123"/>
      <c r="AF81" s="157">
        <f>+AC81+AB81</f>
        <v>0</v>
      </c>
      <c r="AG81" s="228" t="s">
        <v>1031</v>
      </c>
      <c r="AH81" s="225" t="s">
        <v>222</v>
      </c>
      <c r="AI81" s="176" t="s">
        <v>12</v>
      </c>
      <c r="AJ81" s="473" t="s">
        <v>1031</v>
      </c>
      <c r="AK81" s="476" t="s">
        <v>12</v>
      </c>
      <c r="AL81" s="477" t="s">
        <v>12</v>
      </c>
      <c r="AM81" s="158"/>
      <c r="AN81" s="158"/>
      <c r="AO81" s="158"/>
      <c r="AP81" s="158"/>
      <c r="AQ81" s="158"/>
      <c r="AR81" s="278"/>
      <c r="AS81" s="155" t="str">
        <f t="shared" si="6"/>
        <v>No aplica, no hay meta</v>
      </c>
      <c r="AT81" s="156">
        <f t="shared" si="7"/>
        <v>0</v>
      </c>
    </row>
    <row r="82" spans="1:46" ht="1.5" customHeight="1">
      <c r="A82" s="299"/>
      <c r="B82" s="300"/>
      <c r="C82" s="301"/>
      <c r="D82" s="390"/>
      <c r="E82" s="312"/>
      <c r="F82" s="304"/>
      <c r="G82" s="305"/>
      <c r="H82" s="301"/>
      <c r="I82" s="306"/>
      <c r="J82" s="301"/>
      <c r="K82" s="303"/>
      <c r="L82" s="303"/>
      <c r="M82" s="303"/>
      <c r="N82" s="301"/>
      <c r="O82" s="301"/>
      <c r="P82" s="301"/>
      <c r="Q82" s="301"/>
      <c r="R82" s="336"/>
      <c r="S82" s="399"/>
      <c r="T82" s="403"/>
      <c r="U82" s="403"/>
      <c r="V82" s="403"/>
      <c r="W82" s="403"/>
      <c r="X82" s="404"/>
      <c r="Y82" s="322"/>
      <c r="Z82" s="322"/>
      <c r="AA82" s="322"/>
      <c r="AB82" s="157"/>
      <c r="AC82" s="162"/>
      <c r="AD82" s="123"/>
      <c r="AE82" s="123"/>
      <c r="AF82" s="157"/>
      <c r="AG82" s="228"/>
      <c r="AH82" s="225"/>
      <c r="AI82" s="176"/>
      <c r="AJ82" s="473"/>
      <c r="AK82" s="476"/>
      <c r="AL82" s="477"/>
      <c r="AM82" s="158"/>
      <c r="AN82" s="158"/>
      <c r="AO82" s="158"/>
      <c r="AP82" s="158"/>
      <c r="AQ82" s="158"/>
      <c r="AR82" s="278"/>
      <c r="AS82" s="155"/>
      <c r="AT82" s="156"/>
    </row>
    <row r="83" spans="1:46" ht="102.6" customHeight="1">
      <c r="A83" s="299" t="s">
        <v>223</v>
      </c>
      <c r="B83" s="317" t="s">
        <v>60</v>
      </c>
      <c r="C83" s="305" t="s">
        <v>64</v>
      </c>
      <c r="D83" s="311">
        <v>1</v>
      </c>
      <c r="E83" s="312" t="s">
        <v>1032</v>
      </c>
      <c r="F83" s="324">
        <v>0.6</v>
      </c>
      <c r="G83" s="305" t="s">
        <v>240</v>
      </c>
      <c r="H83" s="301" t="s">
        <v>252</v>
      </c>
      <c r="I83" s="326" t="s">
        <v>1033</v>
      </c>
      <c r="J83" s="301" t="s">
        <v>229</v>
      </c>
      <c r="K83" s="124" t="s">
        <v>1034</v>
      </c>
      <c r="L83" s="124" t="s">
        <v>1035</v>
      </c>
      <c r="M83" s="124" t="s">
        <v>1036</v>
      </c>
      <c r="N83" s="301" t="s">
        <v>336</v>
      </c>
      <c r="O83" s="301" t="s">
        <v>230</v>
      </c>
      <c r="P83" s="301" t="s">
        <v>337</v>
      </c>
      <c r="Q83" s="305">
        <v>2023</v>
      </c>
      <c r="R83" s="321">
        <v>1</v>
      </c>
      <c r="S83" s="329">
        <v>46022</v>
      </c>
      <c r="T83" s="336">
        <v>1</v>
      </c>
      <c r="U83" s="321">
        <v>1</v>
      </c>
      <c r="V83" s="321">
        <v>1</v>
      </c>
      <c r="W83" s="321">
        <v>1</v>
      </c>
      <c r="X83" s="373">
        <v>1</v>
      </c>
      <c r="Y83" s="323" t="s">
        <v>1037</v>
      </c>
      <c r="Z83" s="323" t="s">
        <v>1038</v>
      </c>
      <c r="AA83" s="323" t="s">
        <v>340</v>
      </c>
      <c r="AB83" s="295">
        <f>71/71</f>
        <v>1</v>
      </c>
      <c r="AC83" s="295">
        <f>82/82</f>
        <v>1</v>
      </c>
      <c r="AD83" s="295"/>
      <c r="AE83" s="295"/>
      <c r="AF83" s="295">
        <f>82/82</f>
        <v>1</v>
      </c>
      <c r="AG83" s="219" t="s">
        <v>1039</v>
      </c>
      <c r="AH83" s="219" t="s">
        <v>1040</v>
      </c>
      <c r="AI83" s="176" t="s">
        <v>12</v>
      </c>
      <c r="AJ83" s="481" t="s">
        <v>1041</v>
      </c>
      <c r="AK83" s="219" t="s">
        <v>1042</v>
      </c>
      <c r="AL83" s="415" t="s">
        <v>12</v>
      </c>
      <c r="AM83" s="158"/>
      <c r="AN83" s="158"/>
      <c r="AO83" s="158"/>
      <c r="AP83" s="158"/>
      <c r="AQ83" s="158"/>
      <c r="AR83" s="283"/>
      <c r="AS83" s="155">
        <f>+IFERROR(IF(A83=A81,"No requiere reporte",IF(OR(U83=0,U83=""),"No aplica, no hay meta",IF(AC83="","No se reportó avance",IF(AC83="N/A","No Aplica",IF(OR(AND(O83="Capacidad",OR(R83="",R83=0,R83="N/A")),AND(O83="Reducción",OR(R83="",R83=0,R83="N/A"))),"Se requiere valor de línea base para este tipo de acumulación",IF(OR(AND(O83="Flujo",OR(R83&lt;&gt;"",R83&lt;&gt;0,R83&lt;&gt;"N/A"),AC83="N/A"),AND(O83="Stock",OR(R83&lt;&gt;"",R83&lt;&gt;0,R83&lt;&gt;"N/A"),AC83="N/A")),"No aplica",IF(O83="Flujo",IF(AC83/U83&gt;1,1.00001,AC83/U83),IF(O83="Stock",IF(AC83/T83&gt;1,1.00001,AC83/U83),IF(O83="Acumulado",IF((AC83)/U83&gt;1,1.00001,(AC83)/U83),IF(O83="Capacidad",IF(((AC83-R83)/(U83-R83))&gt;1,1.00001,((AC83-R83)/(U83-R83))),IF(O83="Reducción",IF(((R83-AC83)/(R83-U83))&gt;1,1.00001,((R83-AC83)/(R83-U83))),"Revisar acumulación"))))))))))),"Revisar fórmula")</f>
        <v>1</v>
      </c>
      <c r="AT83" s="156">
        <f>+IFERROR(IF(A83=A81,"No requiere reporte",IF(OR(X83=0,X83=""),"No aplica, no hay meta",IF(AF83="","No se reportó avance",IF(AF83="N/A","No Aplica",IF(OR(AND(O83="Capacidad",OR(R83="",R83=0,R83="N/A")),AND(O83="Reducción",OR(R83="",R83=0,R83="N/A"))),"Se requiere valor de línea base para este tipo de acumulación",IF(OR(AND(O83="Flujo",OR(R83&lt;&gt;"",R83&lt;&gt;0,R83&lt;&gt;"N/A"),AF83="N/A"),AND(O83="Stock",OR(R83&lt;&gt;"",R83&lt;&gt;0,R83&lt;&gt;"N/A"),AF83="N/A")),"No aplica",IF(O83="Flujo",IF(AF83/X83&gt;1,1.00001,AF83/X83),IF(O83="Stock",IF(AF83/X83&gt;1,1.00001,AF83/X83),IF(O83="Acumulado",IF((AF83)/X83&gt;1,1.00001,(AF83)/X83),IF(O83="Capacidad",IF(((AF83-R83)/(X83-R83))&gt;1,1.00001,((AF83-R83)/(X83-R83))),IF(O83="Reducción",IF(((R83-AF83)/(R83-X83))&gt;1,1.00001,((R83-AF83)/(R83-X83))),"Revisar acumulación"))))))))))),"Revisar fórmula")</f>
        <v>1</v>
      </c>
    </row>
    <row r="84" spans="1:46" ht="112.9" customHeight="1">
      <c r="A84" s="299" t="s">
        <v>224</v>
      </c>
      <c r="B84" s="317" t="s">
        <v>60</v>
      </c>
      <c r="C84" s="305" t="s">
        <v>64</v>
      </c>
      <c r="D84" s="311">
        <v>1</v>
      </c>
      <c r="E84" s="312" t="s">
        <v>1032</v>
      </c>
      <c r="F84" s="324">
        <v>0.3</v>
      </c>
      <c r="G84" s="305" t="s">
        <v>240</v>
      </c>
      <c r="H84" s="301" t="s">
        <v>252</v>
      </c>
      <c r="I84" s="326" t="s">
        <v>1033</v>
      </c>
      <c r="J84" s="301" t="s">
        <v>226</v>
      </c>
      <c r="K84" s="124" t="s">
        <v>1043</v>
      </c>
      <c r="L84" s="124" t="s">
        <v>1044</v>
      </c>
      <c r="M84" s="124" t="s">
        <v>1045</v>
      </c>
      <c r="N84" s="301" t="s">
        <v>360</v>
      </c>
      <c r="O84" s="301" t="s">
        <v>233</v>
      </c>
      <c r="P84" s="301" t="s">
        <v>361</v>
      </c>
      <c r="Q84" s="305">
        <v>2023</v>
      </c>
      <c r="R84" s="328">
        <v>100</v>
      </c>
      <c r="S84" s="329">
        <v>46022</v>
      </c>
      <c r="T84" s="332">
        <v>1</v>
      </c>
      <c r="U84" s="328">
        <v>1</v>
      </c>
      <c r="V84" s="328">
        <v>1</v>
      </c>
      <c r="W84" s="328">
        <v>1</v>
      </c>
      <c r="X84" s="330">
        <v>4</v>
      </c>
      <c r="Y84" s="405" t="s">
        <v>1046</v>
      </c>
      <c r="Z84" s="331" t="s">
        <v>1047</v>
      </c>
      <c r="AA84" s="331" t="s">
        <v>340</v>
      </c>
      <c r="AB84" s="296">
        <v>1</v>
      </c>
      <c r="AC84" s="230">
        <v>1</v>
      </c>
      <c r="AD84" s="296"/>
      <c r="AE84" s="296"/>
      <c r="AF84" s="230">
        <v>2</v>
      </c>
      <c r="AG84" s="219" t="s">
        <v>1048</v>
      </c>
      <c r="AH84" s="231" t="s">
        <v>1049</v>
      </c>
      <c r="AI84" s="176" t="s">
        <v>12</v>
      </c>
      <c r="AJ84" s="482" t="s">
        <v>1050</v>
      </c>
      <c r="AK84" s="483" t="s">
        <v>1051</v>
      </c>
      <c r="AL84" s="415" t="s">
        <v>12</v>
      </c>
      <c r="AM84" s="158"/>
      <c r="AN84" s="158"/>
      <c r="AO84" s="158"/>
      <c r="AP84" s="158"/>
      <c r="AQ84" s="158"/>
      <c r="AR84" s="276"/>
      <c r="AS84" s="155">
        <f t="shared" si="6"/>
        <v>1</v>
      </c>
      <c r="AT84" s="156">
        <f t="shared" si="7"/>
        <v>0.5</v>
      </c>
    </row>
    <row r="85" spans="1:46" ht="137.44999999999999" customHeight="1">
      <c r="A85" s="299" t="s">
        <v>1052</v>
      </c>
      <c r="B85" s="317" t="s">
        <v>60</v>
      </c>
      <c r="C85" s="305" t="s">
        <v>64</v>
      </c>
      <c r="D85" s="311">
        <v>1</v>
      </c>
      <c r="E85" s="312" t="s">
        <v>1032</v>
      </c>
      <c r="F85" s="324">
        <v>0.1</v>
      </c>
      <c r="G85" s="305" t="s">
        <v>240</v>
      </c>
      <c r="H85" s="301" t="s">
        <v>252</v>
      </c>
      <c r="I85" s="326" t="s">
        <v>1033</v>
      </c>
      <c r="J85" s="301" t="s">
        <v>229</v>
      </c>
      <c r="K85" s="124" t="s">
        <v>1053</v>
      </c>
      <c r="L85" s="124" t="s">
        <v>1054</v>
      </c>
      <c r="M85" s="124" t="s">
        <v>1055</v>
      </c>
      <c r="N85" s="301" t="s">
        <v>360</v>
      </c>
      <c r="O85" s="301" t="s">
        <v>233</v>
      </c>
      <c r="P85" s="301" t="s">
        <v>361</v>
      </c>
      <c r="Q85" s="305">
        <v>2023</v>
      </c>
      <c r="R85" s="328">
        <v>16</v>
      </c>
      <c r="S85" s="329">
        <v>46022</v>
      </c>
      <c r="T85" s="332">
        <v>4</v>
      </c>
      <c r="U85" s="328">
        <v>4</v>
      </c>
      <c r="V85" s="328">
        <v>4</v>
      </c>
      <c r="W85" s="328">
        <v>4</v>
      </c>
      <c r="X85" s="406">
        <v>16</v>
      </c>
      <c r="Y85" s="331" t="s">
        <v>1056</v>
      </c>
      <c r="Z85" s="407" t="s">
        <v>1056</v>
      </c>
      <c r="AA85" s="331" t="s">
        <v>340</v>
      </c>
      <c r="AB85" s="296">
        <v>4</v>
      </c>
      <c r="AC85" s="230">
        <v>4</v>
      </c>
      <c r="AD85" s="296"/>
      <c r="AE85" s="296"/>
      <c r="AF85" s="230">
        <v>8</v>
      </c>
      <c r="AG85" s="233" t="s">
        <v>1057</v>
      </c>
      <c r="AH85" s="234" t="s">
        <v>1058</v>
      </c>
      <c r="AI85" s="176" t="s">
        <v>12</v>
      </c>
      <c r="AJ85" s="484" t="s">
        <v>1059</v>
      </c>
      <c r="AK85" s="483" t="s">
        <v>1060</v>
      </c>
      <c r="AL85" s="415" t="s">
        <v>12</v>
      </c>
      <c r="AM85" s="158"/>
      <c r="AN85" s="158"/>
      <c r="AO85" s="158"/>
      <c r="AP85" s="158"/>
      <c r="AQ85" s="158"/>
      <c r="AR85" s="272"/>
      <c r="AS85" s="155">
        <f t="shared" si="6"/>
        <v>1</v>
      </c>
      <c r="AT85" s="156">
        <f t="shared" si="7"/>
        <v>0.5</v>
      </c>
    </row>
    <row r="86" spans="1:46" ht="97.5" customHeight="1">
      <c r="A86" s="299" t="s">
        <v>1061</v>
      </c>
      <c r="B86" s="317" t="s">
        <v>84</v>
      </c>
      <c r="C86" s="305" t="s">
        <v>85</v>
      </c>
      <c r="D86" s="311">
        <v>1</v>
      </c>
      <c r="E86" s="312" t="s">
        <v>1062</v>
      </c>
      <c r="F86" s="324">
        <v>0.8</v>
      </c>
      <c r="G86" s="305" t="s">
        <v>86</v>
      </c>
      <c r="H86" s="301" t="s">
        <v>252</v>
      </c>
      <c r="I86" s="326" t="s">
        <v>1063</v>
      </c>
      <c r="J86" s="301" t="s">
        <v>229</v>
      </c>
      <c r="K86" s="124" t="s">
        <v>1064</v>
      </c>
      <c r="L86" s="124" t="s">
        <v>1065</v>
      </c>
      <c r="M86" s="124" t="s">
        <v>1066</v>
      </c>
      <c r="N86" s="301" t="s">
        <v>336</v>
      </c>
      <c r="O86" s="301" t="s">
        <v>227</v>
      </c>
      <c r="P86" s="301" t="s">
        <v>337</v>
      </c>
      <c r="Q86" s="305">
        <v>2025</v>
      </c>
      <c r="R86" s="403">
        <v>1</v>
      </c>
      <c r="S86" s="329">
        <v>46022</v>
      </c>
      <c r="T86" s="403">
        <v>1</v>
      </c>
      <c r="U86" s="403">
        <v>1</v>
      </c>
      <c r="V86" s="403">
        <v>1</v>
      </c>
      <c r="W86" s="403">
        <v>1</v>
      </c>
      <c r="X86" s="404">
        <v>1</v>
      </c>
      <c r="Y86" s="408" t="s">
        <v>1067</v>
      </c>
      <c r="Z86" s="322" t="s">
        <v>1068</v>
      </c>
      <c r="AA86" s="322" t="s">
        <v>340</v>
      </c>
      <c r="AB86" s="393">
        <v>1</v>
      </c>
      <c r="AC86" s="232">
        <v>1</v>
      </c>
      <c r="AD86" s="297"/>
      <c r="AE86" s="297"/>
      <c r="AF86" s="232">
        <v>1</v>
      </c>
      <c r="AG86" s="235" t="s">
        <v>1069</v>
      </c>
      <c r="AH86" s="236" t="s">
        <v>1070</v>
      </c>
      <c r="AI86" s="235" t="s">
        <v>1071</v>
      </c>
      <c r="AJ86" s="235" t="s">
        <v>1072</v>
      </c>
      <c r="AK86" s="415" t="s">
        <v>1073</v>
      </c>
      <c r="AL86" s="235" t="s">
        <v>1071</v>
      </c>
      <c r="AM86" s="158"/>
      <c r="AN86" s="158"/>
      <c r="AO86" s="158"/>
      <c r="AP86" s="158"/>
      <c r="AQ86" s="158"/>
      <c r="AR86" s="271"/>
      <c r="AS86" s="155">
        <f t="shared" si="6"/>
        <v>1</v>
      </c>
      <c r="AT86" s="156">
        <f t="shared" si="7"/>
        <v>1</v>
      </c>
    </row>
    <row r="87" spans="1:46" ht="97.5" customHeight="1">
      <c r="A87" s="299" t="s">
        <v>1074</v>
      </c>
      <c r="B87" s="317" t="s">
        <v>84</v>
      </c>
      <c r="C87" s="305" t="s">
        <v>85</v>
      </c>
      <c r="D87" s="311">
        <v>1</v>
      </c>
      <c r="E87" s="312" t="s">
        <v>1062</v>
      </c>
      <c r="F87" s="324">
        <v>0.2</v>
      </c>
      <c r="G87" s="305" t="s">
        <v>86</v>
      </c>
      <c r="H87" s="301" t="s">
        <v>252</v>
      </c>
      <c r="I87" s="326" t="s">
        <v>1063</v>
      </c>
      <c r="J87" s="301" t="s">
        <v>232</v>
      </c>
      <c r="K87" s="124" t="s">
        <v>1075</v>
      </c>
      <c r="L87" s="124" t="s">
        <v>1076</v>
      </c>
      <c r="M87" s="124" t="s">
        <v>1077</v>
      </c>
      <c r="N87" s="301" t="s">
        <v>360</v>
      </c>
      <c r="O87" s="301" t="s">
        <v>236</v>
      </c>
      <c r="P87" s="301" t="s">
        <v>337</v>
      </c>
      <c r="Q87" s="305" t="s">
        <v>348</v>
      </c>
      <c r="R87" s="305" t="s">
        <v>348</v>
      </c>
      <c r="S87" s="305" t="s">
        <v>348</v>
      </c>
      <c r="T87" s="403">
        <v>0.05</v>
      </c>
      <c r="U87" s="403">
        <v>0.1</v>
      </c>
      <c r="V87" s="403">
        <v>0.15</v>
      </c>
      <c r="W87" s="403">
        <v>0.2</v>
      </c>
      <c r="X87" s="404">
        <v>0.2</v>
      </c>
      <c r="Y87" s="322" t="s">
        <v>1078</v>
      </c>
      <c r="Z87" s="322" t="s">
        <v>1079</v>
      </c>
      <c r="AA87" s="322" t="s">
        <v>340</v>
      </c>
      <c r="AB87" s="508" t="s">
        <v>1080</v>
      </c>
      <c r="AC87" s="232">
        <v>0.47</v>
      </c>
      <c r="AD87" s="297"/>
      <c r="AE87" s="297"/>
      <c r="AF87" s="295">
        <f>28/28</f>
        <v>1</v>
      </c>
      <c r="AG87" s="235" t="s">
        <v>1081</v>
      </c>
      <c r="AH87" s="236" t="s">
        <v>1082</v>
      </c>
      <c r="AI87" s="235" t="s">
        <v>1071</v>
      </c>
      <c r="AJ87" s="235" t="s">
        <v>1083</v>
      </c>
      <c r="AK87" s="415" t="s">
        <v>1084</v>
      </c>
      <c r="AL87" s="235" t="s">
        <v>1071</v>
      </c>
      <c r="AM87" s="158"/>
      <c r="AN87" s="158"/>
      <c r="AO87" s="158"/>
      <c r="AP87" s="158"/>
      <c r="AQ87" s="158"/>
      <c r="AR87" s="271"/>
      <c r="AS87" s="155" t="str">
        <f t="shared" si="6"/>
        <v>Revisar fórmula</v>
      </c>
      <c r="AT87" s="156" t="str">
        <f t="shared" si="7"/>
        <v>Revisar fórmula</v>
      </c>
    </row>
  </sheetData>
  <autoFilter ref="A3:AT87" xr:uid="{00000000-0009-0000-0000-000004000000}"/>
  <mergeCells count="3">
    <mergeCell ref="T2:X2"/>
    <mergeCell ref="AB2:AF2"/>
    <mergeCell ref="AG2:AR2"/>
  </mergeCells>
  <phoneticPr fontId="21" type="noConversion"/>
  <dataValidations count="2">
    <dataValidation type="list" allowBlank="1" showInputMessage="1" showErrorMessage="1" sqref="N4:N87" xr:uid="{00000000-0002-0000-0400-000000000000}">
      <formula1>"Incrementar, Mantener, Reducir"</formula1>
    </dataValidation>
    <dataValidation type="list" allowBlank="1" showInputMessage="1" showErrorMessage="1" sqref="P4:P87" xr:uid="{00000000-0002-0000-0400-000001000000}">
      <formula1>"Número, Porcentaje, Tasa, Índice, Puntos porcentuales, Años, Meses, Días, Horas, Otra"</formula1>
    </dataValidation>
  </dataValidations>
  <hyperlinks>
    <hyperlink ref="I4" r:id="rId1" xr:uid="{00000000-0004-0000-0400-000000000000}"/>
    <hyperlink ref="I83" r:id="rId2" xr:uid="{00000000-0004-0000-0400-000001000000}"/>
    <hyperlink ref="I84" r:id="rId3" xr:uid="{00000000-0004-0000-0400-000002000000}"/>
    <hyperlink ref="I85" r:id="rId4" xr:uid="{00000000-0004-0000-0400-000003000000}"/>
    <hyperlink ref="I86" r:id="rId5" xr:uid="{00000000-0004-0000-0400-000004000000}"/>
    <hyperlink ref="I87" r:id="rId6" xr:uid="{00000000-0004-0000-0400-000005000000}"/>
    <hyperlink ref="I75" r:id="rId7" xr:uid="{00000000-0004-0000-0400-000006000000}"/>
    <hyperlink ref="I76" r:id="rId8" xr:uid="{00000000-0004-0000-0400-000007000000}"/>
    <hyperlink ref="I77" r:id="rId9" xr:uid="{00000000-0004-0000-0400-000008000000}"/>
    <hyperlink ref="I78" r:id="rId10" xr:uid="{00000000-0004-0000-0400-000009000000}"/>
    <hyperlink ref="I79" r:id="rId11" xr:uid="{00000000-0004-0000-0400-00000A000000}"/>
    <hyperlink ref="I5" r:id="rId12" xr:uid="{00000000-0004-0000-0400-00000B000000}"/>
    <hyperlink ref="I6" r:id="rId13" xr:uid="{00000000-0004-0000-0400-00000C000000}"/>
    <hyperlink ref="I22" r:id="rId14" xr:uid="{00000000-0004-0000-0400-00000D000000}"/>
    <hyperlink ref="I23" r:id="rId15" xr:uid="{00000000-0004-0000-0400-00000E000000}"/>
    <hyperlink ref="I24" r:id="rId16" xr:uid="{00000000-0004-0000-0400-00000F000000}"/>
    <hyperlink ref="I25" r:id="rId17" xr:uid="{00000000-0004-0000-0400-000010000000}"/>
    <hyperlink ref="I26:I27" r:id="rId18" display="angelica.palacios@mininterior.gov.co" xr:uid="{00000000-0004-0000-0400-000011000000}"/>
    <hyperlink ref="I31" r:id="rId19" xr:uid="{00000000-0004-0000-0400-000012000000}"/>
    <hyperlink ref="I32" r:id="rId20" xr:uid="{00000000-0004-0000-0400-000013000000}"/>
    <hyperlink ref="I47" r:id="rId21" xr:uid="{00000000-0004-0000-0400-000014000000}"/>
    <hyperlink ref="I48:I50" r:id="rId22" display="amelia.cotes@mininterior.gov.co" xr:uid="{00000000-0004-0000-0400-000015000000}"/>
    <hyperlink ref="I56" r:id="rId23" xr:uid="{00000000-0004-0000-0400-000016000000}"/>
    <hyperlink ref="I57" r:id="rId24" xr:uid="{00000000-0004-0000-0400-000017000000}"/>
    <hyperlink ref="I58" r:id="rId25" xr:uid="{00000000-0004-0000-0400-000018000000}"/>
    <hyperlink ref="I61" r:id="rId26" xr:uid="{00000000-0004-0000-0400-000019000000}"/>
    <hyperlink ref="I62" r:id="rId27" xr:uid="{00000000-0004-0000-0400-00001A000000}"/>
    <hyperlink ref="I63" r:id="rId28" xr:uid="{00000000-0004-0000-0400-00001B000000}"/>
    <hyperlink ref="I64" r:id="rId29" xr:uid="{00000000-0004-0000-0400-00001C000000}"/>
    <hyperlink ref="I65" r:id="rId30" xr:uid="{00000000-0004-0000-0400-00001D000000}"/>
    <hyperlink ref="I66" r:id="rId31" xr:uid="{00000000-0004-0000-0400-00001E000000}"/>
    <hyperlink ref="I67:I69" r:id="rId32" display="lina.vacca@mininterior.gov.co" xr:uid="{00000000-0004-0000-0400-00001F000000}"/>
    <hyperlink ref="I80" r:id="rId33" xr:uid="{00000000-0004-0000-0400-000020000000}"/>
    <hyperlink ref="I81" r:id="rId34" xr:uid="{00000000-0004-0000-0400-000021000000}"/>
    <hyperlink ref="I70" r:id="rId35" xr:uid="{00000000-0004-0000-0400-000022000000}"/>
    <hyperlink ref="I71" r:id="rId36" xr:uid="{00000000-0004-0000-0400-000023000000}"/>
    <hyperlink ref="I72" r:id="rId37" xr:uid="{00000000-0004-0000-0400-000024000000}"/>
    <hyperlink ref="I73" r:id="rId38" xr:uid="{00000000-0004-0000-0400-000025000000}"/>
    <hyperlink ref="I74" r:id="rId39" xr:uid="{00000000-0004-0000-0400-000026000000}"/>
    <hyperlink ref="I28" r:id="rId40" xr:uid="{00000000-0004-0000-0400-000027000000}"/>
    <hyperlink ref="I29" r:id="rId41" xr:uid="{00000000-0004-0000-0400-000028000000}"/>
    <hyperlink ref="I30" r:id="rId42" xr:uid="{00000000-0004-0000-0400-000029000000}"/>
    <hyperlink ref="I33" r:id="rId43" xr:uid="{00000000-0004-0000-0400-00002A000000}"/>
    <hyperlink ref="I34" r:id="rId44" xr:uid="{00000000-0004-0000-0400-00002B000000}"/>
    <hyperlink ref="I35" r:id="rId45" xr:uid="{00000000-0004-0000-0400-00002C000000}"/>
    <hyperlink ref="I36" r:id="rId46" xr:uid="{00000000-0004-0000-0400-00002D000000}"/>
    <hyperlink ref="I37" r:id="rId47" xr:uid="{00000000-0004-0000-0400-00002E000000}"/>
    <hyperlink ref="I38" r:id="rId48" xr:uid="{00000000-0004-0000-0400-00002F000000}"/>
    <hyperlink ref="I39" r:id="rId49" xr:uid="{00000000-0004-0000-0400-000030000000}"/>
    <hyperlink ref="I40" r:id="rId50" xr:uid="{00000000-0004-0000-0400-000031000000}"/>
    <hyperlink ref="I41" r:id="rId51" xr:uid="{00000000-0004-0000-0400-000032000000}"/>
    <hyperlink ref="I42" r:id="rId52" xr:uid="{00000000-0004-0000-0400-000033000000}"/>
    <hyperlink ref="I45:I46" r:id="rId53" display="nhora.mondragon@mininterior.gov.co_x0009__x0009__x0009__x0009__x0009__x0009__x0009__x0009__x0009_" xr:uid="{00000000-0004-0000-0400-000034000000}"/>
    <hyperlink ref="I10" r:id="rId54" xr:uid="{00000000-0004-0000-0400-000035000000}"/>
    <hyperlink ref="I51" r:id="rId55" xr:uid="{00000000-0004-0000-0400-000036000000}"/>
    <hyperlink ref="I52" r:id="rId56" xr:uid="{00000000-0004-0000-0400-000037000000}"/>
    <hyperlink ref="I15" r:id="rId57" xr:uid="{00000000-0004-0000-0400-000038000000}"/>
    <hyperlink ref="I14" r:id="rId58" xr:uid="{00000000-0004-0000-0400-000039000000}"/>
    <hyperlink ref="I59" r:id="rId59" xr:uid="{00000000-0004-0000-0400-00003A000000}"/>
    <hyperlink ref="I60" r:id="rId60" xr:uid="{00000000-0004-0000-0400-00003B000000}"/>
    <hyperlink ref="I43" r:id="rId61" xr:uid="{00000000-0004-0000-0400-00003C000000}"/>
    <hyperlink ref="I53" r:id="rId62" xr:uid="{00000000-0004-0000-0400-00003D000000}"/>
    <hyperlink ref="I54" r:id="rId63" xr:uid="{00000000-0004-0000-0400-00003E000000}"/>
    <hyperlink ref="I55" r:id="rId64" xr:uid="{00000000-0004-0000-0400-00003F000000}"/>
    <hyperlink ref="I45" r:id="rId65" xr:uid="{00000000-0004-0000-0400-000040000000}"/>
    <hyperlink ref="I46" r:id="rId66" xr:uid="{00000000-0004-0000-0400-000041000000}"/>
    <hyperlink ref="I44" r:id="rId67" xr:uid="{00000000-0004-0000-0400-000042000000}"/>
    <hyperlink ref="I7" r:id="rId68" xr:uid="{00000000-0004-0000-0400-000043000000}"/>
    <hyperlink ref="I8" r:id="rId69" xr:uid="{00000000-0004-0000-0400-000044000000}"/>
    <hyperlink ref="I9" r:id="rId70" xr:uid="{00000000-0004-0000-0400-000045000000}"/>
    <hyperlink ref="I11:I13" r:id="rId71" display="yitcy.becerra@mininterior.gov.co" xr:uid="{00000000-0004-0000-0400-000046000000}"/>
    <hyperlink ref="AH66" r:id="rId72" xr:uid="{00000000-0004-0000-0400-000047000000}"/>
    <hyperlink ref="AH67" r:id="rId73" xr:uid="{00000000-0004-0000-0400-000048000000}"/>
    <hyperlink ref="AH69" r:id="rId74" xr:uid="{00000000-0004-0000-0400-000049000000}"/>
    <hyperlink ref="AH15" r:id="rId75" xr:uid="{00000000-0004-0000-0400-00004A000000}"/>
    <hyperlink ref="AH16" r:id="rId76" xr:uid="{00000000-0004-0000-0400-00004B000000}"/>
    <hyperlink ref="AH17" r:id="rId77" xr:uid="{00000000-0004-0000-0400-00004C000000}"/>
    <hyperlink ref="AH18" r:id="rId78" xr:uid="{00000000-0004-0000-0400-00004D000000}"/>
    <hyperlink ref="AH19" r:id="rId79" xr:uid="{00000000-0004-0000-0400-00004E000000}"/>
    <hyperlink ref="AH20" r:id="rId80" xr:uid="{00000000-0004-0000-0400-00004F000000}"/>
    <hyperlink ref="AH53" r:id="rId81" xr:uid="{00000000-0004-0000-0400-000050000000}"/>
    <hyperlink ref="AH54" r:id="rId82" xr:uid="{00000000-0004-0000-0400-000051000000}"/>
    <hyperlink ref="AH55" r:id="rId83" xr:uid="{00000000-0004-0000-0400-000052000000}"/>
    <hyperlink ref="AH75" r:id="rId84" display="https://mininteriorgovco.sharepoint.com/: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 xr:uid="{00000000-0004-0000-0400-000053000000}"/>
    <hyperlink ref="AH76" r:id="rId85"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3?csf=1&amp;web=1&amp;e=wOScCA" xr:uid="{00000000-0004-0000-0400-000054000000}"/>
    <hyperlink ref="AH77" r:id="rId86"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4?csf=1&amp;web=1&amp;e=dmTP79" xr:uid="{00000000-0004-0000-0400-000055000000}"/>
    <hyperlink ref="AH78" r:id="rId87"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5?csf=1&amp;web=1&amp;e=HE0imH" xr:uid="{00000000-0004-0000-0400-000056000000}"/>
    <hyperlink ref="AH79" r:id="rId88"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6?csf=1&amp;web=1&amp;e=17VdCX" xr:uid="{00000000-0004-0000-0400-000057000000}"/>
    <hyperlink ref="AH11" r:id="rId89" display="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8?csf=1&amp;web=1&amp;e=V0secf" xr:uid="{00000000-0004-0000-0400-000058000000}"/>
    <hyperlink ref="AH12" r:id="rId90" display="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09?csf=1&amp;web=1&amp;e=FpPqfz" xr:uid="{00000000-0004-0000-0400-000059000000}"/>
    <hyperlink ref="AH13" r:id="rId91" display="https://mininteriorgovco.sharepoint.com/:f:/r/sites/EvidenciasOAP/Documentos%20compartidos/Evidencias%20Indicadores%20de%20Proceso%202026/01.%20Planeaci%C3%B3n,%20Direccionamiento%20Estrat%C3%A9gico%20y%20Comunicaciones/I%20Trimestre/Oficina%20de%20Informaci%C3%B3n%20P%C3%BAblica%20del%20Interior/Grupo%20de%20Comunicaciones-Oficina%20de%20Informaci%C3%B3n%20P%C3%BAblica%20del%20Inteiror/Ind010?csf=1&amp;web=1&amp;e=XWomXw" xr:uid="{00000000-0004-0000-0400-00005A000000}"/>
    <hyperlink ref="AH43" r:id="rId92" display="https://mininteriorgovco.sharepoint.com/:f:/r/sites/EvidenciasOAP/Documentos%20compartidos/Evidencias%20Indicadores%20de%20Proceso%202026/05.%20Gesti%C3%B3n%20para%20la%20Protecci%C3%B3n%20de%20los%20derechos/Grupo%20enfoque%20de%20g%C3%A9nero%20y%20diversidad/Ind040?csf=1&amp;web=1&amp;e=dFiWfM" xr:uid="{00000000-0004-0000-0400-00005B000000}"/>
    <hyperlink ref="AH52" r:id="rId93" xr:uid="{00000000-0004-0000-0400-00005C000000}"/>
    <hyperlink ref="AH44" r:id="rId94" display="https://mininteriorgovco.sharepoint.com/:f:/r/sites/EvidenciasOAP/Documentos%20compartidos/Evidencias%20Indicadores%20de%20Proceso%202026/05.%20Gesti%C3%B3n%20para%20la%20Protecci%C3%B3n%20de%20los%20derechos/Direcci%C3%B3n%20de%20Seguridad,%20Convivencia%20Ciudadana%20y%20Gobierno/Ind041?csf=1&amp;web=1&amp;e=GuJEQC" xr:uid="{00000000-0004-0000-0400-00005D000000}"/>
    <hyperlink ref="AH45" r:id="rId95" display="https://mininteriorgovco.sharepoint.com/:f:/r/sites/EvidenciasOAP/Documentos%20compartidos/Evidencias%20Indicadores%20de%20Proceso%202026/05.%20Gesti%C3%B3n%20para%20la%20Protecci%C3%B3n%20de%20los%20derechos/Direcci%C3%B3n%20de%20Seguridad,%20Convivencia%20Ciudadana%20y%20Gobierno/Ind042?csf=1&amp;web=1&amp;e=cldbRA" xr:uid="{00000000-0004-0000-0400-00005E000000}"/>
    <hyperlink ref="AH46" r:id="rId96" display="https://mininteriorgovco.sharepoint.com/:f:/r/sites/EvidenciasOAP/Documentos%20compartidos/Evidencias%20Indicadores%20de%20Proceso%202026/05.%20Gesti%C3%B3n%20para%20la%20Protecci%C3%B3n%20de%20los%20derechos/Direcci%C3%B3n%20de%20Seguridad,%20Convivencia%20Ciudadana%20y%20Gobierno/Ind043?csf=1&amp;web=1&amp;e=1HJCpq" xr:uid="{00000000-0004-0000-0400-00005F000000}"/>
    <hyperlink ref="AH61" r:id="rId97" xr:uid="{00000000-0004-0000-0400-000060000000}"/>
    <hyperlink ref="AH62" r:id="rId98" xr:uid="{00000000-0004-0000-0400-000061000000}"/>
    <hyperlink ref="AH63" r:id="rId99" xr:uid="{00000000-0004-0000-0400-000062000000}"/>
    <hyperlink ref="AH64" r:id="rId100" xr:uid="{00000000-0004-0000-0400-000063000000}"/>
    <hyperlink ref="AH65" r:id="rId101" xr:uid="{00000000-0004-0000-0400-000064000000}"/>
    <hyperlink ref="AH81" r:id="rId102" xr:uid="{00000000-0004-0000-0400-000065000000}"/>
    <hyperlink ref="AH80" r:id="rId103" xr:uid="{00000000-0004-0000-0400-000066000000}"/>
    <hyperlink ref="AH84" r:id="rId104" display="https://mininteriorgovco.sharepoint.com/sites/evidenciaspeiyaccion/Documentos%20compartidos/Forms/AllItems.aspx?id=%2Fsites%2Fevidenciaspeiyaccion%2FDocumentos%20compartidos%2FEvidencias%20PEIA%2F22%2E%20GCDI%2F2026%2FI%20TRIM&amp;viewid=cc8cb3c1%2De9ea%2D4a61%2Dbce6%2D836632e4cddc&amp;csf=1&amp;CID=44494d0c%2D2218%2D41fc%2Da785%2Da0b3ed3cc86d&amp;FolderCTID=0x0120001D5FE1D754E50A44AB04108E24A1ACBD" xr:uid="{00000000-0004-0000-0400-000067000000}"/>
    <hyperlink ref="AH85" r:id="rId105" display="https://mininteriorgovco.sharepoint.com/sites/evidenciaspeiyaccion/Documentos%20compartidos/Forms/AllItems.aspx?id=%2Fsites%2Fevidenciaspeiyaccion%2FDocumentos%20compartidos%2FEvidencias%20PEIA%2F22%2E%20GCDI%2F2026%2FI%20TRIM%2FIniciativa%2003&amp;viewid=cc8cb3c1%2De9ea%2D4a61%2Dbce6%2D836632e4cddc&amp;csf=1&amp;CID=44494d0c%2D2218%2D41fc%2Da785%2Da0b3ed3cc86d&amp;FolderCTID=0x0120001D5FE1D754E50A44AB04108E24A1ACBD" xr:uid="{00000000-0004-0000-0400-000068000000}"/>
    <hyperlink ref="AH86" r:id="rId106" display="https://mininteriorgovco.sharepoint.com/:f:/r/sites/EvidenciasOAP/Documentos%20compartidos/Evidencias%20Indicadores%20de%20Proceso%202026/14.%20Seguimiento%20y%20Evaluaci%C3%B3n%20a%20la%20Gesti%C3%B3n/I%20Trimestre/Ind082?csf=1&amp;web=1&amp;e=41ajuf&amp;xsdata=MDV8MDJ8ZmFiaW8uc2FubWFydGluQG1pbmludGVyaW9yLmdvdi5jb3xiMWMzZTAyYzVhMjA0YTY1ODg5YjA4ZGU5NWIyYmY2Y3xjNGY3ODcwY2ViMDg0ZDAxYjAyM2E3MWRkOTRlODgzYnwwfDB8NjM5MTEyNzkyNjQwNDYxNTMxfFVua25vd258VFdGcGJHWnNiM2Q4ZXlKRmJYQjBlVTFoY0draU9uUnlkV1VzSWxZaU9pSXdMakF1TURBd01DSXNJbEFpT2lKWGFXNHpNaUlzSWtGT0lqb2lUV0ZwYkNJc0lsZFVJam95ZlE9PXwwfHx8&amp;sdata=RWNyajdmdWZPNnhhMWhaTHN6V0xlNFYxOG4xdG51TFY0VnRiVGRQMGlaWT0%3d" xr:uid="{00000000-0004-0000-0400-000069000000}"/>
    <hyperlink ref="AH87" r:id="rId107" display="https://mininteriorgovco.sharepoint.com/:f:/r/sites/EvidenciasOAP/Documentos compartidos/Evidencias Indicadores de Proceso 2026/14. Seguimiento y Evaluaci%C3%B3n a la Gesti%C3%B3n/I Trimestre/Ind083?csf=1&amp;web=1&amp;e=dXLq9m&amp;xsdata=MDV8MDJ8ZmFiaW8uc2FubWFydGluQG1pbmludGVyaW9yLmdvdi5jb3xiMWMzZTAyYzVhMjA0YTY1ODg5YjA4ZGU5NWIyYmY2Y3xjNGY3ODcwY2ViMDg0ZDAxYjAyM2E3MWRkOTRlODgzYnwwfDB8NjM5MTEyNzkyNjQwNDc5NjI2fFVua25vd258VFdGcGJHWnNiM2Q4ZXlKRmJYQjBlVTFoY0draU9uUnlkV1VzSWxZaU9pSXdMakF1TURBd01DSXNJbEFpT2lKWGFXNHpNaUlzSWtGT0lqb2lUV0ZwYkNJc0lsZFVJam95ZlE9PXwwfHx8&amp;sdata=S0d6WDJaQkRxc3krYkoreW95YTA0bjRJeTRXOHhyOWJWb0R6dnZheG9kYz0%3d" xr:uid="{00000000-0004-0000-0400-00006A000000}"/>
    <hyperlink ref="AH33" r:id="rId108" display="https://mininteriorgovco.sharepoint.com/:f:/r/sites/EvidenciasOAP/Documentos%20compartidos/Evidencias%20Indicadores%20de%20Proceso%202026/05.%20Gesti%C3%B3n%20para%20la%20Protecci%C3%B3n%20de%20los%20derechos/Direcci%C3%B3n%20de%20Derechos%20Humanos/Ind030?csf=1&amp;web=1&amp;e=kDW1dh" xr:uid="{00000000-0004-0000-0400-00006B000000}"/>
    <hyperlink ref="AH34" r:id="rId109" display="https://mininteriorgovco.sharepoint.com/:f:/r/sites/EvidenciasOAP/Documentos%20compartidos/Evidencias%20Indicadores%20de%20Proceso%202026/05.%20Gesti%C3%B3n%20para%20la%20Protecci%C3%B3n%20de%20los%20derechos/Direcci%C3%B3n%20de%20Derechos%20Humanos/Ind031?csf=1&amp;web=1&amp;e=MBwo9k" xr:uid="{00000000-0004-0000-0400-00006C000000}"/>
    <hyperlink ref="AH35" r:id="rId110" display="https://mininteriorgovco.sharepoint.com/:f:/r/sites/EvidenciasOAP/Documentos%20compartidos/Evidencias%20Indicadores%20de%20Proceso%202026/05.%20Gesti%C3%B3n%20para%20la%20Protecci%C3%B3n%20de%20los%20derechos/Direcci%C3%B3n%20de%20Derechos%20Humanos/Ind032?csf=1&amp;web=1&amp;e=dEcUXe" xr:uid="{00000000-0004-0000-0400-00006D000000}"/>
    <hyperlink ref="AH36" r:id="rId111" display="https://mininteriorgovco.sharepoint.com/:f:/r/sites/EvidenciasOAP/Documentos%20compartidos/Evidencias%20Indicadores%20de%20Proceso%202026/05.%20Gesti%C3%B3n%20para%20la%20Protecci%C3%B3n%20de%20los%20derechos/Direcci%C3%B3n%20de%20Derechos%20Humanos/Ind033?csf=1&amp;web=1&amp;e=999PuF" xr:uid="{00000000-0004-0000-0400-00006E000000}"/>
    <hyperlink ref="AH37" r:id="rId112" display="https://mininteriorgovco.sharepoint.com/:f:/r/sites/EvidenciasOAP/Documentos%20compartidos/Evidencias%20Indicadores%20de%20Proceso%202026/05.%20Gesti%C3%B3n%20para%20la%20Protecci%C3%B3n%20de%20los%20derechos/Direcci%C3%B3n%20de%20Derechos%20Humanos/Ind034?csf=1&amp;web=1&amp;e=V7pMiU" xr:uid="{00000000-0004-0000-0400-00006F000000}"/>
    <hyperlink ref="AH38" r:id="rId113" display="https://mininteriorgovco.sharepoint.com/:f:/r/sites/EvidenciasOAP/Documentos%20compartidos/Evidencias%20Indicadores%20de%20Proceso%202026/05.%20Gesti%C3%B3n%20para%20la%20Protecci%C3%B3n%20de%20los%20derechos/Direcci%C3%B3n%20de%20Derechos%20Humanos/Ind035?csf=1&amp;web=1&amp;e=kk2uee" xr:uid="{00000000-0004-0000-0400-000070000000}"/>
    <hyperlink ref="AH39" r:id="rId114" display="https://mininteriorgovco.sharepoint.com/:f:/r/sites/EvidenciasOAP/Documentos%20compartidos/Evidencias%20Indicadores%20de%20Proceso%202026/05.%20Gesti%C3%B3n%20para%20la%20Protecci%C3%B3n%20de%20los%20derechos/Direcci%C3%B3n%20de%20Derechos%20Humanos/Ind036?csf=1&amp;web=1&amp;e=j6YPbi" xr:uid="{00000000-0004-0000-0400-000071000000}"/>
    <hyperlink ref="AH22" r:id="rId115" display="https://mininteriorgovco.sharepoint.com/:f:/r/sites/EvidenciasOAP/Documentos%20compartidos/Evidencias%20Indicadores%20de%20Proceso%202026/04.%20Gesti%C3%B3n%20Pol%C3%ADtica%20y%20Gobierno/Direcci%C3%B3n%20de%20Asuntos%20Legislativos/I%20Trimestre/Ind019?csf=1&amp;web=1&amp;e=U2hPg2" xr:uid="{00000000-0004-0000-0400-000072000000}"/>
    <hyperlink ref="AH10" r:id="rId116" display="https://mininteriorgovco.sharepoint.com/sites/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 xr:uid="{00000000-0004-0000-0400-000073000000}"/>
    <hyperlink ref="AH48" r:id="rId117" display="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5?csf=1&amp;web=1&amp;e=XmlffT" xr:uid="{00000000-0004-0000-0400-000074000000}"/>
    <hyperlink ref="AH47" r:id="rId118" display="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4?csf=1&amp;web=1&amp;e=rqQhNv" xr:uid="{00000000-0004-0000-0400-000075000000}"/>
    <hyperlink ref="AH49" r:id="rId119" display="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6?csf=1&amp;web=1&amp;e=zGMowN" xr:uid="{00000000-0004-0000-0400-000076000000}"/>
    <hyperlink ref="AH50" r:id="rId120" display="https://mininteriorgovco.sharepoint.com/:f:/r/sites/EvidenciasOAP/Documentos%20compartidos/Evidencias%20Indicadores%20de%20Proceso%202026/05.%20Gesti%C3%B3n%20para%20la%20Protecci%C3%B3n%20de%20los%20derechos/Direcci%C3%B3n%20de%20Asuntos%20para%20Comunidades%20Negras,%20Afrocolombianas,%20Raizales%20y%20Palenqueras/I%20trimestre/Ind047?csf=1&amp;web=1&amp;e=qAwahc" xr:uid="{00000000-0004-0000-0400-000077000000}"/>
    <hyperlink ref="AH72" r:id="rId121" xr:uid="{00000000-0004-0000-0400-000078000000}"/>
    <hyperlink ref="AH73" r:id="rId122" xr:uid="{00000000-0004-0000-0400-000079000000}"/>
    <hyperlink ref="AH32" r:id="rId123" xr:uid="{00000000-0004-0000-0400-00007A000000}"/>
    <hyperlink ref="AH31" r:id="rId124" xr:uid="{00000000-0004-0000-0400-00007B000000}"/>
    <hyperlink ref="AH40" r:id="rId125" display="https://mininteriorgovco.sharepoint.com/:f:/r/sites/EvidenciasOAP/Documentos compartidos/Evidencias Indicadores de Proceso 2026/05. Gesti%C3%B3n para la Protecci%C3%B3n de los derechos/Direcci%C3%B3n Asuntos Ind%C3%ADgenas, ROM y Minor%C3%ADa/I TRIMESTRE/Ind037?e=5%3a0bd48bcba8f64f1288493f4c960626c5&amp;sharingv2=true&amp;fromShare=true&amp;at=9&amp;xsdata=MDV8MDJ8bGVhbmRyYS5kdXJhbkBtaW5pbnRlcmlvci5nb3YuY298M2VmYjc3YmU5YmU5NDIwZWYwNmQwOGRlOWM4MmUzMmN8YzRmNzg3MGNlYjA4NGQwMWIwMjNhNzFkZDk0ZTg4M2J8MHwwfDYzOTEyMDI4MzE0OTEwNTAyOXxVbmtub3dufFRXRnBiR1pzYjNkOGV5SkZiWEIwZVUxaGNHa2lPblJ5ZFdVc0lsWWlPaUl3TGpBdU1EQXdNQ0lzSWxBaU9pSlhhVzR6TWlJc0lrRk9Jam9pVFdGcGJDSXNJbGRVSWpveWZRPT18MHx8fA%3d%3d&amp;sdata=WktiK0xJM25Ed0RTZmRZWnh1VmlJMHJ2UW5VcEYyOWJKSHRzcWFodldGZz0%3d" xr:uid="{00000000-0004-0000-0400-00007C000000}"/>
    <hyperlink ref="AH41" r:id="rId126" display="https://mininteriorgovco.sharepoint.com/:f:/r/sites/EvidenciasOAP/Documentos compartidos/Evidencias Indicadores de Proceso 2026/05. Gesti%C3%B3n para la Protecci%C3%B3n de los derechos/Direcci%C3%B3n Asuntos Ind%C3%ADgenas, ROM y Minor%C3%ADa/I TRIMESTRE/Ind038?e=5%3a40b85c16ea2f4133bc51df09df94db84&amp;sharingv2=true&amp;fromShare=true&amp;at=9&amp;xsdata=MDV8MDJ8bGVhbmRyYS5kdXJhbkBtaW5pbnRlcmlvci5nb3YuY298YTUyYzU2NmU5MWQzNDY4OWJjZmEwOGRlOWM4MmYwNTF8YzRmNzg3MGNlYjA4NGQwMWIwMjNhNzFkZDk0ZTg4M2J8MHwwfDYzOTEyMDI4MzM1NDE4MzA3MHxVbmtub3dufFRXRnBiR1pzYjNkOGV5SkZiWEIwZVUxaGNHa2lPblJ5ZFdVc0lsWWlPaUl3TGpBdU1EQXdNQ0lzSWxBaU9pSlhhVzR6TWlJc0lrRk9Jam9pVFdGcGJDSXNJbGRVSWpveWZRPT18MHx8fA%3d%3d&amp;sdata=UXgrbUxDR05GOHBVQkRnNUJZeExQMmR5MElLNmZMWVQ1Z09hV0FuSldlQT0%3d" xr:uid="{00000000-0004-0000-0400-00007D000000}"/>
    <hyperlink ref="AH8" r:id="rId127" display="https://mininteriorgovco.sharepoint.com/:f:/r/sites/EvidenciasOAP/Documentos%20compartidos/Evidencias%20Indicadores%20de%20Proceso%202026/01.%20Planeaci%C3%B3n,%20Direccionamiento%20Estrat%C3%A9gico%20y%20Comunicaciones/I%20Trimestre/Oficina%20Asesora%20de%20Planeaci%C3%B3n/Ind005?csf=1&amp;web=1&amp;e=xIee7t" xr:uid="{00000000-0004-0000-0400-00007E000000}"/>
    <hyperlink ref="AH9" r:id="rId128" display="https://mininteriorgovco.sharepoint.com/:f:/r/sites/EvidenciasOAP/Documentos%20compartidos/Evidencias%20Indicadores%20de%20Proceso%202026/01.%20Planeaci%C3%B3n,%20Direccionamiento%20Estrat%C3%A9gico%20y%20Comunicaciones/I%20Trimestre/Oficina%20Asesora%20de%20Planeaci%C3%B3n/Ind006?csf=1&amp;web=1&amp;e=CbDnem" xr:uid="{00000000-0004-0000-0400-00007F000000}"/>
    <hyperlink ref="AK43" r:id="rId129" display="https://mininteriorgovco.sharepoint.com/:f:/r/sites/EvidenciasOAP/Documentos%20compartidos/Evidencias%20Indicadores%20de%20Proceso%202026/05.%20Gesti%C3%B3n%20para%20la%20Protecci%C3%B3n%20de%20los%20derechos/Grupo%20enfoque%20de%20g%C3%A9nero%20y%20diversidad/II%20Trimestre/Ind040?csf=1&amp;web=1&amp;e=Nc2Ze6" xr:uid="{00000000-0004-0000-0400-000080000000}"/>
    <hyperlink ref="AK53" r:id="rId130" xr:uid="{00000000-0004-0000-0400-000081000000}"/>
    <hyperlink ref="AK54" r:id="rId131" xr:uid="{00000000-0004-0000-0400-000082000000}"/>
    <hyperlink ref="AK55" r:id="rId132" xr:uid="{00000000-0004-0000-0400-000083000000}"/>
    <hyperlink ref="AK76" r:id="rId133" display="https://mininteriorgovco-my.sharepoint.com/:b:/r/personal/yitcy_becerra_mininterior_gov_co/Documents/Planeaci%C3%B3n%20OIP%202026/04.%20Planeaci%C3%B3n%20Estrat%C3%A9gica/07.%20INDICADORES%20PROCESO%202026/INDICADORES%20PROCESO%202%20TRIMESTRE/GESTION%20TECNOLOGICA/Ind073/Ind073%20-%20Informe%20Publicaciones%20Sede%20Electr%C3%B3nica%20Abril%20-%20Junio.pdf?csf=1&amp;web=1&amp;e=dNtphv" xr:uid="{00000000-0004-0000-0400-000084000000}"/>
    <hyperlink ref="AK77" r:id="rId134" display="https://mininteriorgovco-my.sharepoint.com/:f:/r/personal/yitcy_becerra_mininterior_gov_co/Documents/Planeaci%C3%B3n%20OIP%202026/04.%20Planeaci%C3%B3n%20Estrat%C3%A9gica/07.%20INDICADORES%20PROCESO%202026/INDICADORES%20PROCESO%202%20TRIMESTRE/GESTION%20TECNOLOGICA/Ind074?csf=1&amp;web=1&amp;e=gZzQor" xr:uid="{00000000-0004-0000-0400-000085000000}"/>
    <hyperlink ref="AK78" r:id="rId135"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5?csf=1&amp;web=1&amp;e=HE0imH" xr:uid="{00000000-0004-0000-0400-000086000000}"/>
    <hyperlink ref="AK79" r:id="rId136" display="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6?csf=1&amp;web=1&amp;e=17VdCX" xr:uid="{00000000-0004-0000-0400-000087000000}"/>
    <hyperlink ref="AK13" r:id="rId137" display="https://mininteriorgovco.sharepoint.com/:f:/r/sites/EvidenciasOAP/Documentos%20compartidos/Evidencias%20Indicadores%20de%20Proceso%202026/01.%20Planeaci%C3%B3n,%20Direccionamiento%20Estrat%C3%A9gico%20y%20Comunicaciones/II%20Trimestre/Grupo%20Comunicaciones/Ind010?csf=1&amp;web=1&amp;e=WQUjSe" xr:uid="{00000000-0004-0000-0400-000088000000}"/>
    <hyperlink ref="AK12" r:id="rId138" display="https://mininteriorgovco.sharepoint.com/:f:/r/sites/EvidenciasOAP/Documentos%20compartidos/Evidencias%20Indicadores%20de%20Proceso%202026/01.%20Planeaci%C3%B3n,%20Direccionamiento%20Estrat%C3%A9gico%20y%20Comunicaciones/II%20Trimestre/Grupo%20Comunicaciones/Ind009?csf=1&amp;web=1&amp;e=QVRG1K" xr:uid="{00000000-0004-0000-0400-000089000000}"/>
    <hyperlink ref="AK11" r:id="rId139" display="https://mininteriorgovco.sharepoint.com/:f:/r/sites/EvidenciasOAP/Documentos%20compartidos/Evidencias%20Indicadores%20de%20Proceso%202026/01.%20Planeaci%C3%B3n,%20Direccionamiento%20Estrat%C3%A9gico%20y%20Comunicaciones/II%20Trimestre/Grupo%20Comunicaciones/Ind008?csf=1&amp;web=1&amp;e=LhvvjP" xr:uid="{00000000-0004-0000-0400-00008A000000}"/>
    <hyperlink ref="AK75" r:id="rId140" display="https://mininteriorgovco.sharepoint.com/: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 xr:uid="{00000000-0004-0000-0400-00008B000000}"/>
    <hyperlink ref="AK10" r:id="rId141" display="https://mininteriorgovco.sharepoint.com/sites/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 xr:uid="{00000000-0004-0000-0400-00008C000000}"/>
    <hyperlink ref="AK44" r:id="rId142" display="https://mininteriorgovco.sharepoint.com/:f:/r/sites/EvidenciasOAP/Documentos%20compartidos/Evidencias%20Indicadores%20de%20Proceso%202026/05.%20Gesti%C3%B3n%20para%20la%20Protecci%C3%B3n%20de%20los%20derechos/Direcci%C3%B3n%20de%20Seguridad,%20Convivencia%20Ciudadana%20y%20Gobierno/Trimestre%20II/Ind041?csf=1&amp;web=1&amp;e=d3DSJe" xr:uid="{00000000-0004-0000-0400-00008D000000}"/>
    <hyperlink ref="AK45" r:id="rId143" display="https://mininteriorgovco.sharepoint.com/:f:/r/sites/EvidenciasOAP/Documentos%20compartidos/Evidencias%20Indicadores%20de%20Proceso%202026/05.%20Gesti%C3%B3n%20para%20la%20Protecci%C3%B3n%20de%20los%20derechos/Direcci%C3%B3n%20de%20Seguridad,%20Convivencia%20Ciudadana%20y%20Gobierno/Trimestre%20II/Ind042?csf=1&amp;web=1&amp;e=QxgVQc" xr:uid="{00000000-0004-0000-0400-00008E000000}"/>
    <hyperlink ref="AK46" r:id="rId144" display="https://mininteriorgovco.sharepoint.com/:f:/r/sites/EvidenciasOAP/Documentos%20compartidos/Evidencias%20Indicadores%20de%20Proceso%202026/05.%20Gesti%C3%B3n%20para%20la%20Protecci%C3%B3n%20de%20los%20derechos/Direcci%C3%B3n%20de%20Seguridad,%20Convivencia%20Ciudadana%20y%20Gobierno/Trimestre%20II/Ind043?csf=1&amp;web=1&amp;e=icjv0u" xr:uid="{00000000-0004-0000-0400-00008F000000}"/>
    <hyperlink ref="AK61" r:id="rId145" xr:uid="{00000000-0004-0000-0400-000090000000}"/>
    <hyperlink ref="AK62" r:id="rId146" xr:uid="{00000000-0004-0000-0400-000091000000}"/>
    <hyperlink ref="AK63" r:id="rId147" xr:uid="{00000000-0004-0000-0400-000092000000}"/>
    <hyperlink ref="AK64" r:id="rId148" xr:uid="{00000000-0004-0000-0400-000093000000}"/>
    <hyperlink ref="AK65" r:id="rId149" xr:uid="{00000000-0004-0000-0400-000094000000}"/>
    <hyperlink ref="AK80" r:id="rId150" xr:uid="{00000000-0004-0000-0400-000095000000}"/>
    <hyperlink ref="AH25" r:id="rId151" display="https://mininteriorgovco.sharepoint.com/:f:/r/sites/EvidenciasOAP/Documentos%20compartidos/Evidencias%20Indicadores%20de%20Proceso%202026/04.%20Gesti%C3%B3n%20Pol%C3%ADtica%20y%20Gobierno/Subdirecci%C3%B3n%20de%20Gobierno%20y%20Gesti%C3%B3n%20Territorial%20y%20Lucha%20Contra%20la%20Trata/Ind022/PRIMER%20TRIMESTRE?csf=1&amp;web=1&amp;e=KgTumH " xr:uid="{00000000-0004-0000-0400-000096000000}"/>
    <hyperlink ref="AK84" r:id="rId152" xr:uid="{00000000-0004-0000-0400-000097000000}"/>
    <hyperlink ref="AK85" r:id="rId153" xr:uid="{00000000-0004-0000-0400-000098000000}"/>
    <hyperlink ref="AK34" r:id="rId154" xr:uid="{00000000-0004-0000-0400-000099000000}"/>
    <hyperlink ref="AK36" r:id="rId155" display="ABRIL 2026. Fortalecer la gestión de los cementerios como acción de apoyo al proceso de búsqueda de personas desaparecidas en Colombia.pdf_x000a_MAYO 2026 Fortalecer la gestión de los cementerios como acción de apoyo al proceso de búsqueda de personas desaparecidas en Colombia.pdf_x000a_JUNIO 2026 Fortalecer la gestión de los cementerios como acción de apoyo al proceso de búsqueda de personas desaparecidas en Colombia.pdf" xr:uid="{00000000-0004-0000-0400-00009A000000}"/>
    <hyperlink ref="AK39" r:id="rId156" xr:uid="{00000000-0004-0000-0400-00009B000000}"/>
    <hyperlink ref="AK40" r:id="rId157" display="https://mininteriorgovco.sharepoint.com/sites/EvidenciasOAP/Documentos%20compartidos/Forms/AllItems.aspx?e=5%3Ae93188392f4d4135b2faafa4549f90a4&amp;sharingv2=true&amp;fromShare=true&amp;at=9&amp;CT=1784118355472&amp;OR=OWA%2DNT%2DMail&amp;CID=0e3dc6fa%2Dc1aa%2D19dd%2De0c7%2Dbf85e59e6de7&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7" xr:uid="{00000000-0004-0000-0400-00009E000000}"/>
    <hyperlink ref="AK41" r:id="rId158" display="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8%20TRIMESTRE%2FInd038" xr:uid="{00000000-0004-0000-0400-00009F000000}"/>
    <hyperlink ref="AK42" r:id="rId159" display="https://mininteriorgovco.sharepoint.com/sites/EvidenciasOAP/Documentos%20compartidos/Forms/AllItems.aspx?e=5%3A9d10999d505d415e97e5617eb5caa245&amp;sharingv2=true&amp;fromShare=true&amp;at=9&amp;CT=1784118396525&amp;OR=OWA%2DNT%2DMail&amp;CID=d9b2420b%2D367d%2Dbcd6%2Dedb7%2D92cd9e61c0ee&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9" xr:uid="{00000000-0004-0000-0400-0000A0000000}"/>
    <hyperlink ref="AK33" r:id="rId160" xr:uid="{00000000-0004-0000-0400-0000A1000000}"/>
    <hyperlink ref="AK35" r:id="rId161" xr:uid="{00000000-0004-0000-0400-0000A2000000}"/>
    <hyperlink ref="AK37" r:id="rId162" xr:uid="{00000000-0004-0000-0400-0000A3000000}"/>
    <hyperlink ref="AK38" r:id="rId163" xr:uid="{00000000-0004-0000-0400-0000A4000000}"/>
    <hyperlink ref="AK31" r:id="rId164" xr:uid="{410E0373-DE17-4EB5-B5EB-D2F41C335FA1}"/>
    <hyperlink ref="AK32" r:id="rId165" xr:uid="{BC023D02-2915-419F-A3C5-8E716BD50085}"/>
  </hyperlinks>
  <pageMargins left="0.70866141732283472" right="0.70866141732283472" top="0.74803149606299213" bottom="0.74803149606299213" header="0.31496062992125984" footer="0.31496062992125984"/>
  <pageSetup scale="35" orientation="landscape" r:id="rId166"/>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2000000}">
          <x14:formula1>
            <xm:f>Hoja1!$B$2:$B$30</xm:f>
          </x14:formula1>
          <xm:sqref>G4:G87</xm:sqref>
        </x14:dataValidation>
        <x14:dataValidation type="list" allowBlank="1" showInputMessage="1" showErrorMessage="1" xr:uid="{00000000-0002-0000-0400-000003000000}">
          <x14:formula1>
            <xm:f>Hoja1!$F$9:$F$12</xm:f>
          </x14:formula1>
          <xm:sqref>H4:H87</xm:sqref>
        </x14:dataValidation>
        <x14:dataValidation type="list" allowBlank="1" showInputMessage="1" showErrorMessage="1" xr:uid="{00000000-0002-0000-0400-000004000000}">
          <x14:formula1>
            <xm:f>Hoja1!$D$2:$D$5</xm:f>
          </x14:formula1>
          <xm:sqref>J4:J87</xm:sqref>
        </x14:dataValidation>
        <x14:dataValidation type="list" allowBlank="1" showInputMessage="1" showErrorMessage="1" xr:uid="{00000000-0002-0000-0400-000005000000}">
          <x14:formula1>
            <xm:f>Hoja1!$F$2:$F$6</xm:f>
          </x14:formula1>
          <xm:sqref>O4:O87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E0D8-60E1-4330-A004-254DA8344078}">
  <sheetPr codeName="Hoja2"/>
  <dimension ref="B2:G17"/>
  <sheetViews>
    <sheetView workbookViewId="0">
      <selection activeCell="C19" sqref="C19"/>
    </sheetView>
  </sheetViews>
  <sheetFormatPr baseColWidth="10" defaultColWidth="9.140625" defaultRowHeight="15"/>
  <cols>
    <col min="2" max="2" width="55" bestFit="1" customWidth="1"/>
    <col min="3" max="3" width="9.28515625" bestFit="1" customWidth="1"/>
    <col min="4" max="4" width="10.85546875" bestFit="1" customWidth="1"/>
    <col min="5" max="5" width="12.5703125" bestFit="1" customWidth="1"/>
    <col min="6" max="6" width="8.85546875" bestFit="1" customWidth="1"/>
    <col min="7" max="7" width="6.85546875" bestFit="1" customWidth="1"/>
  </cols>
  <sheetData>
    <row r="2" spans="2:7">
      <c r="B2" s="513" t="s">
        <v>1085</v>
      </c>
      <c r="C2" s="514" t="s">
        <v>1086</v>
      </c>
      <c r="D2" s="514" t="s">
        <v>1087</v>
      </c>
      <c r="E2" s="514" t="s">
        <v>1088</v>
      </c>
      <c r="F2" s="514" t="s">
        <v>1089</v>
      </c>
      <c r="G2" s="515" t="s">
        <v>1090</v>
      </c>
    </row>
    <row r="3" spans="2:7">
      <c r="B3" s="516" t="s">
        <v>1091</v>
      </c>
      <c r="C3" s="516">
        <v>8</v>
      </c>
      <c r="D3" s="516">
        <v>2</v>
      </c>
      <c r="E3" s="516">
        <v>0</v>
      </c>
      <c r="F3" s="516">
        <v>0</v>
      </c>
      <c r="G3" s="516">
        <v>10</v>
      </c>
    </row>
    <row r="4" spans="2:7">
      <c r="B4" s="517" t="s">
        <v>1092</v>
      </c>
      <c r="C4" s="517">
        <v>0</v>
      </c>
      <c r="D4" s="517">
        <v>0</v>
      </c>
      <c r="E4" s="517">
        <v>1</v>
      </c>
      <c r="F4" s="517">
        <v>0</v>
      </c>
      <c r="G4" s="517">
        <v>1</v>
      </c>
    </row>
    <row r="5" spans="2:7">
      <c r="B5" s="516" t="s">
        <v>1093</v>
      </c>
      <c r="C5" s="516">
        <v>5</v>
      </c>
      <c r="D5" s="516">
        <v>1</v>
      </c>
      <c r="E5" s="516">
        <v>0</v>
      </c>
      <c r="F5" s="516">
        <v>1</v>
      </c>
      <c r="G5" s="516">
        <v>7</v>
      </c>
    </row>
    <row r="6" spans="2:7">
      <c r="B6" s="517" t="s">
        <v>1094</v>
      </c>
      <c r="C6" s="517">
        <v>6</v>
      </c>
      <c r="D6" s="517">
        <v>2</v>
      </c>
      <c r="E6" s="517">
        <v>1</v>
      </c>
      <c r="F6" s="517">
        <v>0</v>
      </c>
      <c r="G6" s="517">
        <v>9</v>
      </c>
    </row>
    <row r="7" spans="2:7">
      <c r="B7" s="516" t="s">
        <v>1095</v>
      </c>
      <c r="C7" s="516">
        <v>26</v>
      </c>
      <c r="D7" s="516">
        <v>3</v>
      </c>
      <c r="E7" s="516">
        <v>1</v>
      </c>
      <c r="F7" s="516">
        <v>0</v>
      </c>
      <c r="G7" s="516">
        <v>30</v>
      </c>
    </row>
    <row r="8" spans="2:7">
      <c r="B8" s="517" t="s">
        <v>1096</v>
      </c>
      <c r="C8" s="517">
        <v>0</v>
      </c>
      <c r="D8" s="517">
        <v>2</v>
      </c>
      <c r="E8" s="517">
        <v>0</v>
      </c>
      <c r="F8" s="517">
        <v>0</v>
      </c>
      <c r="G8" s="517">
        <v>2</v>
      </c>
    </row>
    <row r="9" spans="2:7">
      <c r="B9" s="516" t="s">
        <v>1097</v>
      </c>
      <c r="C9" s="516">
        <v>1</v>
      </c>
      <c r="D9" s="516">
        <v>1</v>
      </c>
      <c r="E9" s="516">
        <v>1</v>
      </c>
      <c r="F9" s="516">
        <v>0</v>
      </c>
      <c r="G9" s="516">
        <v>3</v>
      </c>
    </row>
    <row r="10" spans="2:7">
      <c r="B10" s="517" t="s">
        <v>1098</v>
      </c>
      <c r="C10" s="517">
        <v>1</v>
      </c>
      <c r="D10" s="517">
        <v>0</v>
      </c>
      <c r="E10" s="517">
        <v>1</v>
      </c>
      <c r="F10" s="517">
        <v>0</v>
      </c>
      <c r="G10" s="517">
        <v>2</v>
      </c>
    </row>
    <row r="11" spans="2:7">
      <c r="B11" s="516" t="s">
        <v>1099</v>
      </c>
      <c r="C11" s="516">
        <v>2</v>
      </c>
      <c r="D11" s="516">
        <v>2</v>
      </c>
      <c r="E11" s="516">
        <v>0</v>
      </c>
      <c r="F11" s="516">
        <v>0</v>
      </c>
      <c r="G11" s="516">
        <v>4</v>
      </c>
    </row>
    <row r="12" spans="2:7">
      <c r="B12" s="517" t="s">
        <v>1100</v>
      </c>
      <c r="C12" s="517">
        <v>5</v>
      </c>
      <c r="D12" s="517">
        <v>0</v>
      </c>
      <c r="E12" s="517">
        <v>0</v>
      </c>
      <c r="F12" s="517">
        <v>0</v>
      </c>
      <c r="G12" s="517">
        <v>5</v>
      </c>
    </row>
    <row r="13" spans="2:7">
      <c r="B13" s="516" t="s">
        <v>1101</v>
      </c>
      <c r="C13" s="516">
        <v>0</v>
      </c>
      <c r="D13" s="516">
        <v>1</v>
      </c>
      <c r="E13" s="516">
        <v>0</v>
      </c>
      <c r="F13" s="516">
        <v>0</v>
      </c>
      <c r="G13" s="516">
        <v>1</v>
      </c>
    </row>
    <row r="14" spans="2:7">
      <c r="B14" s="517" t="s">
        <v>1102</v>
      </c>
      <c r="C14" s="517">
        <v>2</v>
      </c>
      <c r="D14" s="517">
        <v>2</v>
      </c>
      <c r="E14" s="517">
        <v>0</v>
      </c>
      <c r="F14" s="517">
        <v>0</v>
      </c>
      <c r="G14" s="517">
        <v>4</v>
      </c>
    </row>
    <row r="15" spans="2:7">
      <c r="B15" s="516" t="s">
        <v>1103</v>
      </c>
      <c r="C15" s="516">
        <v>1</v>
      </c>
      <c r="D15" s="516">
        <v>2</v>
      </c>
      <c r="E15" s="516">
        <v>0</v>
      </c>
      <c r="F15" s="516">
        <v>0</v>
      </c>
      <c r="G15" s="516">
        <v>3</v>
      </c>
    </row>
    <row r="16" spans="2:7">
      <c r="B16" s="517" t="s">
        <v>1104</v>
      </c>
      <c r="C16" s="517">
        <v>0</v>
      </c>
      <c r="D16" s="517">
        <v>1</v>
      </c>
      <c r="E16" s="517">
        <v>1</v>
      </c>
      <c r="F16" s="517">
        <v>0</v>
      </c>
      <c r="G16" s="517">
        <v>2</v>
      </c>
    </row>
    <row r="17" spans="2:7">
      <c r="B17" s="516" t="s">
        <v>1090</v>
      </c>
      <c r="C17" s="516">
        <v>57</v>
      </c>
      <c r="D17" s="516">
        <v>19</v>
      </c>
      <c r="E17" s="516">
        <v>6</v>
      </c>
      <c r="F17" s="516">
        <v>1</v>
      </c>
      <c r="G17" s="516">
        <v>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FC8C-0A31-4085-BA08-D8D282C149E2}">
  <sheetPr codeName="Hoja8"/>
  <dimension ref="A1"/>
  <sheetViews>
    <sheetView workbookViewId="0"/>
  </sheetViews>
  <sheetFormatPr baseColWidth="10" defaultColWidth="9.140625"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AD93"/>
  <sheetViews>
    <sheetView showGridLines="0" tabSelected="1" zoomScale="80" zoomScaleNormal="80" workbookViewId="0">
      <selection activeCell="Y4" sqref="Y4"/>
    </sheetView>
  </sheetViews>
  <sheetFormatPr baseColWidth="10" defaultColWidth="14.42578125" defaultRowHeight="99.95" customHeight="1"/>
  <cols>
    <col min="1" max="1" width="12.140625" style="630" customWidth="1"/>
    <col min="2" max="2" width="16.140625" style="630" customWidth="1"/>
    <col min="3" max="3" width="22.42578125" style="630" customWidth="1"/>
    <col min="4" max="4" width="28.28515625" style="630" bestFit="1" customWidth="1"/>
    <col min="5" max="5" width="27.42578125" style="94" hidden="1" customWidth="1"/>
    <col min="6" max="6" width="22.7109375" style="93" hidden="1" customWidth="1"/>
    <col min="7" max="7" width="28.7109375" style="93" hidden="1" customWidth="1"/>
    <col min="8" max="8" width="16.7109375" style="630" customWidth="1"/>
    <col min="9" max="9" width="15.7109375" style="630" customWidth="1"/>
    <col min="10" max="10" width="12.140625" style="94" hidden="1" customWidth="1"/>
    <col min="11" max="11" width="12.140625" style="626" customWidth="1"/>
    <col min="12" max="13" width="12.140625" style="94" hidden="1" customWidth="1"/>
    <col min="14" max="14" width="12.140625" style="626" customWidth="1"/>
    <col min="15" max="15" width="17.28515625" style="91" hidden="1" customWidth="1"/>
    <col min="16" max="16" width="22" style="635" customWidth="1"/>
    <col min="17" max="17" width="12.140625" style="91" hidden="1" customWidth="1"/>
    <col min="18" max="18" width="13" style="91" hidden="1" customWidth="1"/>
    <col min="19" max="19" width="12.140625" style="635" customWidth="1"/>
    <col min="20" max="20" width="15.5703125" style="631" customWidth="1"/>
    <col min="21" max="21" width="15.85546875" style="631" customWidth="1"/>
    <col min="22" max="23" width="21.42578125" style="631" customWidth="1"/>
    <col min="24" max="24" width="49.85546875" style="630" customWidth="1"/>
    <col min="25" max="25" width="114.5703125" style="634" customWidth="1"/>
    <col min="26" max="26" width="31.5703125" style="625" customWidth="1"/>
    <col min="27" max="27" width="57.85546875" style="630" customWidth="1"/>
    <col min="28" max="28" width="34.140625" style="632" customWidth="1"/>
    <col min="29" max="16384" width="14.42578125" style="629"/>
  </cols>
  <sheetData>
    <row r="1" spans="1:28" s="4" customFormat="1" ht="52.5" customHeight="1">
      <c r="A1" s="93"/>
      <c r="B1" s="93"/>
      <c r="C1" s="93"/>
      <c r="D1" s="93"/>
      <c r="E1" s="93"/>
      <c r="F1" s="93"/>
      <c r="G1" s="93"/>
      <c r="H1" s="93"/>
      <c r="I1" s="93"/>
      <c r="J1" s="94"/>
      <c r="K1" s="94"/>
      <c r="L1" s="94"/>
      <c r="M1" s="94"/>
      <c r="N1" s="94"/>
      <c r="O1" s="91"/>
      <c r="P1" s="91"/>
      <c r="Q1" s="91"/>
      <c r="R1" s="91"/>
      <c r="S1" s="91"/>
      <c r="T1" s="95"/>
      <c r="U1" s="95"/>
      <c r="V1" s="95"/>
      <c r="W1" s="95"/>
      <c r="X1" s="93"/>
      <c r="Y1" s="118"/>
      <c r="Z1" s="632"/>
      <c r="AA1" s="630"/>
      <c r="AB1" s="632"/>
    </row>
    <row r="2" spans="1:28" s="4" customFormat="1" ht="52.5" customHeight="1">
      <c r="A2" s="93"/>
      <c r="B2" s="93"/>
      <c r="C2" s="93"/>
      <c r="D2" s="93"/>
      <c r="E2" s="93"/>
      <c r="F2" s="93"/>
      <c r="G2" s="93"/>
      <c r="H2" s="93"/>
      <c r="I2" s="93"/>
      <c r="J2" s="94"/>
      <c r="K2" s="94"/>
      <c r="L2" s="94"/>
      <c r="M2" s="94"/>
      <c r="N2" s="94"/>
      <c r="O2" s="91"/>
      <c r="P2" s="91"/>
      <c r="Q2" s="91"/>
      <c r="R2" s="91"/>
      <c r="S2" s="91"/>
      <c r="T2" s="95"/>
      <c r="U2" s="95"/>
      <c r="V2" s="95"/>
      <c r="W2" s="95"/>
      <c r="X2" s="93"/>
      <c r="Y2" s="118"/>
      <c r="Z2" s="632"/>
      <c r="AA2" s="630"/>
      <c r="AB2" s="632"/>
    </row>
    <row r="3" spans="1:28" s="4" customFormat="1" ht="23.25">
      <c r="A3" s="616" t="s">
        <v>1105</v>
      </c>
      <c r="B3" s="617"/>
      <c r="C3" s="617"/>
      <c r="D3" s="617"/>
      <c r="E3" s="617"/>
      <c r="F3" s="617"/>
      <c r="G3" s="617"/>
      <c r="H3" s="617"/>
      <c r="I3" s="617"/>
      <c r="J3" s="617"/>
      <c r="K3" s="617"/>
      <c r="L3" s="617"/>
      <c r="M3" s="617"/>
      <c r="N3" s="617"/>
      <c r="O3" s="617"/>
      <c r="P3" s="617"/>
      <c r="Q3" s="617"/>
      <c r="R3" s="617"/>
      <c r="S3" s="617"/>
      <c r="T3" s="617"/>
      <c r="U3" s="617"/>
      <c r="V3" s="617"/>
      <c r="W3" s="617"/>
      <c r="X3" s="617"/>
      <c r="Y3" s="618"/>
      <c r="Z3" s="625"/>
      <c r="AA3" s="630"/>
      <c r="AB3" s="632"/>
    </row>
    <row r="4" spans="1:28" s="4" customFormat="1" ht="60">
      <c r="A4" s="108" t="s">
        <v>90</v>
      </c>
      <c r="B4" s="108" t="s">
        <v>1106</v>
      </c>
      <c r="C4" s="108" t="s">
        <v>1107</v>
      </c>
      <c r="D4" s="108" t="s">
        <v>1108</v>
      </c>
      <c r="E4" s="108" t="s">
        <v>1109</v>
      </c>
      <c r="F4" s="108" t="s">
        <v>1110</v>
      </c>
      <c r="G4" s="108" t="s">
        <v>99</v>
      </c>
      <c r="H4" s="108" t="s">
        <v>100</v>
      </c>
      <c r="I4" s="108" t="s">
        <v>103</v>
      </c>
      <c r="J4" s="109" t="s">
        <v>1111</v>
      </c>
      <c r="K4" s="109" t="s">
        <v>1112</v>
      </c>
      <c r="L4" s="109" t="s">
        <v>1113</v>
      </c>
      <c r="M4" s="109" t="s">
        <v>1114</v>
      </c>
      <c r="N4" s="109" t="s">
        <v>1115</v>
      </c>
      <c r="O4" s="109" t="s">
        <v>1116</v>
      </c>
      <c r="P4" s="109" t="s">
        <v>1117</v>
      </c>
      <c r="Q4" s="109" t="s">
        <v>1118</v>
      </c>
      <c r="R4" s="109" t="s">
        <v>1119</v>
      </c>
      <c r="S4" s="109" t="s">
        <v>1120</v>
      </c>
      <c r="T4" s="110" t="s">
        <v>1121</v>
      </c>
      <c r="U4" s="110" t="s">
        <v>1122</v>
      </c>
      <c r="V4" s="110" t="s">
        <v>1123</v>
      </c>
      <c r="W4" s="110" t="s">
        <v>1124</v>
      </c>
      <c r="X4" s="108" t="s">
        <v>285</v>
      </c>
      <c r="Y4" s="108" t="s">
        <v>1125</v>
      </c>
      <c r="Z4" s="619" t="s">
        <v>1126</v>
      </c>
      <c r="AA4" s="430" t="s">
        <v>1127</v>
      </c>
      <c r="AB4" s="620" t="s">
        <v>1128</v>
      </c>
    </row>
    <row r="5" spans="1:28" s="4" customFormat="1" ht="202.5" customHeight="1">
      <c r="A5" s="111" t="s">
        <v>97</v>
      </c>
      <c r="B5" s="112" t="str">
        <f>VLOOKUP(A5,'Bateria indicadores proceso'!A:X,2,FALSE)</f>
        <v>ESTRATÉGICO</v>
      </c>
      <c r="C5" s="113" t="str">
        <f>VLOOKUP(A5,'Bateria indicadores proceso'!A:X,3,FALSE)</f>
        <v>PLANEACIÓN, DIRECCIONAMIENTO ESTRATÉGICO Y COMUNICACIONES</v>
      </c>
      <c r="D5" s="113" t="str">
        <f>VLOOKUP(A5,'Bateria indicadores proceso'!A:X,7,FALSE)</f>
        <v>Oficina Asesora de Planeación</v>
      </c>
      <c r="E5" s="114">
        <f>VLOOKUP(A5,'Bateria indicadores proceso'!A:X,4,FALSE)</f>
        <v>0.6</v>
      </c>
      <c r="F5" s="114">
        <f>VLOOKUP(A5,'Bateria indicadores proceso'!A:X,6,FALSE)</f>
        <v>0.2</v>
      </c>
      <c r="G5" s="114" t="str">
        <f>VLOOKUP(A5,'Bateria indicadores proceso'!A:X,12,FALSE)</f>
        <v>Seguimientos realizados a las metas y compromisos del Ministerio del Interior</v>
      </c>
      <c r="H5" s="114" t="str">
        <f>VLOOKUP(A5,'Bateria indicadores proceso'!A:AB,10,FALSE)</f>
        <v>Eficacia</v>
      </c>
      <c r="I5" s="114" t="str">
        <f>VLOOKUP(A5,'Bateria indicadores proceso'!A:AB,16,FALSE)</f>
        <v>Porcentaje</v>
      </c>
      <c r="J5" s="125">
        <f>VLOOKUP(A5,'Bateria indicadores proceso'!A:X,20,FALSE)</f>
        <v>1</v>
      </c>
      <c r="K5" s="125">
        <f>VLOOKUP(A5,'Bateria indicadores proceso'!A:X,21,FALSE)</f>
        <v>1</v>
      </c>
      <c r="L5" s="125">
        <f>VLOOKUP(A5,'Bateria indicadores proceso'!A:X,22,FALSE)</f>
        <v>1</v>
      </c>
      <c r="M5" s="125">
        <f>VLOOKUP(A5,'Bateria indicadores proceso'!A:X,23,FALSE)</f>
        <v>1</v>
      </c>
      <c r="N5" s="126">
        <f>VLOOKUP(A5,'Bateria indicadores proceso'!A:X,24,FALSE)</f>
        <v>1</v>
      </c>
      <c r="O5" s="126">
        <f>VLOOKUP(A5,'Bateria indicadores proceso'!A:AR,28,FALSE)</f>
        <v>1</v>
      </c>
      <c r="P5" s="126">
        <f>VLOOKUP(A5,'Bateria indicadores proceso'!A:AR,29,FALSE)</f>
        <v>1</v>
      </c>
      <c r="Q5" s="126">
        <f>VLOOKUP(A5,'Bateria indicadores proceso'!A:AR,30,FALSE)</f>
        <v>0</v>
      </c>
      <c r="R5" s="126">
        <f>VLOOKUP(A5,'Bateria indicadores proceso'!A:AR,31,FALSE)</f>
        <v>0</v>
      </c>
      <c r="S5" s="126">
        <f>VLOOKUP(A5,'Bateria indicadores proceso'!A:AR,32,FALSE)</f>
        <v>1</v>
      </c>
      <c r="T5" s="115">
        <f>VLOOKUP(A5,'Bateria indicadores proceso'!A:AT,45,FALSE)</f>
        <v>1</v>
      </c>
      <c r="U5" s="119">
        <f>VLOOKUP(A5,'Bateria indicadores proceso'!A:AT,46,FALSE)</f>
        <v>1</v>
      </c>
      <c r="V5" s="116">
        <f>IF(T5="No se reportó avance",0,IFERROR(F5*T5,F5))</f>
        <v>0.2</v>
      </c>
      <c r="W5" s="116">
        <f>IF(U5="No se reportó avance",0,IFERROR(U5*F5,F5))</f>
        <v>0.2</v>
      </c>
      <c r="X5" s="117"/>
      <c r="Y5" s="128" t="str">
        <f>IF(VLOOKUP(A5,'Bateria indicadores proceso'!A:AT,36,FALSE)="","No registro avance",VLOOKUP(A5,'Bateria indicadores proceso'!A:AT,36,FALSE))</f>
        <v>Durante el 2 trimestre 2026 se realizaron 5 reportes de seguimientos a las metas y compromisos del ministerio del Interior de la siguiente manera: 
Abril: (2) Seguimiento del Plan Estrategico Institucional de Acción I trimestre 2026
Seguimiento indicadores PND con corte a marzo 2026
Mayo: (1) Seguimiento indicadores PND con corte a abril 2026
Junio: (2)Seguimiento del Plan Estrategico  Sectorial I trimestre 2026
Seguimiento indicadores PND con corte a mayo 2026</v>
      </c>
      <c r="Z5" s="429" t="s">
        <v>1129</v>
      </c>
      <c r="AA5" s="129" t="str">
        <f>IF(VLOOKUP(A5,'Bateria indicadores proceso'!A:AT,37,FALSE)="","No reportó Evidencia",VLOOKUP(A5,'Bateria indicadores proceso'!A:AT,37,FALSE))</f>
        <v>https://mininteriorgovco.sharepoint.com/sites/EvidenciasOAP/Documentos%20compartidos/Forms/AllItems.aspx?csf=1&amp;web=1&amp;e=a4MjyQ&amp;CT=1782920343380&amp;OR=OWA%2DNT%2DMail&amp;CID=3c54426a%2Dbc18%2Dee39%2Dd58e%2Dd12e1f3ab264&amp;SI=NonSentItems&amp;clickParams=eyJYLUFwcE5hbWUiOiJNaWNyb3NvZnQgT3V0bG9vayBXZWIgQXBwIiwiWC1BcHBWZXJzaW9uIjoiMjAyNjA2MTkwMTAuMTIiLCJPUyI6IldpbmRvd3MgMTEifQ%3D%3D&amp;cidOR=Client&amp;FolderCTID=0x01200071BA4BEEC5A4884E88FD3CFB2470F298&amp;id=%2Fsites%2FEvidenciasOAP%2FDocumentos%20compartidos%2FEvidencias%20Indicadores%20de%20Proceso%202026%2F01%2E%20Planeaci%C3%B3n%2C%20Direccionamiento%20Estrat%C3%A9gico%20y%20Comunicaciones%2FII%20Trimestre%2FOficina%20Asesora%20de%20Planeaci%C3%B3n%2FInd001</v>
      </c>
      <c r="AB5" s="425" t="s">
        <v>1136</v>
      </c>
    </row>
    <row r="6" spans="1:28" s="4" customFormat="1" ht="217.5" customHeight="1">
      <c r="A6" s="92" t="s">
        <v>147</v>
      </c>
      <c r="B6" s="112" t="str">
        <f>VLOOKUP(A6,'Bateria indicadores proceso'!A:X,2,FALSE)</f>
        <v>ESTRATÉGICO</v>
      </c>
      <c r="C6" s="113" t="str">
        <f>VLOOKUP(A6,'Bateria indicadores proceso'!A:X,3,FALSE)</f>
        <v>PLANEACIÓN, DIRECCIONAMIENTO ESTRATÉGICO Y COMUNICACIONES</v>
      </c>
      <c r="D6" s="113" t="str">
        <f>VLOOKUP(A6,'Bateria indicadores proceso'!A:X,7,FALSE)</f>
        <v>Oficina Asesora de Planeación</v>
      </c>
      <c r="E6" s="114">
        <f>VLOOKUP(A6,'Bateria indicadores proceso'!A:X,4,FALSE)</f>
        <v>0.6</v>
      </c>
      <c r="F6" s="114">
        <f>VLOOKUP(A6,'Bateria indicadores proceso'!A:X,6,FALSE)</f>
        <v>7.0000000000000007E-2</v>
      </c>
      <c r="G6" s="114" t="str">
        <f>VLOOKUP(A6,'Bateria indicadores proceso'!A:X,12,FALSE)</f>
        <v>Proyectos de inversión  y/o programas misionales de funcionamiento viabilizados por la Oficina Asesora de Planeación.</v>
      </c>
      <c r="H6" s="114" t="str">
        <f>VLOOKUP(A6,'Bateria indicadores proceso'!A:AB,10,FALSE)</f>
        <v>Eficiencia</v>
      </c>
      <c r="I6" s="114" t="str">
        <f>VLOOKUP(A6,'Bateria indicadores proceso'!A:AB,16,FALSE)</f>
        <v>Porcentaje</v>
      </c>
      <c r="J6" s="125">
        <f>VLOOKUP(A6,'Bateria indicadores proceso'!A:X,20,FALSE)</f>
        <v>1</v>
      </c>
      <c r="K6" s="125">
        <f>VLOOKUP(A6,'Bateria indicadores proceso'!A:X,21,FALSE)</f>
        <v>1</v>
      </c>
      <c r="L6" s="125">
        <f>VLOOKUP(A6,'Bateria indicadores proceso'!A:X,22,FALSE)</f>
        <v>1</v>
      </c>
      <c r="M6" s="125">
        <f>VLOOKUP(A6,'Bateria indicadores proceso'!A:X,23,FALSE)</f>
        <v>1</v>
      </c>
      <c r="N6" s="126">
        <f>VLOOKUP(A6,'Bateria indicadores proceso'!A:X,24,FALSE)</f>
        <v>1</v>
      </c>
      <c r="O6" s="126">
        <f>VLOOKUP(A6,'Bateria indicadores proceso'!A:AR,28,FALSE)</f>
        <v>1</v>
      </c>
      <c r="P6" s="126">
        <f>VLOOKUP(A6,'Bateria indicadores proceso'!A:AR,29,FALSE)</f>
        <v>1</v>
      </c>
      <c r="Q6" s="126">
        <f>VLOOKUP(A6,'Bateria indicadores proceso'!A:AR,30,FALSE)</f>
        <v>0</v>
      </c>
      <c r="R6" s="126">
        <f>VLOOKUP(A6,'Bateria indicadores proceso'!A:AR,31,FALSE)</f>
        <v>0</v>
      </c>
      <c r="S6" s="126">
        <f>VLOOKUP(A6,'Bateria indicadores proceso'!A:AR,32,FALSE)</f>
        <v>1</v>
      </c>
      <c r="T6" s="115">
        <f>VLOOKUP(A6,'Bateria indicadores proceso'!A:AT,45,FALSE)</f>
        <v>1</v>
      </c>
      <c r="U6" s="119">
        <f>VLOOKUP(A6,'Bateria indicadores proceso'!A:AT,46,FALSE)</f>
        <v>1</v>
      </c>
      <c r="V6" s="116">
        <f t="shared" ref="V6:V69" si="0">IF(T6="No se reportó avance",0,IFERROR(F6*T6,F6))</f>
        <v>7.0000000000000007E-2</v>
      </c>
      <c r="W6" s="116">
        <f t="shared" ref="W6:W69" si="1">IF(U6="No se reportó avance",0,IFERROR(U6*F6,F6))</f>
        <v>7.0000000000000007E-2</v>
      </c>
      <c r="X6" s="97"/>
      <c r="Y6" s="128" t="str">
        <f>IF(VLOOKUP(A6,'Bateria indicadores proceso'!A:AT,36,FALSE)="","No registro avance",VLOOKUP(A6,'Bateria indicadores proceso'!A:AT,36,FALSE))</f>
        <v>Durante el segundo trimestre de 2026 (abril-mayo-junio) se realizaron en total 8 solicitudes de viabilidad por parte de las diferentes dependencias del Ministerio del Interior, para lo cual la Oficina Asesora de Planeación expidió en su totalidad las 8 viabilidades.
Por proyectos de Inversión se realizaron 1 viabilidad que correspondió a la Oficina Asesora de Planeación y por funcionamiento se realizaron 7 viabilidades distribuidas en las depednencias : Democracia, Gobierno e Indígenas, para un total de 8 viabilidades expedidas.</v>
      </c>
      <c r="Z6" s="429" t="s">
        <v>1129</v>
      </c>
      <c r="AA6" s="129" t="str">
        <f>IF(VLOOKUP(A6,'Bateria indicadores proceso'!A:AT,37,FALSE)="","No reportó Evidencia",VLOOKUP(A6,'Bateria indicadores proceso'!A:AT,37,FALSE))</f>
        <v xml:space="preserve">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002&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
</v>
      </c>
      <c r="AB6" s="425" t="s">
        <v>1136</v>
      </c>
    </row>
    <row r="7" spans="1:28" s="4" customFormat="1" ht="202.5" customHeight="1">
      <c r="A7" s="92" t="s">
        <v>148</v>
      </c>
      <c r="B7" s="112" t="str">
        <f>VLOOKUP(A7,'Bateria indicadores proceso'!A:X,2,FALSE)</f>
        <v>ESTRATÉGICO</v>
      </c>
      <c r="C7" s="113" t="str">
        <f>VLOOKUP(A7,'Bateria indicadores proceso'!A:X,3,FALSE)</f>
        <v>PLANEACIÓN, DIRECCIONAMIENTO ESTRATÉGICO Y COMUNICACIONES</v>
      </c>
      <c r="D7" s="113" t="str">
        <f>VLOOKUP(A7,'Bateria indicadores proceso'!A:X,7,FALSE)</f>
        <v>Oficina Asesora de Planeación</v>
      </c>
      <c r="E7" s="114">
        <f>VLOOKUP(A7,'Bateria indicadores proceso'!A:X,4,FALSE)</f>
        <v>0.6</v>
      </c>
      <c r="F7" s="114">
        <f>VLOOKUP(A7,'Bateria indicadores proceso'!A:X,6,FALSE)</f>
        <v>7.0000000000000007E-2</v>
      </c>
      <c r="G7" s="114" t="str">
        <f>VLOOKUP(A7,'Bateria indicadores proceso'!A:X,12,FALSE)</f>
        <v>Seguimiento a la gestión presupuestal del Ministerio del Interior.</v>
      </c>
      <c r="H7" s="114" t="str">
        <f>VLOOKUP(A7,'Bateria indicadores proceso'!A:AB,10,FALSE)</f>
        <v>Eficiencia</v>
      </c>
      <c r="I7" s="114" t="str">
        <f>VLOOKUP(A7,'Bateria indicadores proceso'!A:AB,16,FALSE)</f>
        <v>Número</v>
      </c>
      <c r="J7" s="127">
        <f>VLOOKUP(A7,'Bateria indicadores proceso'!A:X,20,FALSE)</f>
        <v>40</v>
      </c>
      <c r="K7" s="127">
        <f>VLOOKUP(A7,'Bateria indicadores proceso'!A:X,21,FALSE)</f>
        <v>60</v>
      </c>
      <c r="L7" s="127">
        <f>VLOOKUP(A7,'Bateria indicadores proceso'!A:X,22,FALSE)</f>
        <v>60</v>
      </c>
      <c r="M7" s="127">
        <f>VLOOKUP(A7,'Bateria indicadores proceso'!A:X,23,FALSE)</f>
        <v>60</v>
      </c>
      <c r="N7" s="127">
        <f>VLOOKUP(A7,'Bateria indicadores proceso'!A:X,24,FALSE)</f>
        <v>220</v>
      </c>
      <c r="O7" s="127">
        <f>VLOOKUP(A7,'Bateria indicadores proceso'!A:AR,28,FALSE)</f>
        <v>40</v>
      </c>
      <c r="P7" s="127">
        <f>VLOOKUP(A7,'Bateria indicadores proceso'!A:AR,29,FALSE)</f>
        <v>60</v>
      </c>
      <c r="Q7" s="518" t="str">
        <f>VLOOKUP(A7,'Bateria indicadores proceso'!A:AR,30,FALSE)</f>
        <v>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003&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v>
      </c>
      <c r="R7" s="518" t="str">
        <f>VLOOKUP(A7,'Bateria indicadores proceso'!A:AR,31,FALSE)</f>
        <v xml:space="preserve">No se presentaron dificultades para realizar las actividades. </v>
      </c>
      <c r="S7" s="127">
        <f>VLOOKUP(A7,'Bateria indicadores proceso'!A:AR,32,FALSE)</f>
        <v>100</v>
      </c>
      <c r="T7" s="115">
        <f>VLOOKUP(A7,'Bateria indicadores proceso'!A:AT,45,FALSE)</f>
        <v>1</v>
      </c>
      <c r="U7" s="119">
        <f>VLOOKUP(A7,'Bateria indicadores proceso'!A:AT,46,FALSE)</f>
        <v>0.45454545454545453</v>
      </c>
      <c r="V7" s="116">
        <f t="shared" si="0"/>
        <v>7.0000000000000007E-2</v>
      </c>
      <c r="W7" s="116">
        <f t="shared" si="1"/>
        <v>3.1818181818181822E-2</v>
      </c>
      <c r="X7" s="97"/>
      <c r="Y7" s="128" t="str">
        <f>IF(VLOOKUP(A7,'Bateria indicadores proceso'!A:AT,36,FALSE)="","No registro avance",VLOOKUP(A7,'Bateria indicadores proceso'!A:AT,36,FALSE))</f>
        <v>Durante los meses de Abril, Mayo y Junio de 2026 la Oficina Asesora de Planeación envió cada mes a las diferentes dependencias del Ministerio del Interior 20 memorandos indicando el avance de ejecución presupuestal en el marco del seguimiento mensual. Durante el segundo trimestre del 2026 se enviaron 60 memorandos cumpliendo con el indicador.</v>
      </c>
      <c r="Z7" s="429" t="s">
        <v>1129</v>
      </c>
      <c r="AA7" s="129" t="str">
        <f>IF(VLOOKUP(A7,'Bateria indicadores proceso'!A:AT,37,FALSE)="","No reportó Evidencia",VLOOKUP(A7,'Bateria indicadores proceso'!A:AT,37,FALSE))</f>
        <v>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003&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v>
      </c>
      <c r="AB7" s="425" t="s">
        <v>1136</v>
      </c>
    </row>
    <row r="8" spans="1:28" s="4" customFormat="1" ht="202.5" customHeight="1">
      <c r="A8" s="92" t="s">
        <v>149</v>
      </c>
      <c r="B8" s="112" t="str">
        <f>VLOOKUP(A8,'Bateria indicadores proceso'!A:X,2,FALSE)</f>
        <v>ESTRATÉGICO</v>
      </c>
      <c r="C8" s="113" t="str">
        <f>VLOOKUP(A8,'Bateria indicadores proceso'!A:X,3,FALSE)</f>
        <v>PLANEACIÓN, DIRECCIONAMIENTO ESTRATÉGICO Y COMUNICACIONES</v>
      </c>
      <c r="D8" s="113" t="str">
        <f>VLOOKUP(A8,'Bateria indicadores proceso'!A:X,7,FALSE)</f>
        <v>Oficina Asesora de Planeación</v>
      </c>
      <c r="E8" s="114">
        <f>VLOOKUP(A8,'Bateria indicadores proceso'!A:X,4,FALSE)</f>
        <v>0.6</v>
      </c>
      <c r="F8" s="114">
        <f>VLOOKUP(A8,'Bateria indicadores proceso'!A:X,6,FALSE)</f>
        <v>0.06</v>
      </c>
      <c r="G8" s="114" t="str">
        <f>VLOOKUP(A8,'Bateria indicadores proceso'!A:X,12,FALSE)</f>
        <v xml:space="preserve">Trámites presupuestales gestionados </v>
      </c>
      <c r="H8" s="114" t="str">
        <f>VLOOKUP(A8,'Bateria indicadores proceso'!A:AB,10,FALSE)</f>
        <v>Eficacia</v>
      </c>
      <c r="I8" s="114" t="str">
        <f>VLOOKUP(A8,'Bateria indicadores proceso'!A:AB,16,FALSE)</f>
        <v>Porcentaje</v>
      </c>
      <c r="J8" s="125">
        <f>VLOOKUP(A8,'Bateria indicadores proceso'!A:X,20,FALSE)</f>
        <v>1</v>
      </c>
      <c r="K8" s="125">
        <f>VLOOKUP(A8,'Bateria indicadores proceso'!A:X,21,FALSE)</f>
        <v>1</v>
      </c>
      <c r="L8" s="125">
        <f>VLOOKUP(A8,'Bateria indicadores proceso'!A:X,22,FALSE)</f>
        <v>1</v>
      </c>
      <c r="M8" s="125">
        <f>VLOOKUP(A8,'Bateria indicadores proceso'!A:X,23,FALSE)</f>
        <v>1</v>
      </c>
      <c r="N8" s="126">
        <f>VLOOKUP(A8,'Bateria indicadores proceso'!A:X,24,FALSE)</f>
        <v>1</v>
      </c>
      <c r="O8" s="126">
        <f>VLOOKUP(A8,'Bateria indicadores proceso'!A:AR,28,FALSE)</f>
        <v>1</v>
      </c>
      <c r="P8" s="126">
        <f>VLOOKUP(A8,'Bateria indicadores proceso'!A:AR,29,FALSE)</f>
        <v>1</v>
      </c>
      <c r="Q8" s="126">
        <f>VLOOKUP(A8,'Bateria indicadores proceso'!A:AR,30,FALSE)</f>
        <v>0</v>
      </c>
      <c r="R8" s="126">
        <f>VLOOKUP(A8,'Bateria indicadores proceso'!A:AR,31,FALSE)</f>
        <v>0</v>
      </c>
      <c r="S8" s="126">
        <f>VLOOKUP(A8,'Bateria indicadores proceso'!A:AR,32,FALSE)</f>
        <v>1</v>
      </c>
      <c r="T8" s="115">
        <f>VLOOKUP(A8,'Bateria indicadores proceso'!A:AT,45,FALSE)</f>
        <v>1</v>
      </c>
      <c r="U8" s="119">
        <f>VLOOKUP(A8,'Bateria indicadores proceso'!A:AT,46,FALSE)</f>
        <v>1</v>
      </c>
      <c r="V8" s="116">
        <f t="shared" si="0"/>
        <v>0.06</v>
      </c>
      <c r="W8" s="116">
        <f t="shared" si="1"/>
        <v>0.06</v>
      </c>
      <c r="X8" s="98"/>
      <c r="Y8" s="128" t="str">
        <f>IF(VLOOKUP(A8,'Bateria indicadores proceso'!A:AT,36,FALSE)="","No registro avance",VLOOKUP(A8,'Bateria indicadores proceso'!A:AT,36,FALSE))</f>
        <v>Durante los meses de Abril, Mayo y Junio de 2026 la Oficina Asesora de Planeación gestionó todos los tramites presupuestales solicitados. Un total de 5 tramites presupuestales, enfocados en traslados presupuestales.</v>
      </c>
      <c r="Z8" s="429" t="s">
        <v>1129</v>
      </c>
      <c r="AA8" s="129" t="str">
        <f>IF(VLOOKUP(A8,'Bateria indicadores proceso'!A:AT,37,FALSE)="","No reportó Evidencia",VLOOKUP(A8,'Bateria indicadores proceso'!A:AT,37,FALSE))</f>
        <v>https://mininteriorgovco.sharepoint.com/sites/EvidenciasOAP/Documentos%20compartidos/Forms/AllItems.aspx?id=%2Fsites%2FEvidenciasOAP%2FDocumentos%20compartidos%2FEvidencias%20Indicadores%20de%20Proceso%202026%2F01%2E%20Planeaci%C3%B3n%2C%20Direccionamiento%20Estrat%C3%A9gico%20y%20Comunicaciones%2FII%20Trimestre%2FOficina%20Asesora%20de%20Planeaci%C3%B3n%2FInd004&amp;viewid=f06b705c%2D1d5c%2D4fc5%2Db2b2%2D6247424e1781&amp;csf=1&amp;CT=1783456102567&amp;OR=OWA%2DNT%2DMail&amp;CID=69499e18%2Dc41c%2De8bc%2D9fad%2D48559e03b6ef&amp;SI=NonSentItems&amp;clickParams=eyJYLUFwcE5hbWUiOiJNaWNyb3NvZnQgT3V0bG9vayBXZWIgQXBwIiwiWC1BcHBWZXJzaW9uIjoiMjAyNjA2MjYwMDkuMDYiLCJPUyI6Ik1hYyBPUyBYIHVuZGVmaW5lZCJ9&amp;SLSync=F&amp;cidOR=Client&amp;FolderCTID=0x01200071BA4BEEC5A4884E88FD3CFB2470F298</v>
      </c>
      <c r="AB8" s="425" t="s">
        <v>1136</v>
      </c>
    </row>
    <row r="9" spans="1:28" s="4" customFormat="1" ht="202.5" customHeight="1">
      <c r="A9" s="92" t="s">
        <v>150</v>
      </c>
      <c r="B9" s="112" t="str">
        <f>VLOOKUP(A9,'Bateria indicadores proceso'!A:X,2,FALSE)</f>
        <v>ESTRATÉGICO</v>
      </c>
      <c r="C9" s="113" t="str">
        <f>VLOOKUP(A9,'Bateria indicadores proceso'!A:X,3,FALSE)</f>
        <v>PLANEACIÓN, DIRECCIONAMIENTO ESTRATÉGICO Y COMUNICACIONES</v>
      </c>
      <c r="D9" s="113" t="str">
        <f>VLOOKUP(A9,'Bateria indicadores proceso'!A:X,7,FALSE)</f>
        <v>Oficina Asesora de Planeación</v>
      </c>
      <c r="E9" s="114">
        <f>VLOOKUP(A9,'Bateria indicadores proceso'!A:X,4,FALSE)</f>
        <v>0.6</v>
      </c>
      <c r="F9" s="114">
        <f>VLOOKUP(A9,'Bateria indicadores proceso'!A:X,6,FALSE)</f>
        <v>0.1</v>
      </c>
      <c r="G9" s="114" t="str">
        <f>VLOOKUP(A9,'Bateria indicadores proceso'!A:X,12,FALSE)</f>
        <v>Sistema de Gestión Actualizado</v>
      </c>
      <c r="H9" s="114" t="str">
        <f>VLOOKUP(A9,'Bateria indicadores proceso'!A:AB,10,FALSE)</f>
        <v>Eficacia</v>
      </c>
      <c r="I9" s="114" t="str">
        <f>VLOOKUP(A9,'Bateria indicadores proceso'!A:AB,16,FALSE)</f>
        <v>Porcentaje</v>
      </c>
      <c r="J9" s="125">
        <f>VLOOKUP(A9,'Bateria indicadores proceso'!A:X,20,FALSE)</f>
        <v>1</v>
      </c>
      <c r="K9" s="125">
        <f>VLOOKUP(A9,'Bateria indicadores proceso'!A:X,21,FALSE)</f>
        <v>1</v>
      </c>
      <c r="L9" s="125">
        <f>VLOOKUP(A9,'Bateria indicadores proceso'!A:X,22,FALSE)</f>
        <v>1</v>
      </c>
      <c r="M9" s="125">
        <f>VLOOKUP(A9,'Bateria indicadores proceso'!A:X,23,FALSE)</f>
        <v>1</v>
      </c>
      <c r="N9" s="126">
        <f>VLOOKUP(A9,'Bateria indicadores proceso'!A:X,24,FALSE)</f>
        <v>1</v>
      </c>
      <c r="O9" s="126">
        <f>VLOOKUP(A9,'Bateria indicadores proceso'!A:AR,28,FALSE)</f>
        <v>1</v>
      </c>
      <c r="P9" s="126">
        <f>VLOOKUP(A9,'Bateria indicadores proceso'!A:AR,29,FALSE)</f>
        <v>1</v>
      </c>
      <c r="Q9" s="126">
        <f>VLOOKUP(A9,'Bateria indicadores proceso'!A:AR,30,FALSE)</f>
        <v>0</v>
      </c>
      <c r="R9" s="126">
        <f>VLOOKUP(A9,'Bateria indicadores proceso'!A:AR,31,FALSE)</f>
        <v>0</v>
      </c>
      <c r="S9" s="126">
        <f>VLOOKUP(A9,'Bateria indicadores proceso'!A:AR,32,FALSE)</f>
        <v>1</v>
      </c>
      <c r="T9" s="115">
        <f>VLOOKUP(A9,'Bateria indicadores proceso'!A:AT,45,FALSE)</f>
        <v>1</v>
      </c>
      <c r="U9" s="119">
        <f>VLOOKUP(A9,'Bateria indicadores proceso'!A:AT,46,FALSE)</f>
        <v>1</v>
      </c>
      <c r="V9" s="116">
        <f t="shared" si="0"/>
        <v>0.1</v>
      </c>
      <c r="W9" s="116">
        <f t="shared" si="1"/>
        <v>0.1</v>
      </c>
      <c r="X9" s="98"/>
      <c r="Y9" s="128" t="str">
        <f>IF(VLOOKUP(A9,'Bateria indicadores proceso'!A:AT,36,FALSE)="","No registro avance",VLOOKUP(A9,'Bateria indicadores proceso'!A:AT,36,FALSE))</f>
        <v>Durante el segundo trimestre, se realizó la actualización documental de un total de 89 documentos correspondiente a los procesos: Gestión de Bienes y Servicios, Gestión de Talento Humano; Gestión del Conjocimiento e Innovación; Gestión Documental y Archivo; Gestión Jurídica; Gestión Tecnológica; Planeación, Direccionamiento Estrategico y Comunicaciones; y, Seguimiento y Evaluación a la Gestión
Estas actualizaciones se distribuyeron a lo largo del trimestre de la siguiente manera:
Abril (14): 2 del proceso Gestión Jurídica, 5 del proceso de Gestión del Talento Humano, 2 del Proceso de Gestión del Conocimiento e Innovación, y 5 del proceso Gestión de Bienes y Servicios
Mayo (23): 11 del proceso Gestión del Talento Humano, 3 del proceso de Gestión del Conocimiento e Innovación, 5 del proceso de Gestión Documental y Archivo, 3 del Procesos de Gestión Jurídica, y 01 del proceso de Gestión Tecnológica
Junio (52): 13 del Proceso de Bienes y Servicios, 24 del Proceso de Gestión del Talento Humano, 03 del Procesos de Planeación, Direccionamiento Estratégico y Comunicaciones, y 12 del Proceso de seguimiento y Evaluación a la Gestión</v>
      </c>
      <c r="Z9" s="428" t="s">
        <v>1129</v>
      </c>
      <c r="AA9" s="129" t="str">
        <f>IF(VLOOKUP(A9,'Bateria indicadores proceso'!A:AT,37,FALSE)="","No reportó Evidencia",VLOOKUP(A9,'Bateria indicadores proceso'!A:AT,37,FALSE))</f>
        <v>No reportó Evidencia</v>
      </c>
      <c r="AB9" s="637" t="s">
        <v>1134</v>
      </c>
    </row>
    <row r="10" spans="1:28" s="93" customFormat="1" ht="202.5" customHeight="1">
      <c r="A10" s="92" t="s">
        <v>151</v>
      </c>
      <c r="B10" s="112" t="str">
        <f>VLOOKUP(A10,'Bateria indicadores proceso'!A:X,2,FALSE)</f>
        <v>ESTRATÉGICO</v>
      </c>
      <c r="C10" s="113" t="str">
        <f>VLOOKUP(A10,'Bateria indicadores proceso'!A:X,3,FALSE)</f>
        <v>PLANEACIÓN, DIRECCIONAMIENTO ESTRATÉGICO Y COMUNICACIONES</v>
      </c>
      <c r="D10" s="113" t="str">
        <f>VLOOKUP(A10,'Bateria indicadores proceso'!A:X,7,FALSE)</f>
        <v>Oficina Asesora de Planeación</v>
      </c>
      <c r="E10" s="431">
        <f>VLOOKUP(A10,'Bateria indicadores proceso'!A:X,4,FALSE)</f>
        <v>0.6</v>
      </c>
      <c r="F10" s="431">
        <f>VLOOKUP(A10,'Bateria indicadores proceso'!A:X,6,FALSE)</f>
        <v>0.1</v>
      </c>
      <c r="G10" s="431" t="str">
        <f>VLOOKUP(A10,'Bateria indicadores proceso'!A:X,12,FALSE)</f>
        <v>Nivel de Cumplimiento de Indicadores de Proceso Trimestralmente</v>
      </c>
      <c r="H10" s="114" t="str">
        <f>VLOOKUP(A10,'Bateria indicadores proceso'!A:AB,10,FALSE)</f>
        <v>Eficacia</v>
      </c>
      <c r="I10" s="114" t="str">
        <f>VLOOKUP(A10,'Bateria indicadores proceso'!A:AB,16,FALSE)</f>
        <v>Porcentaje</v>
      </c>
      <c r="J10" s="432">
        <f>VLOOKUP(A10,'Bateria indicadores proceso'!A:X,20,FALSE)</f>
        <v>0.8</v>
      </c>
      <c r="K10" s="125">
        <f>VLOOKUP(A10,'Bateria indicadores proceso'!A:X,21,FALSE)</f>
        <v>0.8</v>
      </c>
      <c r="L10" s="432">
        <f>VLOOKUP(A10,'Bateria indicadores proceso'!A:X,22,FALSE)</f>
        <v>0.8</v>
      </c>
      <c r="M10" s="432">
        <f>VLOOKUP(A10,'Bateria indicadores proceso'!A:X,23,FALSE)</f>
        <v>0.8</v>
      </c>
      <c r="N10" s="126">
        <f>VLOOKUP(A10,'Bateria indicadores proceso'!A:X,24,FALSE)</f>
        <v>0.8</v>
      </c>
      <c r="O10" s="433">
        <f>VLOOKUP(A10,'Bateria indicadores proceso'!A:AR,28,FALSE)</f>
        <v>0.90361445783132532</v>
      </c>
      <c r="P10" s="126">
        <f>VLOOKUP(A10,'Bateria indicadores proceso'!A:AR,29,FALSE)</f>
        <v>0.90361445783132532</v>
      </c>
      <c r="Q10" s="433">
        <f>VLOOKUP(A10,'Bateria indicadores proceso'!A:AR,30,FALSE)</f>
        <v>0</v>
      </c>
      <c r="R10" s="433">
        <f>VLOOKUP(A10,'Bateria indicadores proceso'!A:AR,31,FALSE)</f>
        <v>0</v>
      </c>
      <c r="S10" s="126">
        <f>VLOOKUP(A10,'Bateria indicadores proceso'!A:AR,32,FALSE)</f>
        <v>0.90361445783132532</v>
      </c>
      <c r="T10" s="115">
        <f>VLOOKUP(A10,'Bateria indicadores proceso'!A:AT,45,FALSE)</f>
        <v>1.0000100000000001</v>
      </c>
      <c r="U10" s="119">
        <f>VLOOKUP(A10,'Bateria indicadores proceso'!A:AT,46,FALSE)</f>
        <v>1.0000100000000001</v>
      </c>
      <c r="V10" s="116">
        <f t="shared" si="0"/>
        <v>0.10000100000000001</v>
      </c>
      <c r="W10" s="116">
        <f t="shared" si="1"/>
        <v>0.10000100000000001</v>
      </c>
      <c r="X10" s="98"/>
      <c r="Y10" s="128" t="str">
        <f>IF(VLOOKUP(A10,'Bateria indicadores proceso'!A:AT,36,FALSE)="","No registro avance",VLOOKUP(A10,'Bateria indicadores proceso'!A:AT,36,FALSE))</f>
        <v>Durante el I trimestre, se realizó seguimiento al desempeño del Sistema Integrado de Gestión Institucional (SIGI), mediante el cumplimiento de la meta de los indicadores de proceso. Obteniendo un avance del 88% el cual explicado así: De un total de 83 indicadores de proceso definidos para el periodo, 65 indicadores cumplieron su meta y 10 indicadores no tenían programación para el trimestre.</v>
      </c>
      <c r="Z10" s="428" t="s">
        <v>1129</v>
      </c>
      <c r="AA10" s="129" t="str">
        <f>IF(VLOOKUP(A10,'Bateria indicadores proceso'!A:AT,37,FALSE)="","No reportó Evidencia",VLOOKUP(A10,'Bateria indicadores proceso'!A:AT,37,FALSE))</f>
        <v>No reportó Evidencia</v>
      </c>
      <c r="AB10" s="637" t="s">
        <v>1134</v>
      </c>
    </row>
    <row r="11" spans="1:28" s="4" customFormat="1" ht="202.5" customHeight="1">
      <c r="A11" s="92" t="s">
        <v>152</v>
      </c>
      <c r="B11" s="112" t="str">
        <f>VLOOKUP(A11,'Bateria indicadores proceso'!A:X,2,FALSE)</f>
        <v>ESTRATÉGICO</v>
      </c>
      <c r="C11" s="113" t="str">
        <f>VLOOKUP(A11,'Bateria indicadores proceso'!A:X,3,FALSE)</f>
        <v>PLANEACIÓN, DIRECCIONAMIENTO ESTRATÉGICO Y COMUNICACIONES</v>
      </c>
      <c r="D11" s="113" t="str">
        <f>VLOOKUP(A11,'Bateria indicadores proceso'!A:X,7,FALSE)</f>
        <v>Grupo de Coordinación del Gabinete del Ministerio del Interior</v>
      </c>
      <c r="E11" s="114">
        <f>VLOOKUP(A11,'Bateria indicadores proceso'!A:X,4,FALSE)</f>
        <v>0.2</v>
      </c>
      <c r="F11" s="114">
        <f>VLOOKUP(A11,'Bateria indicadores proceso'!A:X,6,FALSE)</f>
        <v>0.2</v>
      </c>
      <c r="G11" s="114" t="str">
        <f>VLOOKUP(A11,'Bateria indicadores proceso'!A:X,12,FALSE)</f>
        <v xml:space="preserve">Actividades de cooperación internacional ejecutadas conforme al cronograma programado							</v>
      </c>
      <c r="H11" s="114" t="str">
        <f>VLOOKUP(A11,'Bateria indicadores proceso'!A:AB,10,FALSE)</f>
        <v>Eficacia</v>
      </c>
      <c r="I11" s="114" t="str">
        <f>VLOOKUP(A11,'Bateria indicadores proceso'!A:AB,16,FALSE)</f>
        <v>Porcentaje</v>
      </c>
      <c r="J11" s="125">
        <f>VLOOKUP(A11,'Bateria indicadores proceso'!A:X,20,FALSE)</f>
        <v>1</v>
      </c>
      <c r="K11" s="125">
        <f>VLOOKUP(A11,'Bateria indicadores proceso'!A:X,21,FALSE)</f>
        <v>1</v>
      </c>
      <c r="L11" s="125">
        <f>VLOOKUP(A11,'Bateria indicadores proceso'!A:X,22,FALSE)</f>
        <v>1</v>
      </c>
      <c r="M11" s="125">
        <f>VLOOKUP(A11,'Bateria indicadores proceso'!A:X,23,FALSE)</f>
        <v>1</v>
      </c>
      <c r="N11" s="126">
        <f>VLOOKUP(A11,'Bateria indicadores proceso'!A:X,24,FALSE)</f>
        <v>1</v>
      </c>
      <c r="O11" s="126">
        <f>VLOOKUP(A11,'Bateria indicadores proceso'!A:AR,28,FALSE)</f>
        <v>1</v>
      </c>
      <c r="P11" s="126">
        <f>VLOOKUP(A11,'Bateria indicadores proceso'!A:AR,29,FALSE)</f>
        <v>1</v>
      </c>
      <c r="Q11" s="126">
        <f>VLOOKUP(A11,'Bateria indicadores proceso'!A:AR,30,FALSE)</f>
        <v>0</v>
      </c>
      <c r="R11" s="126">
        <f>VLOOKUP(A11,'Bateria indicadores proceso'!A:AR,31,FALSE)</f>
        <v>0</v>
      </c>
      <c r="S11" s="126">
        <f>VLOOKUP(A11,'Bateria indicadores proceso'!A:AR,32,FALSE)</f>
        <v>1</v>
      </c>
      <c r="T11" s="115">
        <f>VLOOKUP(A11,'Bateria indicadores proceso'!A:AT,45,FALSE)</f>
        <v>1</v>
      </c>
      <c r="U11" s="119">
        <f>VLOOKUP(A11,'Bateria indicadores proceso'!A:AT,46,FALSE)</f>
        <v>1</v>
      </c>
      <c r="V11" s="116">
        <f t="shared" si="0"/>
        <v>0.2</v>
      </c>
      <c r="W11" s="116">
        <f t="shared" si="1"/>
        <v>0.2</v>
      </c>
      <c r="X11" s="98"/>
      <c r="Y11" s="128" t="str">
        <f>IF(VLOOKUP(A11,'Bateria indicadores proceso'!A:AT,36,FALSE)="","No registro avance",VLOOKUP(A11,'Bateria indicadores proceso'!A:AT,36,FALSE))</f>
        <v>Durante el segundo trimestre de 2026, el Grupo Interno de Trabajo de Gabinete avanzó en la ejecución de las (11) actividades programadas en materia de cooperación internacional, mediante la actualización del Procedimiento de Gestión de la Cooperación Internacional y el desarrollo de la Matriz de Diagnóstico de Necesidades de Cooperación Internacional del Ministerio del Interior, instrumentos orientados a fortalecer la identificación, priorización, gestión y seguimiento de oportunidades de cooperación de acuerdo con las necesidades institucionales. De manera complementaria, se adelantaron acciones de relacionamiento, articulación, gestión y seguimiento con HWPL, la CEPAL, las Embajadas de Suiza, la República Popular China, Australia, Estados Unidos, Irlanda y Suecia, así como con la GIZ – Cooperación Alemana para el Desarrollo, dirigidas al seguimiento y construcción de memorandos de acuerdo y entendimiento, la definición de agendas bilaterales, la identificación de prioridades institucionales y oportunidades de cooperación técnica, el intercambio de conocimientos y la exploración de posibles líneas de trabajo conjunto para el fortalecimiento institucional.</v>
      </c>
      <c r="Z11" s="428" t="s">
        <v>1129</v>
      </c>
      <c r="AA11" s="129" t="str">
        <f>IF(VLOOKUP(A11,'Bateria indicadores proceso'!A:AT,37,FALSE)="","No reportó Evidencia",VLOOKUP(A11,'Bateria indicadores proceso'!A:AT,37,FALSE))</f>
        <v>https://mininteriorgovco.sharepoint.com/sites/EvidenciasOAP/Documentos%20compartidos/Forms/AllItems.aspx?id=%2Fsites%2FEvidenciasOAP%2FDocumentos%20compartidos%2FEvidencias%20Indicadores%20de%20Proceso%202026%2F01%2E%20Planeaci%C3%B3n%2C%20Direccionamiento%20Estrat%C3%A9gico%20y%20Comunicaciones%2FI%20Trimestre%2FGrupo%20de%20Gabinete%20del%20Ministerio%20del%20Interior%2FInd007&amp;p=true&amp;ct=1776108558081&amp;or=OWA%2DNT%2DMail&amp;cid=d9ecf1c7%2D0ba5%2Df638%2D16de%2Dc7c9b21b61fe&amp;ga=1&amp;LOF=1</v>
      </c>
      <c r="AB11" s="425" t="s">
        <v>1130</v>
      </c>
    </row>
    <row r="12" spans="1:28" s="4" customFormat="1" ht="202.5" customHeight="1">
      <c r="A12" s="92" t="s">
        <v>153</v>
      </c>
      <c r="B12" s="112" t="str">
        <f>VLOOKUP(A12,'Bateria indicadores proceso'!A:X,2,FALSE)</f>
        <v>ESTRATÉGICO</v>
      </c>
      <c r="C12" s="113" t="str">
        <f>VLOOKUP(A12,'Bateria indicadores proceso'!A:X,3,FALSE)</f>
        <v>PLANEACIÓN, DIRECCIONAMIENTO ESTRATÉGICO Y COMUNICACIONES</v>
      </c>
      <c r="D12" s="113" t="str">
        <f>VLOOKUP(A12,'Bateria indicadores proceso'!A:X,7,FALSE)</f>
        <v>Oficina de Información Pública del Interior</v>
      </c>
      <c r="E12" s="114">
        <f>VLOOKUP(A12,'Bateria indicadores proceso'!A:X,4,FALSE)</f>
        <v>0.2</v>
      </c>
      <c r="F12" s="114">
        <f>VLOOKUP(A12,'Bateria indicadores proceso'!A:X,6,FALSE)</f>
        <v>0.1</v>
      </c>
      <c r="G12" s="114" t="str">
        <f>VLOOKUP(A12,'Bateria indicadores proceso'!A:X,12,FALSE)</f>
        <v xml:space="preserve">	Comunicados de prensa, entrevistas y ruedas de prensa gestionados de acuerdo con las necesidades de comunicación interna y externa de la entidad. 							</v>
      </c>
      <c r="H12" s="114" t="str">
        <f>VLOOKUP(A12,'Bateria indicadores proceso'!A:AB,10,FALSE)</f>
        <v>Eficacia</v>
      </c>
      <c r="I12" s="114" t="str">
        <f>VLOOKUP(A12,'Bateria indicadores proceso'!A:AB,16,FALSE)</f>
        <v>Porcentaje</v>
      </c>
      <c r="J12" s="125">
        <f>VLOOKUP(A12,'Bateria indicadores proceso'!A:X,20,FALSE)</f>
        <v>1</v>
      </c>
      <c r="K12" s="125">
        <f>VLOOKUP(A12,'Bateria indicadores proceso'!A:X,21,FALSE)</f>
        <v>1</v>
      </c>
      <c r="L12" s="125">
        <f>VLOOKUP(A12,'Bateria indicadores proceso'!A:X,22,FALSE)</f>
        <v>1</v>
      </c>
      <c r="M12" s="125">
        <f>VLOOKUP(A12,'Bateria indicadores proceso'!A:X,23,FALSE)</f>
        <v>1</v>
      </c>
      <c r="N12" s="126">
        <f>VLOOKUP(A12,'Bateria indicadores proceso'!A:X,24,FALSE)</f>
        <v>1</v>
      </c>
      <c r="O12" s="126">
        <f>VLOOKUP(A12,'Bateria indicadores proceso'!A:AR,28,FALSE)</f>
        <v>1</v>
      </c>
      <c r="P12" s="126">
        <f>VLOOKUP(A12,'Bateria indicadores proceso'!A:AR,29,FALSE)</f>
        <v>1</v>
      </c>
      <c r="Q12" s="126">
        <f>VLOOKUP(A12,'Bateria indicadores proceso'!A:AR,30,FALSE)</f>
        <v>0</v>
      </c>
      <c r="R12" s="126">
        <f>VLOOKUP(A12,'Bateria indicadores proceso'!A:AR,31,FALSE)</f>
        <v>0</v>
      </c>
      <c r="S12" s="126">
        <f>VLOOKUP(A12,'Bateria indicadores proceso'!A:AR,32,FALSE)</f>
        <v>1</v>
      </c>
      <c r="T12" s="115">
        <f>VLOOKUP(A12,'Bateria indicadores proceso'!A:AT,45,FALSE)</f>
        <v>1</v>
      </c>
      <c r="U12" s="119">
        <f>VLOOKUP(A12,'Bateria indicadores proceso'!A:AT,46,FALSE)</f>
        <v>1</v>
      </c>
      <c r="V12" s="116">
        <f t="shared" si="0"/>
        <v>0.1</v>
      </c>
      <c r="W12" s="116">
        <f t="shared" si="1"/>
        <v>0.1</v>
      </c>
      <c r="X12" s="98"/>
      <c r="Y12" s="128" t="str">
        <f>IF(VLOOKUP(A12,'Bateria indicadores proceso'!A:AT,36,FALSE)="","No registro avance",VLOOKUP(A12,'Bateria indicadores proceso'!A:AT,36,FALSE))</f>
        <v>Durante el segundo trimestre, se gestionaron un total de 590 publicaciones, 55 comunicados de prensa y 19 ruedas de prensa y declaraciones oficiales. Estas acciones hicieron parte del total de 664 solicitudes recibidas y gestionadas durante el periodo.
Con base en la fórmula del indicador, el resultado alcanzado fue del 100% de cumplimiento, obtenido a partir de la atención de la totalidad de las 664 solicitudes gestionadas, evidenciando la capacidad de respuesta oportuna y efectiva.</v>
      </c>
      <c r="Z12" s="429" t="s">
        <v>1129</v>
      </c>
      <c r="AA12" s="129" t="str">
        <f>IF(VLOOKUP(A12,'Bateria indicadores proceso'!A:AT,37,FALSE)="","No reportó Evidencia",VLOOKUP(A12,'Bateria indicadores proceso'!A:AT,37,FALSE))</f>
        <v>https://mininteriorgovco.sharepoint.com/:f:/r/sites/EvidenciasOAP/Documentos%20compartidos/Evidencias%20Indicadores%20de%20Proceso%202026/01.%20Planeaci%C3%B3n,%20Direccionamiento%20Estrat%C3%A9gico%20y%20Comunicaciones/II%20Trimestre/Grupo%20Comunicaciones/Ind008?csf=1&amp;web=1&amp;e=LhvvjP</v>
      </c>
      <c r="AB12" s="425" t="s">
        <v>1130</v>
      </c>
    </row>
    <row r="13" spans="1:28" s="4" customFormat="1" ht="202.5" customHeight="1">
      <c r="A13" s="92" t="s">
        <v>154</v>
      </c>
      <c r="B13" s="112" t="str">
        <f>VLOOKUP(A13,'Bateria indicadores proceso'!A:X,2,FALSE)</f>
        <v>ESTRATÉGICO</v>
      </c>
      <c r="C13" s="113" t="str">
        <f>VLOOKUP(A13,'Bateria indicadores proceso'!A:X,3,FALSE)</f>
        <v>PLANEACIÓN, DIRECCIONAMIENTO ESTRATÉGICO Y COMUNICACIONES</v>
      </c>
      <c r="D13" s="113" t="str">
        <f>VLOOKUP(A13,'Bateria indicadores proceso'!A:X,7,FALSE)</f>
        <v>Oficina de Información Pública del Interior</v>
      </c>
      <c r="E13" s="114">
        <f>VLOOKUP(A13,'Bateria indicadores proceso'!A:X,4,FALSE)</f>
        <v>0.2</v>
      </c>
      <c r="F13" s="114">
        <f>VLOOKUP(A13,'Bateria indicadores proceso'!A:X,6,FALSE)</f>
        <v>0.05</v>
      </c>
      <c r="G13" s="114" t="str">
        <f>VLOOKUP(A13,'Bateria indicadores proceso'!A:X,12,FALSE)</f>
        <v xml:space="preserve"> 		Piezas Gráficas, animaciones y publicaciones en redes sociales elaboradas y publicadas en los medios pertinentes. 							</v>
      </c>
      <c r="H13" s="114" t="str">
        <f>VLOOKUP(A13,'Bateria indicadores proceso'!A:AB,10,FALSE)</f>
        <v>Eficacia</v>
      </c>
      <c r="I13" s="114" t="str">
        <f>VLOOKUP(A13,'Bateria indicadores proceso'!A:AB,16,FALSE)</f>
        <v>Porcentaje</v>
      </c>
      <c r="J13" s="125">
        <f>VLOOKUP(A13,'Bateria indicadores proceso'!A:X,20,FALSE)</f>
        <v>1</v>
      </c>
      <c r="K13" s="125">
        <f>VLOOKUP(A13,'Bateria indicadores proceso'!A:X,21,FALSE)</f>
        <v>1</v>
      </c>
      <c r="L13" s="125">
        <f>VLOOKUP(A13,'Bateria indicadores proceso'!A:X,22,FALSE)</f>
        <v>1</v>
      </c>
      <c r="M13" s="125">
        <f>VLOOKUP(A13,'Bateria indicadores proceso'!A:X,23,FALSE)</f>
        <v>1</v>
      </c>
      <c r="N13" s="126">
        <f>VLOOKUP(A13,'Bateria indicadores proceso'!A:X,24,FALSE)</f>
        <v>1</v>
      </c>
      <c r="O13" s="126">
        <f>VLOOKUP(A13,'Bateria indicadores proceso'!A:AR,28,FALSE)</f>
        <v>1</v>
      </c>
      <c r="P13" s="126">
        <f>VLOOKUP(A13,'Bateria indicadores proceso'!A:AR,29,FALSE)</f>
        <v>1</v>
      </c>
      <c r="Q13" s="126">
        <f>VLOOKUP(A13,'Bateria indicadores proceso'!A:AR,30,FALSE)</f>
        <v>0</v>
      </c>
      <c r="R13" s="126">
        <f>VLOOKUP(A13,'Bateria indicadores proceso'!A:AR,31,FALSE)</f>
        <v>0</v>
      </c>
      <c r="S13" s="126">
        <f>VLOOKUP(A13,'Bateria indicadores proceso'!A:AR,32,FALSE)</f>
        <v>1</v>
      </c>
      <c r="T13" s="115">
        <f>VLOOKUP(A13,'Bateria indicadores proceso'!A:AT,45,FALSE)</f>
        <v>1</v>
      </c>
      <c r="U13" s="119">
        <f>VLOOKUP(A13,'Bateria indicadores proceso'!A:AT,46,FALSE)</f>
        <v>1</v>
      </c>
      <c r="V13" s="116">
        <f t="shared" si="0"/>
        <v>0.05</v>
      </c>
      <c r="W13" s="116">
        <f t="shared" si="1"/>
        <v>0.05</v>
      </c>
      <c r="X13" s="98"/>
      <c r="Y13" s="128" t="str">
        <f>IF(VLOOKUP(A13,'Bateria indicadores proceso'!A:AT,36,FALSE)="","No registro avance",VLOOKUP(A13,'Bateria indicadores proceso'!A:AT,36,FALSE))</f>
        <v>Durante el segundo trimestre, la gestión de diseño y comunicación digital atendió solicitudes para campañas internas y externas, así como la producción de contenidos para redes sociales institucionales.
En total, se gestionaron 1.315 piezas gráficas, animaciones y publicaciones en redes sociales, durante los meses de abril, mayo y junio.
Con base en la fórmula del indicador, se alcanzó un cumplimiento del 100%, al atender la totalidad de las solicitudes recibidas en el periodo evaluado.</v>
      </c>
      <c r="Z13" s="428" t="s">
        <v>1129</v>
      </c>
      <c r="AA13" s="129" t="str">
        <f>IF(VLOOKUP(A13,'Bateria indicadores proceso'!A:AT,37,FALSE)="","No reportó Evidencia",VLOOKUP(A13,'Bateria indicadores proceso'!A:AT,37,FALSE))</f>
        <v>https://mininteriorgovco.sharepoint.com/:f:/r/sites/EvidenciasOAP/Documentos%20compartidos/Evidencias%20Indicadores%20de%20Proceso%202026/01.%20Planeaci%C3%B3n,%20Direccionamiento%20Estrat%C3%A9gico%20y%20Comunicaciones/II%20Trimestre/Grupo%20Comunicaciones/Ind009?csf=1&amp;web=1&amp;e=QVRG1K</v>
      </c>
      <c r="AB13" s="425" t="s">
        <v>1130</v>
      </c>
    </row>
    <row r="14" spans="1:28" s="4" customFormat="1" ht="202.5" customHeight="1">
      <c r="A14" s="92" t="s">
        <v>155</v>
      </c>
      <c r="B14" s="112" t="str">
        <f>VLOOKUP(A14,'Bateria indicadores proceso'!A:X,2,FALSE)</f>
        <v>ESTRATÉGICO</v>
      </c>
      <c r="C14" s="113" t="str">
        <f>VLOOKUP(A14,'Bateria indicadores proceso'!A:X,3,FALSE)</f>
        <v>PLANEACIÓN, DIRECCIONAMIENTO ESTRATÉGICO Y COMUNICACIONES</v>
      </c>
      <c r="D14" s="113" t="str">
        <f>VLOOKUP(A14,'Bateria indicadores proceso'!A:X,7,FALSE)</f>
        <v>Oficina de Información Pública del Interior</v>
      </c>
      <c r="E14" s="114">
        <f>VLOOKUP(A14,'Bateria indicadores proceso'!A:X,4,FALSE)</f>
        <v>0.2</v>
      </c>
      <c r="F14" s="114">
        <f>VLOOKUP(A14,'Bateria indicadores proceso'!A:X,6,FALSE)</f>
        <v>0.05</v>
      </c>
      <c r="G14" s="114" t="str">
        <f>VLOOKUP(A14,'Bateria indicadores proceso'!A:X,12,FALSE)</f>
        <v xml:space="preserve">Piezas audiovisuales y de imagen gestionados de acuerdo con las necesidades de comunicación interna y externa de la entidad. 									</v>
      </c>
      <c r="H14" s="114" t="str">
        <f>VLOOKUP(A14,'Bateria indicadores proceso'!A:AB,10,FALSE)</f>
        <v>Eficacia</v>
      </c>
      <c r="I14" s="114" t="str">
        <f>VLOOKUP(A14,'Bateria indicadores proceso'!A:AB,16,FALSE)</f>
        <v>Porcentaje</v>
      </c>
      <c r="J14" s="125">
        <f>VLOOKUP(A14,'Bateria indicadores proceso'!A:X,20,FALSE)</f>
        <v>1</v>
      </c>
      <c r="K14" s="125">
        <f>VLOOKUP(A14,'Bateria indicadores proceso'!A:X,21,FALSE)</f>
        <v>1</v>
      </c>
      <c r="L14" s="125">
        <f>VLOOKUP(A14,'Bateria indicadores proceso'!A:X,22,FALSE)</f>
        <v>1</v>
      </c>
      <c r="M14" s="125">
        <f>VLOOKUP(A14,'Bateria indicadores proceso'!A:X,23,FALSE)</f>
        <v>1</v>
      </c>
      <c r="N14" s="126">
        <f>VLOOKUP(A14,'Bateria indicadores proceso'!A:X,24,FALSE)</f>
        <v>1</v>
      </c>
      <c r="O14" s="126">
        <f>VLOOKUP(A14,'Bateria indicadores proceso'!A:AR,28,FALSE)</f>
        <v>1</v>
      </c>
      <c r="P14" s="126">
        <f>VLOOKUP(A14,'Bateria indicadores proceso'!A:AR,29,FALSE)</f>
        <v>1</v>
      </c>
      <c r="Q14" s="126">
        <f>VLOOKUP(A14,'Bateria indicadores proceso'!A:AR,30,FALSE)</f>
        <v>0</v>
      </c>
      <c r="R14" s="126">
        <f>VLOOKUP(A14,'Bateria indicadores proceso'!A:AR,31,FALSE)</f>
        <v>0</v>
      </c>
      <c r="S14" s="126">
        <f>VLOOKUP(A14,'Bateria indicadores proceso'!A:AR,32,FALSE)</f>
        <v>1</v>
      </c>
      <c r="T14" s="115">
        <f>VLOOKUP(A14,'Bateria indicadores proceso'!A:AT,45,FALSE)</f>
        <v>1</v>
      </c>
      <c r="U14" s="119">
        <f>VLOOKUP(A14,'Bateria indicadores proceso'!A:AT,46,FALSE)</f>
        <v>1</v>
      </c>
      <c r="V14" s="116">
        <f t="shared" si="0"/>
        <v>0.05</v>
      </c>
      <c r="W14" s="116">
        <f t="shared" si="1"/>
        <v>0.05</v>
      </c>
      <c r="X14" s="98"/>
      <c r="Y14" s="128" t="str">
        <f>IF(VLOOKUP(A14,'Bateria indicadores proceso'!A:AT,36,FALSE)="","No registro avance",VLOOKUP(A14,'Bateria indicadores proceso'!A:AT,36,FALSE))</f>
        <v>Durante el segundo trimestre se alcanzó un cumplimiento del 100%, resultado que se obtiene al dividir el número de piezas audiovisuales e imágenes efectivamente gestionadas entre las solicitadas y multiplicar el resultado por cien. Este resultado corresponde a la suma de las solicitudes recibidas y atendidas durante los meses de abril, mayo y junio, evidenciando una atención completa y oportuna a los requerimientos del periodo. Lo anterior refleja eficiencia en la producción de contenidos y permitió fortalecer la difusión de información institucional, garantizando una comunicación constante con la ciudadanía, especialmente en el contexto de la coyuntura electoral y las acciones adelantadas por la entidad.</v>
      </c>
      <c r="Z14" s="428" t="s">
        <v>1129</v>
      </c>
      <c r="AA14" s="129" t="str">
        <f>IF(VLOOKUP(A14,'Bateria indicadores proceso'!A:AT,37,FALSE)="","No reportó Evidencia",VLOOKUP(A14,'Bateria indicadores proceso'!A:AT,37,FALSE))</f>
        <v>https://mininteriorgovco.sharepoint.com/:f:/r/sites/EvidenciasOAP/Documentos%20compartidos/Evidencias%20Indicadores%20de%20Proceso%202026/01.%20Planeaci%C3%B3n,%20Direccionamiento%20Estrat%C3%A9gico%20y%20Comunicaciones/II%20Trimestre/Grupo%20Comunicaciones/Ind010?csf=1&amp;web=1&amp;e=WQUjSe</v>
      </c>
      <c r="AB14" s="425" t="s">
        <v>1130</v>
      </c>
    </row>
    <row r="15" spans="1:28" s="4" customFormat="1" ht="202.5" customHeight="1">
      <c r="A15" s="92" t="s">
        <v>156</v>
      </c>
      <c r="B15" s="112" t="str">
        <f>VLOOKUP(A15,'Bateria indicadores proceso'!A:X,2,FALSE)</f>
        <v>ESTRATÉGICO</v>
      </c>
      <c r="C15" s="113" t="str">
        <f>VLOOKUP(A15,'Bateria indicadores proceso'!A:X,3,FALSE)</f>
        <v>GESTIÓN DEL CONOCIMIENTO Y LA INNOVACIÓN</v>
      </c>
      <c r="D15" s="113" t="str">
        <f>VLOOKUP(A15,'Bateria indicadores proceso'!A:X,7,FALSE)</f>
        <v>Oficina Asesora de Planeación</v>
      </c>
      <c r="E15" s="114">
        <f>VLOOKUP(A15,'Bateria indicadores proceso'!A:X,4,FALSE)</f>
        <v>1</v>
      </c>
      <c r="F15" s="114">
        <f>VLOOKUP(A15,'Bateria indicadores proceso'!A:X,6,FALSE)</f>
        <v>1</v>
      </c>
      <c r="G15" s="114" t="str">
        <f>VLOOKUP(A15,'Bateria indicadores proceso'!A:X,12,FALSE)</f>
        <v>Red de gestión del conocimiento y la innovación implementada en el Ministerio del Interior</v>
      </c>
      <c r="H15" s="114" t="str">
        <f>VLOOKUP(A15,'Bateria indicadores proceso'!A:AB,10,FALSE)</f>
        <v>Efectividad</v>
      </c>
      <c r="I15" s="114" t="str">
        <f>VLOOKUP(A15,'Bateria indicadores proceso'!A:AB,16,FALSE)</f>
        <v>Número</v>
      </c>
      <c r="J15" s="127">
        <f>VLOOKUP(A15,'Bateria indicadores proceso'!A:X,20,FALSE)</f>
        <v>100</v>
      </c>
      <c r="K15" s="127">
        <f>VLOOKUP(A15,'Bateria indicadores proceso'!A:X,21,FALSE)</f>
        <v>100</v>
      </c>
      <c r="L15" s="127">
        <f>VLOOKUP(A15,'Bateria indicadores proceso'!A:X,22,FALSE)</f>
        <v>100</v>
      </c>
      <c r="M15" s="127">
        <f>VLOOKUP(A15,'Bateria indicadores proceso'!A:X,23,FALSE)</f>
        <v>100</v>
      </c>
      <c r="N15" s="127">
        <f>VLOOKUP(A15,'Bateria indicadores proceso'!A:X,24,FALSE)</f>
        <v>400</v>
      </c>
      <c r="O15" s="127">
        <f>VLOOKUP(A15,'Bateria indicadores proceso'!A:AR,28,FALSE)</f>
        <v>100</v>
      </c>
      <c r="P15" s="127">
        <f>VLOOKUP(A15,'Bateria indicadores proceso'!A:AR,29,FALSE)</f>
        <v>100</v>
      </c>
      <c r="Q15" s="127">
        <f>VLOOKUP(A15,'Bateria indicadores proceso'!A:AR,30,FALSE)</f>
        <v>0</v>
      </c>
      <c r="R15" s="127">
        <f>VLOOKUP(A15,'Bateria indicadores proceso'!A:AR,31,FALSE)</f>
        <v>0</v>
      </c>
      <c r="S15" s="127">
        <f>VLOOKUP(A15,'Bateria indicadores proceso'!A:AR,32,FALSE)</f>
        <v>100</v>
      </c>
      <c r="T15" s="115">
        <f>VLOOKUP(A15,'Bateria indicadores proceso'!A:AT,45,FALSE)</f>
        <v>1</v>
      </c>
      <c r="U15" s="119">
        <f>VLOOKUP(A15,'Bateria indicadores proceso'!A:AT,46,FALSE)</f>
        <v>0.25</v>
      </c>
      <c r="V15" s="116">
        <f t="shared" si="0"/>
        <v>1</v>
      </c>
      <c r="W15" s="116">
        <f t="shared" si="1"/>
        <v>0.25</v>
      </c>
      <c r="X15" s="98"/>
      <c r="Y15" s="128" t="str">
        <f>IF(VLOOKUP(A15,'Bateria indicadores proceso'!A:AT,36,FALSE)="","No registro avance",VLOOKUP(A15,'Bateria indicadores proceso'!A:AT,36,FALSE))</f>
        <v xml:space="preserve">Durante el Segundo trimestre, se desarrolló una Estartegia de difusión y marketing disruptiva y de alto impacto arrojando sumatoria de evaluación de satisfacción a 100 personas. </v>
      </c>
      <c r="Z15" s="429" t="s">
        <v>1129</v>
      </c>
      <c r="AA15" s="129" t="str">
        <f>IF(VLOOKUP(A15,'Bateria indicadores proceso'!A:AT,37,FALSE)="","No reportó Evidencia",VLOOKUP(A15,'Bateria indicadores proceso'!A:AT,37,FALSE))</f>
        <v>https://mininteriorgovco.sharepoint.com/sites/EvidenciasOAP/Documentos%20compartidos/Forms/AllItems.aspx?id=%2Fsites%2FEvidenciasOAP%2FDocumentos%20compartidos%2FEvidencias%20Indicadores%20de%20Proceso%202026%2F02%2E%20Gesti%C3%B3n%20del%20Conocimiento%20e%20Innovaci%C3%B3n%2FII%20Trimestre%2FInd011%2FINDICADORES%20DE%20PROCESOS&amp;viewid=f06b705c%2D1d5c%2D4fc5%2Db2b2%2D6247424e1781&amp;sharingv2=true&amp;fromShare=true&amp;at=9&amp;CT=1782923938318&amp;OR=OWA%2DNT%2DMail&amp;CID=6e877087%2Debde%2Df5e3%2D4606%2D8278d4c104c0&amp;SI=NonSentItems&amp;clickParams=eyJYLUFwcE5hbWUiOiJNaWNyb3NvZnQgT3V0bG9vayBXZWIgQXBwIiwiWC1BcHBWZXJzaW9uIjoiMjAyNjA2MjYwMDkuMDQiLCJPUyI6IldpbmRvd3MgMTAifQ%3D%3D&amp;SLSync=F&amp;cidOR=Client&amp;FolderCTID=0x01200071BA4BEEC5A4884E88FD3CFB2470F298</v>
      </c>
      <c r="AB15" s="425" t="s">
        <v>1135</v>
      </c>
    </row>
    <row r="16" spans="1:28" s="93" customFormat="1" ht="202.5" customHeight="1">
      <c r="A16" s="92" t="s">
        <v>157</v>
      </c>
      <c r="B16" s="112" t="str">
        <f>VLOOKUP(A16,'Bateria indicadores proceso'!A:X,2,FALSE)</f>
        <v>ESTRATÉGICO</v>
      </c>
      <c r="C16" s="113" t="str">
        <f>VLOOKUP(A16,'Bateria indicadores proceso'!A:X,3,FALSE)</f>
        <v>GESTIÓN DEL TALENTO HUMANO</v>
      </c>
      <c r="D16" s="113" t="str">
        <f>VLOOKUP(A16,'Bateria indicadores proceso'!A:X,7,FALSE)</f>
        <v>Subdirección de Gestión Humana</v>
      </c>
      <c r="E16" s="114">
        <f>VLOOKUP(A16,'Bateria indicadores proceso'!A:X,4,FALSE)</f>
        <v>1</v>
      </c>
      <c r="F16" s="114">
        <f>VLOOKUP(A16,'Bateria indicadores proceso'!A:X,6,FALSE)</f>
        <v>0.14000000000000001</v>
      </c>
      <c r="G16" s="114" t="str">
        <f>VLOOKUP(A16,'Bateria indicadores proceso'!A:X,12,FALSE)</f>
        <v>Plan Institucional de Capacitación PIC ejecutado en el Ministerio del Interior</v>
      </c>
      <c r="H16" s="114" t="str">
        <f>VLOOKUP(A16,'Bateria indicadores proceso'!A:AB,10,FALSE)</f>
        <v>Eficacia</v>
      </c>
      <c r="I16" s="114" t="str">
        <f>VLOOKUP(A16,'Bateria indicadores proceso'!A:AB,16,FALSE)</f>
        <v>Número</v>
      </c>
      <c r="J16" s="127">
        <f>VLOOKUP(A16,'Bateria indicadores proceso'!A:X,20,FALSE)</f>
        <v>7</v>
      </c>
      <c r="K16" s="127">
        <f>VLOOKUP(A16,'Bateria indicadores proceso'!A:X,21,FALSE)</f>
        <v>11</v>
      </c>
      <c r="L16" s="127">
        <f>VLOOKUP(A16,'Bateria indicadores proceso'!A:X,22,FALSE)</f>
        <v>8</v>
      </c>
      <c r="M16" s="127">
        <f>VLOOKUP(A16,'Bateria indicadores proceso'!A:X,23,FALSE)</f>
        <v>5</v>
      </c>
      <c r="N16" s="127">
        <f>VLOOKUP(A16,'Bateria indicadores proceso'!A:X,24,FALSE)</f>
        <v>31</v>
      </c>
      <c r="O16" s="127">
        <f>VLOOKUP(A16,'Bateria indicadores proceso'!A:AR,28,FALSE)</f>
        <v>7</v>
      </c>
      <c r="P16" s="127">
        <f>VLOOKUP(A16,'Bateria indicadores proceso'!A:AR,29,FALSE)</f>
        <v>19</v>
      </c>
      <c r="Q16" s="127">
        <f>VLOOKUP(A16,'Bateria indicadores proceso'!A:AR,30,FALSE)</f>
        <v>0</v>
      </c>
      <c r="R16" s="127">
        <f>VLOOKUP(A16,'Bateria indicadores proceso'!A:AR,31,FALSE)</f>
        <v>0</v>
      </c>
      <c r="S16" s="127">
        <f>VLOOKUP(A16,'Bateria indicadores proceso'!A:AR,32,FALSE)</f>
        <v>26</v>
      </c>
      <c r="T16" s="115">
        <f>VLOOKUP(A16,'Bateria indicadores proceso'!A:AT,45,FALSE)</f>
        <v>1.0000100000000001</v>
      </c>
      <c r="U16" s="119">
        <f>VLOOKUP(A16,'Bateria indicadores proceso'!A:AT,46,FALSE)</f>
        <v>0.83870967741935487</v>
      </c>
      <c r="V16" s="116">
        <f t="shared" si="0"/>
        <v>0.14000140000000003</v>
      </c>
      <c r="W16" s="116">
        <f t="shared" si="1"/>
        <v>0.11741935483870969</v>
      </c>
      <c r="X16" s="98"/>
      <c r="Y16" s="128" t="str">
        <f>IF(VLOOKUP(A16,'Bateria indicadores proceso'!A:AT,36,FALSE)="","No registro avance",VLOOKUP(A16,'Bateria indicadores proceso'!A:AT,36,FALSE))</f>
        <v>En el segundo trimestre de la vigencia 2026, y de acuerdo con el Plan Institucional de Capacitación (PIC), se desarrollaron 19 actividades de formación, así:
Abril: 1. Bienes y Rentas. 2. Taller Inteligencia y Trabajo en Equipo. 3. Trámite de Cuentas de Cobro. 4. Viáticos. 5. Dinamizadores Ambientales. 6. Acuerdos de Gestión. 7. ControlDoc. 8. ICETEX.
Mayo: 9. Negociación Sindical y Derechos Colectivos. 10. Capacitación Gestión Documental – FUID. 11. Capacitación Gestión Documental – FUID II. 12. Taller Motivación, Autoconocimiento y Felicidad. 13. Taller Soy Más: Experiencias de Equipos Altamente Productivos. 14. Capacitación Archivos Electrónicos. 15. Integridad y Ética en la Gestión Pública.
Junio: 16. Organización de Archivos y Seguimiento. 17. Fortalecimiento de los Registros Administrativos. 18. Derecho Disciplinario. 19. Tablas de Retención Documental.</v>
      </c>
      <c r="Z16" s="429" t="s">
        <v>1129</v>
      </c>
      <c r="AA16" s="129" t="str">
        <f>IF(VLOOKUP(A16,'Bateria indicadores proceso'!A:AT,37,FALSE)="","No reportó Evidencia",VLOOKUP(A16,'Bateria indicadores proceso'!A:AT,37,FALSE))</f>
        <v>https://mininteriorgovco.sharepoint.com/:f:/r/sites/EvidenciasOAP/Documentos%20compartidos/Evidencias%20Indicadores%20de%20Proceso%202026/03.%20Gesti%C3%B3n%20del%20Talento%20Humano/II%20Trimestre/Ind.%20012?csf=1&amp;web=1&amp;e=2xZ8Ay</v>
      </c>
      <c r="AB16" s="425" t="s">
        <v>1136</v>
      </c>
    </row>
    <row r="17" spans="1:28" s="93" customFormat="1" ht="202.5" customHeight="1">
      <c r="A17" s="92" t="s">
        <v>158</v>
      </c>
      <c r="B17" s="112" t="str">
        <f>VLOOKUP(A17,'Bateria indicadores proceso'!A:X,2,FALSE)</f>
        <v>ESTRATÉGICO</v>
      </c>
      <c r="C17" s="113" t="str">
        <f>VLOOKUP(A17,'Bateria indicadores proceso'!A:X,3,FALSE)</f>
        <v>GESTIÓN DEL TALENTO HUMANO</v>
      </c>
      <c r="D17" s="113" t="str">
        <f>VLOOKUP(A17,'Bateria indicadores proceso'!A:X,7,FALSE)</f>
        <v>Subdirección de Gestión Humana</v>
      </c>
      <c r="E17" s="114">
        <f>VLOOKUP(A17,'Bateria indicadores proceso'!A:X,4,FALSE)</f>
        <v>1</v>
      </c>
      <c r="F17" s="114">
        <f>VLOOKUP(A17,'Bateria indicadores proceso'!A:X,6,FALSE)</f>
        <v>0.14000000000000001</v>
      </c>
      <c r="G17" s="114" t="str">
        <f>VLOOKUP(A17,'Bateria indicadores proceso'!A:X,12,FALSE)</f>
        <v xml:space="preserve">Programa insititucional de Bienestar Social ejecutado </v>
      </c>
      <c r="H17" s="114" t="str">
        <f>VLOOKUP(A17,'Bateria indicadores proceso'!A:AB,10,FALSE)</f>
        <v>Eficacia</v>
      </c>
      <c r="I17" s="114" t="str">
        <f>VLOOKUP(A17,'Bateria indicadores proceso'!A:AB,16,FALSE)</f>
        <v>Número</v>
      </c>
      <c r="J17" s="127">
        <f>VLOOKUP(A17,'Bateria indicadores proceso'!A:X,20,FALSE)</f>
        <v>4</v>
      </c>
      <c r="K17" s="127">
        <f>VLOOKUP(A17,'Bateria indicadores proceso'!A:X,21,FALSE)</f>
        <v>8</v>
      </c>
      <c r="L17" s="127">
        <f>VLOOKUP(A17,'Bateria indicadores proceso'!A:X,22,FALSE)</f>
        <v>4</v>
      </c>
      <c r="M17" s="127">
        <f>VLOOKUP(A17,'Bateria indicadores proceso'!A:X,23,FALSE)</f>
        <v>5</v>
      </c>
      <c r="N17" s="127">
        <f>VLOOKUP(A17,'Bateria indicadores proceso'!A:X,24,FALSE)</f>
        <v>21</v>
      </c>
      <c r="O17" s="127">
        <f>VLOOKUP(A17,'Bateria indicadores proceso'!A:AR,28,FALSE)</f>
        <v>4</v>
      </c>
      <c r="P17" s="127">
        <f>VLOOKUP(A17,'Bateria indicadores proceso'!A:AR,29,FALSE)</f>
        <v>10</v>
      </c>
      <c r="Q17" s="127">
        <f>VLOOKUP(A17,'Bateria indicadores proceso'!A:AR,30,FALSE)</f>
        <v>0</v>
      </c>
      <c r="R17" s="127">
        <f>VLOOKUP(A17,'Bateria indicadores proceso'!A:AR,31,FALSE)</f>
        <v>0</v>
      </c>
      <c r="S17" s="127">
        <f>VLOOKUP(A17,'Bateria indicadores proceso'!A:AR,32,FALSE)</f>
        <v>14</v>
      </c>
      <c r="T17" s="115">
        <f>VLOOKUP(A17,'Bateria indicadores proceso'!A:AT,45,FALSE)</f>
        <v>1.0000100000000001</v>
      </c>
      <c r="U17" s="119">
        <f>VLOOKUP(A17,'Bateria indicadores proceso'!A:AT,46,FALSE)</f>
        <v>0.66666666666666663</v>
      </c>
      <c r="V17" s="116">
        <f t="shared" si="0"/>
        <v>0.14000140000000003</v>
      </c>
      <c r="W17" s="116">
        <f t="shared" si="1"/>
        <v>9.3333333333333338E-2</v>
      </c>
      <c r="X17" s="98"/>
      <c r="Y17" s="128" t="str">
        <f>IF(VLOOKUP(A17,'Bateria indicadores proceso'!A:AT,36,FALSE)="","No registro avance",VLOOKUP(A17,'Bateria indicadores proceso'!A:AT,36,FALSE))</f>
        <v>En el segundo trimestre de la vigencia 2026, y de acuerdo al Plan de Bienestar, se realizaron 10 actividades, así:
*Abril: 1. Día de la Secretaria y el secretario. 2. Día del niño y de la niña.
*Mayo: 3. Jornada de expedición de pasaportes. 4. Día de la madre 5. Feria de servicios. 6. Teatro beneficio emocional. 7. Charla prepensionados.
* Junio: 8. Día del padre. 9. Vacaciones recreativas. 10. Día del Servidor Público.</v>
      </c>
      <c r="Z17" s="429" t="s">
        <v>1129</v>
      </c>
      <c r="AA17" s="129" t="str">
        <f>IF(VLOOKUP(A17,'Bateria indicadores proceso'!A:AT,37,FALSE)="","No reportó Evidencia",VLOOKUP(A17,'Bateria indicadores proceso'!A:AT,37,FALSE))</f>
        <v>https://mininteriorgovco.sharepoint.com/:f:/r/sites/EvidenciasOAP/Documentos%20compartidos/Evidencias%20Indicadores%20de%20Proceso%202026/03.%20Gesti%C3%B3n%20del%20Talento%20Humano/II%20Trimestre/Ind.%20013?csf=1&amp;web=1&amp;e=R64x9Q</v>
      </c>
      <c r="AB17" s="425" t="s">
        <v>1136</v>
      </c>
    </row>
    <row r="18" spans="1:28" s="4" customFormat="1" ht="202.5" customHeight="1">
      <c r="A18" s="92" t="s">
        <v>159</v>
      </c>
      <c r="B18" s="112" t="str">
        <f>VLOOKUP(A18,'Bateria indicadores proceso'!A:X,2,FALSE)</f>
        <v>ESTRATÉGICO</v>
      </c>
      <c r="C18" s="113" t="str">
        <f>VLOOKUP(A18,'Bateria indicadores proceso'!A:X,3,FALSE)</f>
        <v>GESTIÓN DEL TALENTO HUMANO</v>
      </c>
      <c r="D18" s="113" t="str">
        <f>VLOOKUP(A18,'Bateria indicadores proceso'!A:X,7,FALSE)</f>
        <v>Subdirección de Gestión Humana</v>
      </c>
      <c r="E18" s="114">
        <f>VLOOKUP(A18,'Bateria indicadores proceso'!A:X,4,FALSE)</f>
        <v>1</v>
      </c>
      <c r="F18" s="114">
        <f>VLOOKUP(A18,'Bateria indicadores proceso'!A:X,6,FALSE)</f>
        <v>0.14000000000000001</v>
      </c>
      <c r="G18" s="114" t="str">
        <f>VLOOKUP(A18,'Bateria indicadores proceso'!A:X,12,FALSE)</f>
        <v>Plan Institucional de Incentivos ejecutado</v>
      </c>
      <c r="H18" s="114" t="str">
        <f>VLOOKUP(A18,'Bateria indicadores proceso'!A:AB,10,FALSE)</f>
        <v>Eficacia</v>
      </c>
      <c r="I18" s="114" t="str">
        <f>VLOOKUP(A18,'Bateria indicadores proceso'!A:AB,16,FALSE)</f>
        <v>Número</v>
      </c>
      <c r="J18" s="127">
        <f>VLOOKUP(A18,'Bateria indicadores proceso'!A:X,20,FALSE)</f>
        <v>3</v>
      </c>
      <c r="K18" s="127">
        <f>VLOOKUP(A18,'Bateria indicadores proceso'!A:X,21,FALSE)</f>
        <v>1</v>
      </c>
      <c r="L18" s="127">
        <f>VLOOKUP(A18,'Bateria indicadores proceso'!A:X,22,FALSE)</f>
        <v>1</v>
      </c>
      <c r="M18" s="127">
        <f>VLOOKUP(A18,'Bateria indicadores proceso'!A:X,23,FALSE)</f>
        <v>0</v>
      </c>
      <c r="N18" s="127">
        <f>VLOOKUP(A18,'Bateria indicadores proceso'!A:X,24,FALSE)</f>
        <v>5</v>
      </c>
      <c r="O18" s="127">
        <f>VLOOKUP(A18,'Bateria indicadores proceso'!A:AR,28,FALSE)</f>
        <v>3</v>
      </c>
      <c r="P18" s="127">
        <f>VLOOKUP(A18,'Bateria indicadores proceso'!A:AR,29,FALSE)</f>
        <v>5</v>
      </c>
      <c r="Q18" s="127">
        <f>VLOOKUP(A18,'Bateria indicadores proceso'!A:AR,30,FALSE)</f>
        <v>0</v>
      </c>
      <c r="R18" s="127">
        <f>VLOOKUP(A18,'Bateria indicadores proceso'!A:AR,31,FALSE)</f>
        <v>0</v>
      </c>
      <c r="S18" s="127">
        <f>VLOOKUP(A18,'Bateria indicadores proceso'!A:AR,32,FALSE)</f>
        <v>8</v>
      </c>
      <c r="T18" s="115">
        <f>VLOOKUP(A18,'Bateria indicadores proceso'!A:AT,45,FALSE)</f>
        <v>1.0000100000000001</v>
      </c>
      <c r="U18" s="119">
        <f>VLOOKUP(A18,'Bateria indicadores proceso'!A:AT,46,FALSE)</f>
        <v>1.0000100000000001</v>
      </c>
      <c r="V18" s="116">
        <f t="shared" si="0"/>
        <v>0.14000140000000003</v>
      </c>
      <c r="W18" s="116">
        <f t="shared" si="1"/>
        <v>0.14000140000000003</v>
      </c>
      <c r="X18" s="98"/>
      <c r="Y18" s="128" t="str">
        <f>IF(VLOOKUP(A18,'Bateria indicadores proceso'!A:AT,36,FALSE)="","No registro avance",VLOOKUP(A18,'Bateria indicadores proceso'!A:AT,36,FALSE))</f>
        <v xml:space="preserve">En el segundo trimestre de la vigencia 2026, se realizaron las siguientes acciones: 1. Aprobacion del plan 
2. Divulgacion del plan 
3. Divulgacion Concurso Mejores Equipos de trabajo 
4. Capacitación 
5. Ajustes al Plan </v>
      </c>
      <c r="Z18" s="429" t="s">
        <v>1129</v>
      </c>
      <c r="AA18" s="129" t="str">
        <f>IF(VLOOKUP(A18,'Bateria indicadores proceso'!A:AT,37,FALSE)="","No reportó Evidencia",VLOOKUP(A18,'Bateria indicadores proceso'!A:AT,37,FALSE))</f>
        <v>https://mininteriorgovco.sharepoint.com/:f:/r/sites/EvidenciasOAP/Documentos%20compartidos/Evidencias%20Indicadores%20de%20Proceso%202026/03.%20Gesti%C3%B3n%20del%20Talento%20Humano/II%20Trimestre/Ind.%20014?csf=1&amp;web=1&amp;e=SDB2He</v>
      </c>
      <c r="AB18" s="425" t="s">
        <v>1136</v>
      </c>
    </row>
    <row r="19" spans="1:28" s="4" customFormat="1" ht="254.25" customHeight="1">
      <c r="A19" s="92" t="s">
        <v>160</v>
      </c>
      <c r="B19" s="112" t="str">
        <f>VLOOKUP(A19,'Bateria indicadores proceso'!A:X,2,FALSE)</f>
        <v>ESTRATÉGICO</v>
      </c>
      <c r="C19" s="113" t="str">
        <f>VLOOKUP(A19,'Bateria indicadores proceso'!A:X,3,FALSE)</f>
        <v>GESTIÓN DEL TALENTO HUMANO</v>
      </c>
      <c r="D19" s="113" t="str">
        <f>VLOOKUP(A19,'Bateria indicadores proceso'!A:X,7,FALSE)</f>
        <v>Subdirección de Gestión Humana</v>
      </c>
      <c r="E19" s="114">
        <f>VLOOKUP(A19,'Bateria indicadores proceso'!A:X,4,FALSE)</f>
        <v>1</v>
      </c>
      <c r="F19" s="114">
        <f>VLOOKUP(A19,'Bateria indicadores proceso'!A:X,6,FALSE)</f>
        <v>0.14000000000000001</v>
      </c>
      <c r="G19" s="114" t="str">
        <f>VLOOKUP(A19,'Bateria indicadores proceso'!A:X,12,FALSE)</f>
        <v>Actividades realizadas con apoyo de la ARL</v>
      </c>
      <c r="H19" s="114" t="str">
        <f>VLOOKUP(A19,'Bateria indicadores proceso'!A:AB,10,FALSE)</f>
        <v>Eficacia</v>
      </c>
      <c r="I19" s="114" t="str">
        <f>VLOOKUP(A19,'Bateria indicadores proceso'!A:AB,16,FALSE)</f>
        <v>Número</v>
      </c>
      <c r="J19" s="127">
        <f>VLOOKUP(A19,'Bateria indicadores proceso'!A:X,20,FALSE)</f>
        <v>4</v>
      </c>
      <c r="K19" s="127">
        <f>VLOOKUP(A19,'Bateria indicadores proceso'!A:X,21,FALSE)</f>
        <v>7</v>
      </c>
      <c r="L19" s="127">
        <f>VLOOKUP(A19,'Bateria indicadores proceso'!A:X,22,FALSE)</f>
        <v>7</v>
      </c>
      <c r="M19" s="127">
        <f>VLOOKUP(A19,'Bateria indicadores proceso'!A:X,23,FALSE)</f>
        <v>6</v>
      </c>
      <c r="N19" s="127">
        <f>VLOOKUP(A19,'Bateria indicadores proceso'!A:X,24,FALSE)</f>
        <v>24</v>
      </c>
      <c r="O19" s="127">
        <f>VLOOKUP(A19,'Bateria indicadores proceso'!A:AR,28,FALSE)</f>
        <v>5</v>
      </c>
      <c r="P19" s="127">
        <f>VLOOKUP(A19,'Bateria indicadores proceso'!A:AR,29,FALSE)</f>
        <v>10</v>
      </c>
      <c r="Q19" s="127">
        <f>VLOOKUP(A19,'Bateria indicadores proceso'!A:AR,30,FALSE)</f>
        <v>0</v>
      </c>
      <c r="R19" s="127">
        <f>VLOOKUP(A19,'Bateria indicadores proceso'!A:AR,31,FALSE)</f>
        <v>0</v>
      </c>
      <c r="S19" s="127">
        <f>VLOOKUP(A19,'Bateria indicadores proceso'!A:AR,32,FALSE)</f>
        <v>15</v>
      </c>
      <c r="T19" s="115">
        <f>VLOOKUP(A19,'Bateria indicadores proceso'!A:AT,45,FALSE)</f>
        <v>1.0000100000000001</v>
      </c>
      <c r="U19" s="119">
        <f>VLOOKUP(A19,'Bateria indicadores proceso'!A:AT,46,FALSE)</f>
        <v>0.625</v>
      </c>
      <c r="V19" s="116">
        <f t="shared" si="0"/>
        <v>0.14000140000000003</v>
      </c>
      <c r="W19" s="116">
        <f t="shared" si="1"/>
        <v>8.7500000000000008E-2</v>
      </c>
      <c r="X19" s="98"/>
      <c r="Y19" s="636" t="str">
        <f>IF(VLOOKUP(A19,'Bateria indicadores proceso'!A:AT,36,FALSE)="","No registro avance",VLOOKUP(A19,'Bateria indicadores proceso'!A:AT,36,FALSE))</f>
        <v xml:space="preserve">Para el segundo trimestre se desarrollaron las siguientes actividades: 
Abril: Escuelas de Ergonomía: (3) MEJORA TU MOVILIDAD: FORTALECIMIENTO EN HOMBRO Y MANEJO DE DOLOR EN CUELLO, MANEJO DE DOLOR POR EPICONDILITIS Y ADORMECIMIENTO EN MANOS, CUIDA TU ESPALDA:  ZONA LUMBOSACRA. 
Mayo: Escuelas de Ergonomía: (4) FORTALECE TUS RODILLAS: EJERCICIOS PARA ZONA DE CUADRICEPS Y GEMELOS, MEJORA TU MOVILIDAD: FORTALECIMIENTO EN HOMBRO Y MANEJO DE DOLOR EN CUELLO, CUIDA TU ESPALDA: ZONA LUMBOSACRA, MANEJO DE DOLOR POR EPICONDILITIS Y ADORMECIMIENTO EN MANOS: FORTALECIMIENTO
Junio: Escuelas de Ergonomía (3) CORE FUERTE, CUERPO ESTABLE: ‘’FORTALECIENDO LA ZONA MEDIA PARA PREVENIR LESIONES", FORTALECE TUS RODILLAS: EJERCICIOS PARA ZONA DE CUADRICEPS Y GEMELOS
</v>
      </c>
      <c r="Z19" s="429" t="s">
        <v>1129</v>
      </c>
      <c r="AA19" s="129" t="str">
        <f>IF(VLOOKUP(A19,'Bateria indicadores proceso'!A:AT,37,FALSE)="","No reportó Evidencia",VLOOKUP(A19,'Bateria indicadores proceso'!A:AT,37,FALSE))</f>
        <v>https://mininteriorgovco.sharepoint.com/:f:/r/sites/EvidenciasOAP/Documentos%20compartidos/Evidencias%20Indicadores%20de%20Proceso%202026/03.%20Gesti%C3%B3n%20del%20Talento%20Humano/II%20Trimestre/Ind.%20015?csf=1&amp;web=1&amp;e=DfCfCn</v>
      </c>
      <c r="AB19" s="425" t="s">
        <v>1136</v>
      </c>
    </row>
    <row r="20" spans="1:28" s="4" customFormat="1" ht="202.5" customHeight="1">
      <c r="A20" s="92" t="s">
        <v>161</v>
      </c>
      <c r="B20" s="112" t="str">
        <f>VLOOKUP(A20,'Bateria indicadores proceso'!A:X,2,FALSE)</f>
        <v>ESTRATÉGICO</v>
      </c>
      <c r="C20" s="113" t="str">
        <f>VLOOKUP(A20,'Bateria indicadores proceso'!A:X,3,FALSE)</f>
        <v>GESTIÓN DEL TALENTO HUMANO</v>
      </c>
      <c r="D20" s="113" t="str">
        <f>VLOOKUP(A20,'Bateria indicadores proceso'!A:X,7,FALSE)</f>
        <v>Subdirección de Gestión Humana</v>
      </c>
      <c r="E20" s="114">
        <f>VLOOKUP(A20,'Bateria indicadores proceso'!A:X,4,FALSE)</f>
        <v>1</v>
      </c>
      <c r="F20" s="114">
        <f>VLOOKUP(A20,'Bateria indicadores proceso'!A:X,6,FALSE)</f>
        <v>0.14000000000000001</v>
      </c>
      <c r="G20" s="114" t="str">
        <f>VLOOKUP(A20,'Bateria indicadores proceso'!A:X,12,FALSE)</f>
        <v>Campañas de apropiación de valores implementadas</v>
      </c>
      <c r="H20" s="114" t="str">
        <f>VLOOKUP(A20,'Bateria indicadores proceso'!A:AB,10,FALSE)</f>
        <v>Eficacia</v>
      </c>
      <c r="I20" s="114" t="str">
        <f>VLOOKUP(A20,'Bateria indicadores proceso'!A:AB,16,FALSE)</f>
        <v>Número</v>
      </c>
      <c r="J20" s="127">
        <f>VLOOKUP(A20,'Bateria indicadores proceso'!A:X,20,FALSE)</f>
        <v>1</v>
      </c>
      <c r="K20" s="127">
        <f>VLOOKUP(A20,'Bateria indicadores proceso'!A:X,21,FALSE)</f>
        <v>1</v>
      </c>
      <c r="L20" s="127">
        <f>VLOOKUP(A20,'Bateria indicadores proceso'!A:X,22,FALSE)</f>
        <v>1</v>
      </c>
      <c r="M20" s="127">
        <f>VLOOKUP(A20,'Bateria indicadores proceso'!A:X,23,FALSE)</f>
        <v>1</v>
      </c>
      <c r="N20" s="127">
        <f>VLOOKUP(A20,'Bateria indicadores proceso'!A:X,24,FALSE)</f>
        <v>4</v>
      </c>
      <c r="O20" s="127">
        <f>VLOOKUP(A20,'Bateria indicadores proceso'!A:AR,28,FALSE)</f>
        <v>1</v>
      </c>
      <c r="P20" s="127">
        <f>VLOOKUP(A20,'Bateria indicadores proceso'!A:AR,29,FALSE)</f>
        <v>4</v>
      </c>
      <c r="Q20" s="127">
        <f>VLOOKUP(A20,'Bateria indicadores proceso'!A:AR,30,FALSE)</f>
        <v>0</v>
      </c>
      <c r="R20" s="127">
        <f>VLOOKUP(A20,'Bateria indicadores proceso'!A:AR,31,FALSE)</f>
        <v>0</v>
      </c>
      <c r="S20" s="127">
        <f>VLOOKUP(A20,'Bateria indicadores proceso'!A:AR,32,FALSE)</f>
        <v>5</v>
      </c>
      <c r="T20" s="115">
        <f>VLOOKUP(A20,'Bateria indicadores proceso'!A:AT,45,FALSE)</f>
        <v>1.0000100000000001</v>
      </c>
      <c r="U20" s="119">
        <f>VLOOKUP(A20,'Bateria indicadores proceso'!A:AT,46,FALSE)</f>
        <v>1.0000100000000001</v>
      </c>
      <c r="V20" s="116">
        <f t="shared" si="0"/>
        <v>0.14000140000000003</v>
      </c>
      <c r="W20" s="116">
        <f t="shared" si="1"/>
        <v>0.14000140000000003</v>
      </c>
      <c r="X20" s="98"/>
      <c r="Y20" s="128" t="str">
        <f>IF(VLOOKUP(A20,'Bateria indicadores proceso'!A:AT,36,FALSE)="","No registro avance",VLOOKUP(A20,'Bateria indicadores proceso'!A:AT,36,FALSE))</f>
        <v>urante el segundo trimestre de la vigencia 2026 se realizaron las siguientes actividades:
1. Campaña de expectativa para la elección del valor que representa al Ministerio del Interior: Con el propósito de incentivar la participación de los servidores públicos y fortalecer el sentido de pertenencia frente al Código de Integridad.
2. Promoción de los cinco valores del Código de Integridad: se ejecutó una estrategia de divulgación permanente de los cinco valores adoptados en el Código de Integridad. 
3. Concurso para la elección del eslogan institucional en el marco del Día del Servidor Público.
4. Convocatoria a capacitación en Integridad, Ética Pública y Conflicto de Intereses.</v>
      </c>
      <c r="Z20" s="429" t="s">
        <v>1129</v>
      </c>
      <c r="AA20" s="129" t="str">
        <f>IF(VLOOKUP(A20,'Bateria indicadores proceso'!A:AT,37,FALSE)="","No reportó Evidencia",VLOOKUP(A20,'Bateria indicadores proceso'!A:AT,37,FALSE))</f>
        <v>https://mininteriorgovco.sharepoint.com/:f:/r/sites/EvidenciasOAP/Documentos%20compartidos/Evidencias%20Indicadores%20de%20Proceso%202026/03.%20Gesti%C3%B3n%20del%20Talento%20Humano/II%20Trimestre/Ind.%20016?csf=1&amp;web=1&amp;e=xR4yU2</v>
      </c>
      <c r="AB20" s="425" t="s">
        <v>1136</v>
      </c>
    </row>
    <row r="21" spans="1:28" s="4" customFormat="1" ht="202.5" customHeight="1">
      <c r="A21" s="92" t="s">
        <v>162</v>
      </c>
      <c r="B21" s="112" t="str">
        <f>VLOOKUP(A21,'Bateria indicadores proceso'!A:X,2,FALSE)</f>
        <v>ESTRATÉGICO</v>
      </c>
      <c r="C21" s="113" t="str">
        <f>VLOOKUP(A21,'Bateria indicadores proceso'!A:X,3,FALSE)</f>
        <v>GESTIÓN DEL TALENTO HUMANO</v>
      </c>
      <c r="D21" s="113" t="str">
        <f>VLOOKUP(A21,'Bateria indicadores proceso'!A:X,7,FALSE)</f>
        <v>Subdirección de Gestión Humana</v>
      </c>
      <c r="E21" s="114">
        <f>VLOOKUP(A21,'Bateria indicadores proceso'!A:X,4,FALSE)</f>
        <v>1</v>
      </c>
      <c r="F21" s="114">
        <f>VLOOKUP(A21,'Bateria indicadores proceso'!A:X,6,FALSE)</f>
        <v>0.14000000000000001</v>
      </c>
      <c r="G21" s="114" t="str">
        <f>VLOOKUP(A21,'Bateria indicadores proceso'!A:X,12,FALSE)</f>
        <v>Actividades de promoción y prevención en temas de seguridad y salud en el trabajo auto gestionadas</v>
      </c>
      <c r="H21" s="114" t="str">
        <f>VLOOKUP(A21,'Bateria indicadores proceso'!A:AB,10,FALSE)</f>
        <v>Eficiencia</v>
      </c>
      <c r="I21" s="114" t="str">
        <f>VLOOKUP(A21,'Bateria indicadores proceso'!A:AB,16,FALSE)</f>
        <v>Número</v>
      </c>
      <c r="J21" s="127">
        <f>VLOOKUP(A21,'Bateria indicadores proceso'!A:X,20,FALSE)</f>
        <v>3</v>
      </c>
      <c r="K21" s="127">
        <f>VLOOKUP(A21,'Bateria indicadores proceso'!A:X,21,FALSE)</f>
        <v>4</v>
      </c>
      <c r="L21" s="127">
        <f>VLOOKUP(A21,'Bateria indicadores proceso'!A:X,22,FALSE)</f>
        <v>14</v>
      </c>
      <c r="M21" s="127">
        <f>VLOOKUP(A21,'Bateria indicadores proceso'!A:X,23,FALSE)</f>
        <v>3</v>
      </c>
      <c r="N21" s="127">
        <f>VLOOKUP(A21,'Bateria indicadores proceso'!A:X,24,FALSE)</f>
        <v>24</v>
      </c>
      <c r="O21" s="127">
        <f>VLOOKUP(A21,'Bateria indicadores proceso'!A:AR,28,FALSE)</f>
        <v>4</v>
      </c>
      <c r="P21" s="127">
        <f>VLOOKUP(A21,'Bateria indicadores proceso'!A:AR,29,FALSE)</f>
        <v>4</v>
      </c>
      <c r="Q21" s="127">
        <f>VLOOKUP(A21,'Bateria indicadores proceso'!A:AR,30,FALSE)</f>
        <v>0</v>
      </c>
      <c r="R21" s="127">
        <f>VLOOKUP(A21,'Bateria indicadores proceso'!A:AR,31,FALSE)</f>
        <v>0</v>
      </c>
      <c r="S21" s="127">
        <f>VLOOKUP(A21,'Bateria indicadores proceso'!A:AR,32,FALSE)</f>
        <v>8</v>
      </c>
      <c r="T21" s="115">
        <f>VLOOKUP(A21,'Bateria indicadores proceso'!A:AT,45,FALSE)</f>
        <v>1</v>
      </c>
      <c r="U21" s="119">
        <f>VLOOKUP(A21,'Bateria indicadores proceso'!A:AT,46,FALSE)</f>
        <v>0.33333333333333331</v>
      </c>
      <c r="V21" s="116">
        <f t="shared" si="0"/>
        <v>0.14000000000000001</v>
      </c>
      <c r="W21" s="116">
        <f t="shared" si="1"/>
        <v>4.6666666666666669E-2</v>
      </c>
      <c r="X21" s="98"/>
      <c r="Y21" s="128" t="str">
        <f>IF(VLOOKUP(A21,'Bateria indicadores proceso'!A:AT,36,FALSE)="","No registro avance",VLOOKUP(A21,'Bateria indicadores proceso'!A:AT,36,FALSE))</f>
        <v xml:space="preserve">Mayo: (2) Estrategias de prevención de la hipertensión y la diabetes
Junio (2): Jornada de vacunación 
</v>
      </c>
      <c r="Z21" s="429" t="s">
        <v>1129</v>
      </c>
      <c r="AA21" s="129" t="str">
        <f>IF(VLOOKUP(A21,'Bateria indicadores proceso'!A:AT,37,FALSE)="","No reportó Evidencia",VLOOKUP(A21,'Bateria indicadores proceso'!A:AT,37,FALSE))</f>
        <v>https://mininteriorgovco.sharepoint.com/:f:/r/sites/EvidenciasOAP/Documentos%20compartidos/Evidencias%20Indicadores%20de%20Proceso%202026/03.%20Gesti%C3%B3n%20del%20Talento%20Humano/II%20Trimestre/Ind.%20017?csf=1&amp;web=1&amp;e=Ut6Tag</v>
      </c>
      <c r="AB21" s="425" t="s">
        <v>1136</v>
      </c>
    </row>
    <row r="22" spans="1:28" s="4" customFormat="1" ht="202.5" customHeight="1">
      <c r="A22" s="92" t="s">
        <v>163</v>
      </c>
      <c r="B22" s="112" t="str">
        <f>VLOOKUP(A22,'Bateria indicadores proceso'!A:X,2,FALSE)</f>
        <v>ESTRATÉGICO</v>
      </c>
      <c r="C22" s="113" t="str">
        <f>VLOOKUP(A22,'Bateria indicadores proceso'!A:X,3,FALSE)</f>
        <v>GESTIÓN DEL TALENTO HUMANO</v>
      </c>
      <c r="D22" s="113" t="str">
        <f>VLOOKUP(A22,'Bateria indicadores proceso'!A:X,7,FALSE)</f>
        <v>Subdirección de Gestión Humana</v>
      </c>
      <c r="E22" s="114">
        <f>VLOOKUP(A22,'Bateria indicadores proceso'!A:X,4,FALSE)</f>
        <v>1</v>
      </c>
      <c r="F22" s="114">
        <f>VLOOKUP(A22,'Bateria indicadores proceso'!A:X,6,FALSE)</f>
        <v>0.14000000000000001</v>
      </c>
      <c r="G22" s="114" t="str">
        <f>VLOOKUP(A22,'Bateria indicadores proceso'!A:X,12,FALSE)</f>
        <v>Mantenimiento de la certificación de la norma técnica ISO 45001 2008: 2008  para el sistema de Gestión de la Seguridad y Salud en el trabajo ( SGS-ST)</v>
      </c>
      <c r="H22" s="114" t="str">
        <f>VLOOKUP(A22,'Bateria indicadores proceso'!A:AB,10,FALSE)</f>
        <v>Calidad</v>
      </c>
      <c r="I22" s="114" t="str">
        <f>VLOOKUP(A22,'Bateria indicadores proceso'!A:AB,16,FALSE)</f>
        <v>Número</v>
      </c>
      <c r="J22" s="127">
        <f>VLOOKUP(A22,'Bateria indicadores proceso'!A:X,20,FALSE)</f>
        <v>0</v>
      </c>
      <c r="K22" s="127">
        <f>VLOOKUP(A22,'Bateria indicadores proceso'!A:X,21,FALSE)</f>
        <v>0</v>
      </c>
      <c r="L22" s="127">
        <f>VLOOKUP(A22,'Bateria indicadores proceso'!A:X,22,FALSE)</f>
        <v>0</v>
      </c>
      <c r="M22" s="127">
        <f>VLOOKUP(A22,'Bateria indicadores proceso'!A:X,23,FALSE)</f>
        <v>1</v>
      </c>
      <c r="N22" s="127">
        <f>VLOOKUP(A22,'Bateria indicadores proceso'!A:X,24,FALSE)</f>
        <v>1</v>
      </c>
      <c r="O22" s="127">
        <f>VLOOKUP(A22,'Bateria indicadores proceso'!A:AR,28,FALSE)</f>
        <v>0</v>
      </c>
      <c r="P22" s="127">
        <f>VLOOKUP(A22,'Bateria indicadores proceso'!A:AR,29,FALSE)</f>
        <v>0</v>
      </c>
      <c r="Q22" s="127">
        <f>VLOOKUP(A22,'Bateria indicadores proceso'!A:AR,30,FALSE)</f>
        <v>0</v>
      </c>
      <c r="R22" s="127">
        <f>VLOOKUP(A22,'Bateria indicadores proceso'!A:AR,31,FALSE)</f>
        <v>0</v>
      </c>
      <c r="S22" s="127">
        <f>VLOOKUP(A22,'Bateria indicadores proceso'!A:AR,32,FALSE)</f>
        <v>0</v>
      </c>
      <c r="T22" s="115" t="str">
        <f>VLOOKUP(A22,'Bateria indicadores proceso'!A:AT,45,FALSE)</f>
        <v>No aplica, no hay meta</v>
      </c>
      <c r="U22" s="119">
        <f>VLOOKUP(A22,'Bateria indicadores proceso'!A:AT,46,FALSE)</f>
        <v>0</v>
      </c>
      <c r="V22" s="116">
        <f t="shared" si="0"/>
        <v>0.14000000000000001</v>
      </c>
      <c r="W22" s="116">
        <f t="shared" si="1"/>
        <v>0</v>
      </c>
      <c r="X22" s="98"/>
      <c r="Y22" s="128" t="str">
        <f>IF(VLOOKUP(A22,'Bateria indicadores proceso'!A:AT,36,FALSE)="","No registro avance",VLOOKUP(A22,'Bateria indicadores proceso'!A:AT,36,FALSE))</f>
        <v>Meta no programada para este trimestre</v>
      </c>
      <c r="Z22" s="429" t="s">
        <v>1129</v>
      </c>
      <c r="AA22" s="129" t="str">
        <f>IF(VLOOKUP(A22,'Bateria indicadores proceso'!A:AT,37,FALSE)="","No reportó Evidencia",VLOOKUP(A22,'Bateria indicadores proceso'!A:AT,37,FALSE))</f>
        <v>No reportó Evidencia</v>
      </c>
      <c r="AB22" s="425" t="s">
        <v>1137</v>
      </c>
    </row>
    <row r="23" spans="1:28" s="93" customFormat="1" ht="202.5" customHeight="1">
      <c r="A23" s="92" t="s">
        <v>164</v>
      </c>
      <c r="B23" s="112" t="str">
        <f>VLOOKUP(A23,'Bateria indicadores proceso'!A:X,2,FALSE)</f>
        <v>MISIONAL</v>
      </c>
      <c r="C23" s="113" t="str">
        <f>VLOOKUP(A23,'Bateria indicadores proceso'!A:X,3,FALSE)</f>
        <v>GESTIÓN POLÍTICA Y GOBIERNO</v>
      </c>
      <c r="D23" s="113" t="str">
        <f>VLOOKUP(A23,'Bateria indicadores proceso'!A:X,7,FALSE)</f>
        <v>Dirección de Asuntos Legislativos</v>
      </c>
      <c r="E23" s="114">
        <f>VLOOKUP(A23,'Bateria indicadores proceso'!A:X,4,FALSE)</f>
        <v>0.33</v>
      </c>
      <c r="F23" s="114">
        <f>VLOOKUP(A23,'Bateria indicadores proceso'!A:X,6,FALSE)</f>
        <v>0.11</v>
      </c>
      <c r="G23" s="114" t="str">
        <f>VLOOKUP(A23,'Bateria indicadores proceso'!A:X,12,FALSE)</f>
        <v xml:space="preserve">Documentos de información relacionadas con el trámite de los proyectos de ley elaborados por la Dirección de Asuntos Legislativos </v>
      </c>
      <c r="H23" s="114" t="str">
        <f>VLOOKUP(A23,'Bateria indicadores proceso'!A:AB,10,FALSE)</f>
        <v>Eficacia</v>
      </c>
      <c r="I23" s="114" t="str">
        <f>VLOOKUP(A23,'Bateria indicadores proceso'!A:AB,16,FALSE)</f>
        <v>Número</v>
      </c>
      <c r="J23" s="127">
        <f>VLOOKUP(A23,'Bateria indicadores proceso'!A:X,20,FALSE)</f>
        <v>10</v>
      </c>
      <c r="K23" s="127">
        <f>VLOOKUP(A23,'Bateria indicadores proceso'!A:X,21,FALSE)</f>
        <v>15</v>
      </c>
      <c r="L23" s="127">
        <f>VLOOKUP(A23,'Bateria indicadores proceso'!A:X,22,FALSE)</f>
        <v>15</v>
      </c>
      <c r="M23" s="127">
        <f>VLOOKUP(A23,'Bateria indicadores proceso'!A:X,23,FALSE)</f>
        <v>13</v>
      </c>
      <c r="N23" s="127">
        <f>VLOOKUP(A23,'Bateria indicadores proceso'!A:X,24,FALSE)</f>
        <v>53</v>
      </c>
      <c r="O23" s="127">
        <f>VLOOKUP(A23,'Bateria indicadores proceso'!A:AR,28,FALSE)</f>
        <v>10</v>
      </c>
      <c r="P23" s="127">
        <f>VLOOKUP(A23,'Bateria indicadores proceso'!A:AR,29,FALSE)</f>
        <v>15</v>
      </c>
      <c r="Q23" s="127">
        <f>VLOOKUP(A23,'Bateria indicadores proceso'!A:AR,30,FALSE)</f>
        <v>0</v>
      </c>
      <c r="R23" s="127">
        <f>VLOOKUP(A23,'Bateria indicadores proceso'!A:AR,31,FALSE)</f>
        <v>0</v>
      </c>
      <c r="S23" s="127">
        <f>VLOOKUP(A23,'Bateria indicadores proceso'!A:AR,32,FALSE)</f>
        <v>25</v>
      </c>
      <c r="T23" s="115">
        <f>VLOOKUP(A23,'Bateria indicadores proceso'!A:AT,45,FALSE)</f>
        <v>1</v>
      </c>
      <c r="U23" s="119">
        <f>VLOOKUP(A23,'Bateria indicadores proceso'!A:AT,46,FALSE)</f>
        <v>0.47169811320754718</v>
      </c>
      <c r="V23" s="116">
        <f t="shared" si="0"/>
        <v>0.11</v>
      </c>
      <c r="W23" s="116">
        <f t="shared" si="1"/>
        <v>5.1886792452830191E-2</v>
      </c>
      <c r="X23" s="98"/>
      <c r="Y23" s="491" t="str">
        <f>IF(VLOOKUP(A23,'Bateria indicadores proceso'!A:AT,36,FALSE)="","No registro avance",VLOOKUP(A23,'Bateria indicadores proceso'!A:AT,36,FALSE))</f>
        <v>Durante el periodo de reporte se elaboraron quince (15)  documentos relacionados con el trámite de proyectos de ley y actos legislativos. Entre estos se encuentran fichas tipo bullet y otros documentos de apoyo, fundamentales para la planeación, el seguimiento y el impulso de la agenda legislativa correspondiente a las iniciativas de interés o de autoría del Gobierno Nacional que cursan trámite en el Congreso de la República.
Abril: 10
Mayo: 2
Junio: 3</v>
      </c>
      <c r="Z23" s="428" t="s">
        <v>1129</v>
      </c>
      <c r="AA23" s="129" t="str">
        <f>IF(VLOOKUP(A23,'Bateria indicadores proceso'!A:AT,37,FALSE)="","No reportó Evidencia",VLOOKUP(A23,'Bateria indicadores proceso'!A:AT,37,FALSE))</f>
        <v>https://mininteriorgovco.sharepoint.com/:f:/r/sites/EvidenciasOAP/Documentos%20compartidos/Evidencias%20Indicadores%20de%20Proceso%202026/04.%20Gesti%C3%B3n%20Pol%C3%ADtica%20y%20Gobierno/Direcci%C3%B3n%20de%20Asuntos%20Legislativos/II%20Trimestre/Ind019?csf=1&amp;web=1&amp;e=7ItH7T</v>
      </c>
      <c r="AB23" s="425" t="s">
        <v>1130</v>
      </c>
    </row>
    <row r="24" spans="1:28" s="4" customFormat="1" ht="202.5" customHeight="1">
      <c r="A24" s="92" t="s">
        <v>165</v>
      </c>
      <c r="B24" s="112" t="str">
        <f>VLOOKUP(A24,'Bateria indicadores proceso'!A:X,2,FALSE)</f>
        <v>MISIONAL</v>
      </c>
      <c r="C24" s="113" t="str">
        <f>VLOOKUP(A24,'Bateria indicadores proceso'!A:X,3,FALSE)</f>
        <v>GESTIÓN POLÍTICA Y GOBIERNO</v>
      </c>
      <c r="D24" s="113" t="str">
        <f>VLOOKUP(A24,'Bateria indicadores proceso'!A:X,7,FALSE)</f>
        <v>Dirección de Asuntos Legislativos</v>
      </c>
      <c r="E24" s="114">
        <f>VLOOKUP(A24,'Bateria indicadores proceso'!A:X,4,FALSE)</f>
        <v>0.33</v>
      </c>
      <c r="F24" s="114">
        <f>VLOOKUP(A24,'Bateria indicadores proceso'!A:X,6,FALSE)</f>
        <v>0.11</v>
      </c>
      <c r="G24" s="114" t="str">
        <f>VLOOKUP(A24,'Bateria indicadores proceso'!A:X,12,FALSE)</f>
        <v xml:space="preserve">Solicitud de insumos a las áreas competentes del Ministerio del Interior para atender los cuestionarios de control político, remitidos por el Congreso de la República </v>
      </c>
      <c r="H24" s="114" t="str">
        <f>VLOOKUP(A24,'Bateria indicadores proceso'!A:AB,10,FALSE)</f>
        <v>Eficiencia</v>
      </c>
      <c r="I24" s="114" t="str">
        <f>VLOOKUP(A24,'Bateria indicadores proceso'!A:AB,16,FALSE)</f>
        <v>Porcentaje</v>
      </c>
      <c r="J24" s="125">
        <f>VLOOKUP(A24,'Bateria indicadores proceso'!A:X,20,FALSE)</f>
        <v>1</v>
      </c>
      <c r="K24" s="125">
        <f>VLOOKUP(A24,'Bateria indicadores proceso'!A:X,21,FALSE)</f>
        <v>1</v>
      </c>
      <c r="L24" s="125">
        <f>VLOOKUP(A24,'Bateria indicadores proceso'!A:X,22,FALSE)</f>
        <v>1</v>
      </c>
      <c r="M24" s="125">
        <f>VLOOKUP(A24,'Bateria indicadores proceso'!A:X,23,FALSE)</f>
        <v>1</v>
      </c>
      <c r="N24" s="126">
        <f>VLOOKUP(A24,'Bateria indicadores proceso'!A:X,24,FALSE)</f>
        <v>1</v>
      </c>
      <c r="O24" s="126">
        <f>VLOOKUP(A24,'Bateria indicadores proceso'!A:AR,28,FALSE)</f>
        <v>1</v>
      </c>
      <c r="P24" s="126">
        <f>VLOOKUP(A24,'Bateria indicadores proceso'!A:AR,29,FALSE)</f>
        <v>1</v>
      </c>
      <c r="Q24" s="126">
        <f>VLOOKUP(A24,'Bateria indicadores proceso'!A:AR,30,FALSE)</f>
        <v>0</v>
      </c>
      <c r="R24" s="126">
        <f>VLOOKUP(A24,'Bateria indicadores proceso'!A:AR,31,FALSE)</f>
        <v>0</v>
      </c>
      <c r="S24" s="126">
        <f>VLOOKUP(A24,'Bateria indicadores proceso'!A:AR,32,FALSE)</f>
        <v>1</v>
      </c>
      <c r="T24" s="115">
        <f>VLOOKUP(A24,'Bateria indicadores proceso'!A:AT,45,FALSE)</f>
        <v>1</v>
      </c>
      <c r="U24" s="119">
        <f>VLOOKUP(A24,'Bateria indicadores proceso'!A:AT,46,FALSE)</f>
        <v>1</v>
      </c>
      <c r="V24" s="116">
        <f t="shared" si="0"/>
        <v>0.11</v>
      </c>
      <c r="W24" s="116">
        <f t="shared" si="1"/>
        <v>0.11</v>
      </c>
      <c r="X24" s="98"/>
      <c r="Y24" s="491" t="str">
        <f>IF(VLOOKUP(A24,'Bateria indicadores proceso'!A:AT,36,FALSE)="","No registro avance",VLOOKUP(A24,'Bateria indicadores proceso'!A:AT,36,FALSE))</f>
        <v>Durante el periodo se atendieron internamente el 100% de los debates a control politico allegadas a la Direccion de Asuntos Legislativos
Abril : 6
Mayo: 2</v>
      </c>
      <c r="Z24" s="428" t="s">
        <v>1129</v>
      </c>
      <c r="AA24" s="129" t="str">
        <f>IF(VLOOKUP(A24,'Bateria indicadores proceso'!A:AT,37,FALSE)="","No reportó Evidencia",VLOOKUP(A24,'Bateria indicadores proceso'!A:AT,37,FALSE))</f>
        <v>https://mininteriorgovco.sharepoint.com/:f:/r/sites/EvidenciasOAP/Documentos%20compartidos/Evidencias%20Indicadores%20de%20Proceso%202026/04.%20Gesti%C3%B3n%20Pol%C3%ADtica%20y%20Gobierno/Direcci%C3%B3n%20de%20Asuntos%20Legislativos/II%20Trimestre/Ind020?csf=1&amp;web=1&amp;e=kZ6kES</v>
      </c>
      <c r="AB24" s="425" t="s">
        <v>1130</v>
      </c>
    </row>
    <row r="25" spans="1:28" s="4" customFormat="1" ht="202.5" customHeight="1">
      <c r="A25" s="92" t="s">
        <v>166</v>
      </c>
      <c r="B25" s="112" t="str">
        <f>VLOOKUP(A25,'Bateria indicadores proceso'!A:X,2,FALSE)</f>
        <v>MISIONAL</v>
      </c>
      <c r="C25" s="113" t="str">
        <f>VLOOKUP(A25,'Bateria indicadores proceso'!A:X,3,FALSE)</f>
        <v>GESTIÓN POLÍTICA Y GOBIERNO</v>
      </c>
      <c r="D25" s="113" t="str">
        <f>VLOOKUP(A25,'Bateria indicadores proceso'!A:X,7,FALSE)</f>
        <v>Dirección de Asuntos Legislativos</v>
      </c>
      <c r="E25" s="114">
        <f>VLOOKUP(A25,'Bateria indicadores proceso'!A:X,4,FALSE)</f>
        <v>0.33</v>
      </c>
      <c r="F25" s="114">
        <f>VLOOKUP(A25,'Bateria indicadores proceso'!A:X,6,FALSE)</f>
        <v>0.11</v>
      </c>
      <c r="G25" s="114" t="str">
        <f>VLOOKUP(A25,'Bateria indicadores proceso'!A:X,12,FALSE)</f>
        <v xml:space="preserve">Reuniones realizadas con el fin establecer estrategias para los  proyectos priorizados del  Gobierno Nacional </v>
      </c>
      <c r="H25" s="114" t="str">
        <f>VLOOKUP(A25,'Bateria indicadores proceso'!A:AB,10,FALSE)</f>
        <v>Eficacia</v>
      </c>
      <c r="I25" s="114" t="str">
        <f>VLOOKUP(A25,'Bateria indicadores proceso'!A:AB,16,FALSE)</f>
        <v>Número</v>
      </c>
      <c r="J25" s="127">
        <f>VLOOKUP(A25,'Bateria indicadores proceso'!A:X,20,FALSE)</f>
        <v>6</v>
      </c>
      <c r="K25" s="127">
        <f>VLOOKUP(A25,'Bateria indicadores proceso'!A:X,21,FALSE)</f>
        <v>5</v>
      </c>
      <c r="L25" s="127">
        <f>VLOOKUP(A25,'Bateria indicadores proceso'!A:X,22,FALSE)</f>
        <v>7</v>
      </c>
      <c r="M25" s="127">
        <f>VLOOKUP(A25,'Bateria indicadores proceso'!A:X,23,FALSE)</f>
        <v>5</v>
      </c>
      <c r="N25" s="127">
        <f>VLOOKUP(A25,'Bateria indicadores proceso'!A:X,24,FALSE)</f>
        <v>23</v>
      </c>
      <c r="O25" s="127">
        <f>VLOOKUP(A25,'Bateria indicadores proceso'!A:AR,28,FALSE)</f>
        <v>6</v>
      </c>
      <c r="P25" s="127">
        <f>VLOOKUP(A25,'Bateria indicadores proceso'!A:AR,29,FALSE)</f>
        <v>5</v>
      </c>
      <c r="Q25" s="127">
        <f>VLOOKUP(A25,'Bateria indicadores proceso'!A:AR,30,FALSE)</f>
        <v>11</v>
      </c>
      <c r="R25" s="127">
        <f>VLOOKUP(A25,'Bateria indicadores proceso'!A:AR,31,FALSE)</f>
        <v>0</v>
      </c>
      <c r="S25" s="127">
        <f>VLOOKUP(A25,'Bateria indicadores proceso'!A:AR,32,FALSE)</f>
        <v>11</v>
      </c>
      <c r="T25" s="115">
        <f>VLOOKUP(A25,'Bateria indicadores proceso'!A:AT,45,FALSE)</f>
        <v>1</v>
      </c>
      <c r="U25" s="119">
        <f>VLOOKUP(A25,'Bateria indicadores proceso'!A:AT,46,FALSE)</f>
        <v>0.47826086956521741</v>
      </c>
      <c r="V25" s="116">
        <f t="shared" si="0"/>
        <v>0.11</v>
      </c>
      <c r="W25" s="116">
        <f t="shared" si="1"/>
        <v>5.2608695652173916E-2</v>
      </c>
      <c r="X25" s="98"/>
      <c r="Y25" s="491" t="str">
        <f>IF(VLOOKUP(A25,'Bateria indicadores proceso'!A:AT,36,FALSE)="","No registro avance",VLOOKUP(A25,'Bateria indicadores proceso'!A:AT,36,FALSE))</f>
        <v>Durante el período informado se llevaron a cabo cinco (5) reuniones de articulación interinstitucional, orientadas a fortalecer la coordinación y consolidar las capacidades técnicas de los enlaces legislativos del Gobierno nacional.
Abril : 2
Mayo :2
Junio : 1</v>
      </c>
      <c r="Z25" s="428" t="s">
        <v>1129</v>
      </c>
      <c r="AA25" s="129" t="str">
        <f>IF(VLOOKUP(A25,'Bateria indicadores proceso'!A:AT,37,FALSE)="","No reportó Evidencia",VLOOKUP(A25,'Bateria indicadores proceso'!A:AT,37,FALSE))</f>
        <v>https://mininteriorgovco.sharepoint.com/:f:/r/sites/EvidenciasOAP/Documentos%20compartidos/Evidencias%20Indicadores%20de%20Proceso%202026/04.%20Gesti%C3%B3n%20Pol%C3%ADtica%20y%20Gobierno/Direcci%C3%B3n%20de%20Asuntos%20Legislativos/II%20Trimestre/Ind021?csf=1&amp;web=1&amp;e=QpLqKE</v>
      </c>
      <c r="AB25" s="425" t="s">
        <v>1130</v>
      </c>
    </row>
    <row r="26" spans="1:28" s="93" customFormat="1" ht="202.5" customHeight="1">
      <c r="A26" s="92" t="s">
        <v>167</v>
      </c>
      <c r="B26" s="112" t="str">
        <f>VLOOKUP(A26,'Bateria indicadores proceso'!A:X,2,FALSE)</f>
        <v>MISIONAL</v>
      </c>
      <c r="C26" s="113" t="str">
        <f>VLOOKUP(A26,'Bateria indicadores proceso'!A:X,3,FALSE)</f>
        <v>GESTIÓN POLÍTICA Y GOBIERNO</v>
      </c>
      <c r="D26" s="113" t="str">
        <f>VLOOKUP(A26,'Bateria indicadores proceso'!A:X,7,FALSE)</f>
        <v>Subdirección de Gobierno, Gestión Territorial y Lucha contra la Trata</v>
      </c>
      <c r="E26" s="114">
        <f>VLOOKUP(A26,'Bateria indicadores proceso'!A:X,4,FALSE)</f>
        <v>0.33</v>
      </c>
      <c r="F26" s="114">
        <f>VLOOKUP(A26,'Bateria indicadores proceso'!A:X,6,FALSE)</f>
        <v>0.11</v>
      </c>
      <c r="G26" s="114" t="str">
        <f>VLOOKUP(A26,'Bateria indicadores proceso'!A:X,12,FALSE)</f>
        <v>Planes de Acción territorial PAT, realizados con los comités municipales y departamentales de la lucha contra la trata de personas.</v>
      </c>
      <c r="H26" s="114" t="str">
        <f>VLOOKUP(A26,'Bateria indicadores proceso'!A:AB,10,FALSE)</f>
        <v>Eficacia</v>
      </c>
      <c r="I26" s="114" t="str">
        <f>VLOOKUP(A26,'Bateria indicadores proceso'!A:AB,16,FALSE)</f>
        <v>Número</v>
      </c>
      <c r="J26" s="127">
        <f>VLOOKUP(A26,'Bateria indicadores proceso'!A:X,20,FALSE)</f>
        <v>30</v>
      </c>
      <c r="K26" s="127">
        <f>VLOOKUP(A26,'Bateria indicadores proceso'!A:X,21,FALSE)</f>
        <v>150</v>
      </c>
      <c r="L26" s="127">
        <f>VLOOKUP(A26,'Bateria indicadores proceso'!A:X,22,FALSE)</f>
        <v>150</v>
      </c>
      <c r="M26" s="127">
        <f>VLOOKUP(A26,'Bateria indicadores proceso'!A:X,23,FALSE)</f>
        <v>80</v>
      </c>
      <c r="N26" s="127">
        <f>VLOOKUP(A26,'Bateria indicadores proceso'!A:X,24,FALSE)</f>
        <v>410</v>
      </c>
      <c r="O26" s="127">
        <f>VLOOKUP(A26,'Bateria indicadores proceso'!A:AR,28,FALSE)</f>
        <v>30</v>
      </c>
      <c r="P26" s="127">
        <f>VLOOKUP(A26,'Bateria indicadores proceso'!A:AR,29,FALSE)</f>
        <v>212</v>
      </c>
      <c r="Q26" s="127">
        <f>VLOOKUP(A26,'Bateria indicadores proceso'!A:AR,30,FALSE)</f>
        <v>0</v>
      </c>
      <c r="R26" s="127">
        <f>VLOOKUP(A26,'Bateria indicadores proceso'!A:AR,31,FALSE)</f>
        <v>0</v>
      </c>
      <c r="S26" s="127">
        <f>VLOOKUP(A26,'Bateria indicadores proceso'!A:AR,32,FALSE)</f>
        <v>242</v>
      </c>
      <c r="T26" s="115">
        <f>VLOOKUP(A26,'Bateria indicadores proceso'!A:AT,45,FALSE)</f>
        <v>1.0000100000000001</v>
      </c>
      <c r="U26" s="119">
        <f>VLOOKUP(A26,'Bateria indicadores proceso'!A:AT,46,FALSE)</f>
        <v>0.59024390243902436</v>
      </c>
      <c r="V26" s="116">
        <f t="shared" si="0"/>
        <v>0.1100011</v>
      </c>
      <c r="W26" s="116">
        <f t="shared" si="1"/>
        <v>6.4926829268292685E-2</v>
      </c>
      <c r="X26" s="98"/>
      <c r="Y26" s="128" t="str">
        <f>IF(VLOOKUP(A26,'Bateria indicadores proceso'!A:AT,36,FALSE)="","No registro avance",VLOOKUP(A26,'Bateria indicadores proceso'!A:AT,36,FALSE))</f>
        <v xml:space="preserve">
En el segundo trimestre de la vigencia 2026 se realizaron 212 asistencias técnicas en 15 departamentos del país. Como parte de un ejercicio de priorización, desde el equipo PAT, enfocándose en la construcción de los PAT con los Comités Departamentales y con los Comités de las ciudades capitales de departamento. Las asistencias técnicas se realizaron: en el mes de abril 66 asistencias, mes de mayo 73 asistencias y en el mes de junio 73 asistencias.</v>
      </c>
      <c r="Z26" s="428" t="s">
        <v>1129</v>
      </c>
      <c r="AA26" s="129" t="str">
        <f>IF(VLOOKUP(A26,'Bateria indicadores proceso'!A:AT,37,FALSE)="","No reportó Evidencia",VLOOKUP(A26,'Bateria indicadores proceso'!A:AT,37,FALSE))</f>
        <v>https://mininteriorgovco.sharepoint.com/:f:/r/sites/EvidenciasOAP/Documentos%20compartidos/Evidencias%20Indicadores%20de%20Proceso%202026/04.%20Gesti%C3%B3n%20Pol%C3%ADtica%20y%20Gobierno/Subdirecci%C3%B3n%20de%20Gobierno%20y%20Gesti%C3%B3n%20Territorial%20y%20Lucha%20Contra%20la%20Trata/II%20Trimestre/Ind022?csf=1&amp;web=1&amp;e=MlKag5</v>
      </c>
      <c r="AB26" s="425" t="s">
        <v>1130</v>
      </c>
    </row>
    <row r="27" spans="1:28" s="4" customFormat="1" ht="202.5" customHeight="1">
      <c r="A27" s="92" t="s">
        <v>168</v>
      </c>
      <c r="B27" s="112" t="str">
        <f>VLOOKUP(A27,'Bateria indicadores proceso'!A:X,2,FALSE)</f>
        <v>MISIONAL</v>
      </c>
      <c r="C27" s="113" t="str">
        <f>VLOOKUP(A27,'Bateria indicadores proceso'!A:X,3,FALSE)</f>
        <v>GESTIÓN POLÍTICA Y GOBIERNO</v>
      </c>
      <c r="D27" s="113" t="str">
        <f>VLOOKUP(A27,'Bateria indicadores proceso'!A:X,7,FALSE)</f>
        <v>Subdirección de Gobierno, Gestión Territorial y Lucha contra la Trata</v>
      </c>
      <c r="E27" s="114">
        <f>VLOOKUP(A27,'Bateria indicadores proceso'!A:X,4,FALSE)</f>
        <v>0.33</v>
      </c>
      <c r="F27" s="114">
        <f>VLOOKUP(A27,'Bateria indicadores proceso'!A:X,6,FALSE)</f>
        <v>0.11</v>
      </c>
      <c r="G27" s="114" t="str">
        <f>VLOOKUP(A27,'Bateria indicadores proceso'!A:X,12,FALSE)</f>
        <v>Corporaciones Públicas, instancias de participación ciudadana, entidades territoriales fortalecidas</v>
      </c>
      <c r="H27" s="114" t="str">
        <f>VLOOKUP(A27,'Bateria indicadores proceso'!A:AB,10,FALSE)</f>
        <v>Eficiencia</v>
      </c>
      <c r="I27" s="114" t="str">
        <f>VLOOKUP(A27,'Bateria indicadores proceso'!A:AB,16,FALSE)</f>
        <v>Número</v>
      </c>
      <c r="J27" s="127">
        <f>VLOOKUP(A27,'Bateria indicadores proceso'!A:X,20,FALSE)</f>
        <v>0</v>
      </c>
      <c r="K27" s="127">
        <f>VLOOKUP(A27,'Bateria indicadores proceso'!A:X,21,FALSE)</f>
        <v>20</v>
      </c>
      <c r="L27" s="127">
        <f>VLOOKUP(A27,'Bateria indicadores proceso'!A:X,22,FALSE)</f>
        <v>20</v>
      </c>
      <c r="M27" s="127">
        <f>VLOOKUP(A27,'Bateria indicadores proceso'!A:X,23,FALSE)</f>
        <v>10</v>
      </c>
      <c r="N27" s="127">
        <f>VLOOKUP(A27,'Bateria indicadores proceso'!A:X,24,FALSE)</f>
        <v>50</v>
      </c>
      <c r="O27" s="127">
        <f>VLOOKUP(A27,'Bateria indicadores proceso'!A:AR,28,FALSE)</f>
        <v>0</v>
      </c>
      <c r="P27" s="127">
        <f>VLOOKUP(A27,'Bateria indicadores proceso'!A:AR,29,FALSE)</f>
        <v>20</v>
      </c>
      <c r="Q27" s="127">
        <f>VLOOKUP(A27,'Bateria indicadores proceso'!A:AR,30,FALSE)</f>
        <v>0</v>
      </c>
      <c r="R27" s="127">
        <f>VLOOKUP(A27,'Bateria indicadores proceso'!A:AR,31,FALSE)</f>
        <v>0</v>
      </c>
      <c r="S27" s="127">
        <f>VLOOKUP(A27,'Bateria indicadores proceso'!A:AR,32,FALSE)</f>
        <v>20</v>
      </c>
      <c r="T27" s="115">
        <f>VLOOKUP(A27,'Bateria indicadores proceso'!A:AT,45,FALSE)</f>
        <v>1</v>
      </c>
      <c r="U27" s="119">
        <f>VLOOKUP(A27,'Bateria indicadores proceso'!A:AT,46,FALSE)</f>
        <v>0.4</v>
      </c>
      <c r="V27" s="116">
        <f t="shared" si="0"/>
        <v>0.11</v>
      </c>
      <c r="W27" s="116">
        <f t="shared" si="1"/>
        <v>4.4000000000000004E-2</v>
      </c>
      <c r="X27" s="98"/>
      <c r="Y27" s="128" t="str">
        <f>IF(VLOOKUP(A27,'Bateria indicadores proceso'!A:AT,36,FALSE)="","No registro avance",VLOOKUP(A27,'Bateria indicadores proceso'!A:AT,36,FALSE))</f>
        <v>En el segundo trimestre de la vigencia 2026. En el proceso de fortalecimiento de la gestión de las corporaciones públicas de elección popular, las instancias de participación ciudadana y las entidades territoriales en la aplicabilidad de los instrumentos de gobernanza, se brindó acompañamiento técnico, culminando con la aprobación de los reglamentos internos de 20 Juntas Administradoras Locales en el departamento de Risaralda.</v>
      </c>
      <c r="Z27" s="428" t="s">
        <v>1129</v>
      </c>
      <c r="AA27" s="129" t="str">
        <f>IF(VLOOKUP(A27,'Bateria indicadores proceso'!A:AT,37,FALSE)="","No reportó Evidencia",VLOOKUP(A27,'Bateria indicadores proceso'!A:AT,37,FALSE))</f>
        <v>https://mininteriorgovco.sharepoint.com/:f:/r/sites/EvidenciasOAP/Documentos%20compartidos/Evidencias%20Indicadores%20de%20Proceso%202026/04.%20Gesti%C3%B3n%20Pol%C3%ADtica%20y%20Gobierno/Subdirecci%C3%B3n%20de%20Gobierno%20y%20Gesti%C3%B3n%20Territorial%20y%20Lucha%20Contra%20la%20Trata/II%20Trimestre/Ind023?csf=1&amp;web=1&amp;e=q0Uq62</v>
      </c>
      <c r="AB27" s="425" t="s">
        <v>1130</v>
      </c>
    </row>
    <row r="28" spans="1:28" s="93" customFormat="1" ht="202.5" customHeight="1">
      <c r="A28" s="92" t="s">
        <v>169</v>
      </c>
      <c r="B28" s="112" t="str">
        <f>VLOOKUP(A28,'Bateria indicadores proceso'!A:X,2,FALSE)</f>
        <v>MISIONAL</v>
      </c>
      <c r="C28" s="113" t="str">
        <f>VLOOKUP(A28,'Bateria indicadores proceso'!A:X,3,FALSE)</f>
        <v>GESTIÓN POLÍTICA Y GOBIERNO</v>
      </c>
      <c r="D28" s="113" t="str">
        <f>VLOOKUP(A28,'Bateria indicadores proceso'!A:X,7,FALSE)</f>
        <v>Subdirección de Gobierno, Gestión Territorial y Lucha contra la Trata</v>
      </c>
      <c r="E28" s="114">
        <f>VLOOKUP(A28,'Bateria indicadores proceso'!A:X,4,FALSE)</f>
        <v>0.33</v>
      </c>
      <c r="F28" s="114">
        <f>VLOOKUP(A28,'Bateria indicadores proceso'!A:X,6,FALSE)</f>
        <v>0.11</v>
      </c>
      <c r="G28" s="114" t="str">
        <f>VLOOKUP(A28,'Bateria indicadores proceso'!A:X,12,FALSE)</f>
        <v>Asistencias tecnicas evaluadas y resueltas satisfactoriamente</v>
      </c>
      <c r="H28" s="114" t="str">
        <f>VLOOKUP(A28,'Bateria indicadores proceso'!A:AB,10,FALSE)</f>
        <v>Efectividad</v>
      </c>
      <c r="I28" s="114" t="str">
        <f>VLOOKUP(A28,'Bateria indicadores proceso'!A:AB,16,FALSE)</f>
        <v>Porcentaje</v>
      </c>
      <c r="J28" s="125">
        <f>VLOOKUP(A28,'Bateria indicadores proceso'!A:X,20,FALSE)</f>
        <v>1</v>
      </c>
      <c r="K28" s="125">
        <f>VLOOKUP(A28,'Bateria indicadores proceso'!A:X,21,FALSE)</f>
        <v>1</v>
      </c>
      <c r="L28" s="125">
        <f>VLOOKUP(A28,'Bateria indicadores proceso'!A:X,22,FALSE)</f>
        <v>1</v>
      </c>
      <c r="M28" s="125">
        <f>VLOOKUP(A28,'Bateria indicadores proceso'!A:X,23,FALSE)</f>
        <v>1</v>
      </c>
      <c r="N28" s="126">
        <f>VLOOKUP(A28,'Bateria indicadores proceso'!A:X,24,FALSE)</f>
        <v>1</v>
      </c>
      <c r="O28" s="126">
        <f>VLOOKUP(A28,'Bateria indicadores proceso'!A:AR,28,FALSE)</f>
        <v>1</v>
      </c>
      <c r="P28" s="126" t="str">
        <f>VLOOKUP(A28,'Bateria indicadores proceso'!A:AR,29,FALSE)</f>
        <v xml:space="preserve">100%
</v>
      </c>
      <c r="Q28" s="126">
        <f>VLOOKUP(A28,'Bateria indicadores proceso'!A:AR,30,FALSE)</f>
        <v>0</v>
      </c>
      <c r="R28" s="126">
        <f>VLOOKUP(A28,'Bateria indicadores proceso'!A:AR,31,FALSE)</f>
        <v>0</v>
      </c>
      <c r="S28" s="126" t="str">
        <f>VLOOKUP(A28,'Bateria indicadores proceso'!A:AR,32,FALSE)</f>
        <v xml:space="preserve">100%
</v>
      </c>
      <c r="T28" s="115">
        <v>1</v>
      </c>
      <c r="U28" s="119">
        <v>1</v>
      </c>
      <c r="V28" s="116">
        <f t="shared" si="0"/>
        <v>0.11</v>
      </c>
      <c r="W28" s="116">
        <f t="shared" si="1"/>
        <v>0.11</v>
      </c>
      <c r="X28" s="98"/>
      <c r="Y28" s="128" t="str">
        <f>IF(VLOOKUP(A28,'Bateria indicadores proceso'!A:AT,36,FALSE)="","No registro avance",VLOOKUP(A28,'Bateria indicadores proceso'!A:AT,36,FALSE))</f>
        <v>En el segundo trimestre de la vigencia 2026, se realizaron 16 asistencias técnicas sobre el Protocolo para Identificar, Proteger y Asistir a las Víctimas de Trata de Personas en Contextos Migratorios, asistencias realizadas en comités municipales y Departamentales en los departamentos de: Boyacá, Meta, Casanare, choco, guajira, putumayo y Antioquia</v>
      </c>
      <c r="Z28" s="428" t="s">
        <v>1129</v>
      </c>
      <c r="AA28" s="129" t="str">
        <f>IF(VLOOKUP(A28,'Bateria indicadores proceso'!A:AT,37,FALSE)="","No reportó Evidencia",VLOOKUP(A28,'Bateria indicadores proceso'!A:AT,37,FALSE))</f>
        <v>https://mininteriorgovco.sharepoint.com/:f:/r/sites/EvidenciasOAP/Documentos%20compartidos/Evidencias%20Indicadores%20de%20Proceso%202026/04.%20Gesti%C3%B3n%20Pol%C3%ADtica%20y%20Gobierno/Subdirecci%C3%B3n%20de%20Gobierno%20y%20Gesti%C3%B3n%20Territorial%20y%20Lucha%20Contra%20la%20Trata/II%20Trimestre/Ind024?csf=1&amp;web=1&amp;e=3PnYaQ</v>
      </c>
      <c r="AB28" s="425" t="s">
        <v>1130</v>
      </c>
    </row>
    <row r="29" spans="1:28" s="93" customFormat="1" ht="330" customHeight="1">
      <c r="A29" s="92" t="s">
        <v>170</v>
      </c>
      <c r="B29" s="112" t="str">
        <f>VLOOKUP(A29,'Bateria indicadores proceso'!A:X,2,FALSE)</f>
        <v>MISIONAL</v>
      </c>
      <c r="C29" s="113" t="str">
        <f>VLOOKUP(A29,'Bateria indicadores proceso'!A:X,3,FALSE)</f>
        <v>GESTIÓN POLÍTICA Y GOBIERNO</v>
      </c>
      <c r="D29" s="113" t="str">
        <f>VLOOKUP(A29,'Bateria indicadores proceso'!A:X,7,FALSE)</f>
        <v>Dirección para la Democracia, la Participación Ciudadana y la Acción Comunal</v>
      </c>
      <c r="E29" s="114">
        <f>VLOOKUP(A29,'Bateria indicadores proceso'!A:X,4,FALSE)</f>
        <v>0.33</v>
      </c>
      <c r="F29" s="114">
        <f>VLOOKUP(A29,'Bateria indicadores proceso'!A:X,6,FALSE)</f>
        <v>0.11</v>
      </c>
      <c r="G29" s="114" t="str">
        <f>VLOOKUP(A29,'Bateria indicadores proceso'!A:X,12,FALSE)</f>
        <v>Visitas de asistencia técnica y jurídica a entidades de segundo nivel realizadas</v>
      </c>
      <c r="H29" s="114" t="str">
        <f>VLOOKUP(A29,'Bateria indicadores proceso'!A:AB,10,FALSE)</f>
        <v>Eficacia</v>
      </c>
      <c r="I29" s="114" t="str">
        <f>VLOOKUP(A29,'Bateria indicadores proceso'!A:AB,16,FALSE)</f>
        <v>Número</v>
      </c>
      <c r="J29" s="127">
        <f>VLOOKUP(A29,'Bateria indicadores proceso'!A:X,20,FALSE)</f>
        <v>20</v>
      </c>
      <c r="K29" s="127">
        <f>VLOOKUP(A29,'Bateria indicadores proceso'!A:X,21,FALSE)</f>
        <v>40</v>
      </c>
      <c r="L29" s="127">
        <f>VLOOKUP(A29,'Bateria indicadores proceso'!A:X,22,FALSE)</f>
        <v>40</v>
      </c>
      <c r="M29" s="127">
        <f>VLOOKUP(A29,'Bateria indicadores proceso'!A:X,23,FALSE)</f>
        <v>20</v>
      </c>
      <c r="N29" s="127">
        <f>VLOOKUP(A29,'Bateria indicadores proceso'!A:X,24,FALSE)</f>
        <v>120</v>
      </c>
      <c r="O29" s="127">
        <f>VLOOKUP(A29,'Bateria indicadores proceso'!A:AR,28,FALSE)</f>
        <v>35</v>
      </c>
      <c r="P29" s="127">
        <f>VLOOKUP(A29,'Bateria indicadores proceso'!A:AR,29,FALSE)</f>
        <v>48</v>
      </c>
      <c r="Q29" s="127">
        <f>VLOOKUP(A29,'Bateria indicadores proceso'!A:AR,30,FALSE)</f>
        <v>0</v>
      </c>
      <c r="R29" s="127">
        <f>VLOOKUP(A29,'Bateria indicadores proceso'!A:AR,31,FALSE)</f>
        <v>0</v>
      </c>
      <c r="S29" s="127">
        <f>VLOOKUP(A29,'Bateria indicadores proceso'!A:AR,32,FALSE)</f>
        <v>83</v>
      </c>
      <c r="T29" s="115">
        <f>VLOOKUP(A29,'Bateria indicadores proceso'!A:AT,45,FALSE)</f>
        <v>1.0000100000000001</v>
      </c>
      <c r="U29" s="119">
        <f>VLOOKUP(A29,'Bateria indicadores proceso'!A:AT,46,FALSE)</f>
        <v>0.69166666666666665</v>
      </c>
      <c r="V29" s="116">
        <f t="shared" si="0"/>
        <v>0.1100011</v>
      </c>
      <c r="W29" s="116">
        <f t="shared" si="1"/>
        <v>7.6083333333333336E-2</v>
      </c>
      <c r="X29" s="98"/>
      <c r="Y29" s="128" t="str">
        <f>IF(VLOOKUP(A29,'Bateria indicadores proceso'!A:AT,36,FALSE)="","No registro avance",VLOOKUP(A29,'Bateria indicadores proceso'!A:AT,36,FALSE))</f>
        <v>II Trimestre: Se realizaron 48 visitas de asistencias técnicas y jurídicas a los entes territoriales:
Febrero:
*20 de Febrero: 1 Gobernación de Norte de Santander y alcaldía delegada 1 San José Cucuta
*23 de Febrero: 1 Gobernación del Magdalena.
*26 de febrero: 1 Gobernación de Cauca.
*27 de febrero: 1 Gobernación del Tolima y alcaldías delegadas 1 Ibagué, 1 Chaparral.
Marzo:
*19 de marzo: 1 Gobernación del Cesar
*20 de marzo: 1 Gobernación de San Andrés
*24 de marzo: 1 Gobernación del Putumayo y alcaldías delegadas 1 Santiago, 1 Colón, 1 Puerto Guzman, 1 Orito, 1 Valle de Guamuez, 1 San miguel, 1 Puerto Leguízamo.
*25 de marzo: 1 Gobernación de Cordoba
*26 de marzo: 1 Gobernación de Cundinamarca- IDACO y alcaldías delegadas 1 Soacha, 1 Fusagasugá, 1 Chia.
Junio:
*10 Junio: 1 Gobernación de Bolívar y alcaldías delegadas: 1cartagena, 1 Turbaco, 1 Turbaná, 1 Villanueva, 1 clemencia, 1 Soplaviento, 1 San juan de Nepomuceno, 1 San Estanislao, 1 Santa catalina; 1 Instituto distrital de Cartagena, 1 Gobernación del valle del cauca y alcaldías delegadas 1 Cali, 1 Buenaventura, 1 Palmira, 1 Yumbo
*16 Junio: 1 Gobernación de Caldas y 1 alcaldía delegada de Manizales.
*23 de Junio: 1 Gobernación del Huila y alcaldías delegadas 1 Pitalito, 1 Neiva, 1 La Plata.
*25 Junio: 1 Gobernación de Santander y alcaldías delegadas 1 Piedecuesta, 1 Girón, 1 Bucaramanga.
Ene: 0, Feb: 7, Mar: 15 
Abr: 0, May: 0, Jun: 26</v>
      </c>
      <c r="Z29" s="428" t="s">
        <v>1129</v>
      </c>
      <c r="AA29" s="129" t="str">
        <f>IF(VLOOKUP(A29,'Bateria indicadores proceso'!A:AT,37,FALSE)="","No reportó Evidencia",VLOOKUP(A29,'Bateria indicadores proceso'!A:AT,37,FALSE))</f>
        <v>Ind025</v>
      </c>
      <c r="AB29" s="425" t="s">
        <v>1130</v>
      </c>
    </row>
    <row r="30" spans="1:28" s="93" customFormat="1" ht="202.5" customHeight="1">
      <c r="A30" s="92" t="s">
        <v>171</v>
      </c>
      <c r="B30" s="112" t="str">
        <f>VLOOKUP(A30,'Bateria indicadores proceso'!A:X,2,FALSE)</f>
        <v>MISIONAL</v>
      </c>
      <c r="C30" s="113" t="str">
        <f>VLOOKUP(A30,'Bateria indicadores proceso'!A:X,3,FALSE)</f>
        <v>GESTIÓN POLÍTICA Y GOBIERNO</v>
      </c>
      <c r="D30" s="113" t="str">
        <f>VLOOKUP(A30,'Bateria indicadores proceso'!A:X,7,FALSE)</f>
        <v>Dirección para la Democracia, la Participación Ciudadana y la Acción Comunal</v>
      </c>
      <c r="E30" s="114">
        <f>VLOOKUP(A30,'Bateria indicadores proceso'!A:X,4,FALSE)</f>
        <v>0.33</v>
      </c>
      <c r="F30" s="114">
        <f>VLOOKUP(A30,'Bateria indicadores proceso'!A:X,6,FALSE)</f>
        <v>0.11</v>
      </c>
      <c r="G30" s="114" t="str">
        <f>VLOOKUP(A30,'Bateria indicadores proceso'!A:X,12,FALSE)</f>
        <v xml:space="preserve">Visitas de inspección, vigilancia y control a organizaciones de tercer y cuarto grado realizadas									</v>
      </c>
      <c r="H30" s="114" t="str">
        <f>VLOOKUP(A30,'Bateria indicadores proceso'!A:AB,10,FALSE)</f>
        <v>Eficacia</v>
      </c>
      <c r="I30" s="114" t="str">
        <f>VLOOKUP(A30,'Bateria indicadores proceso'!A:AB,16,FALSE)</f>
        <v>Número</v>
      </c>
      <c r="J30" s="127">
        <f>VLOOKUP(A30,'Bateria indicadores proceso'!A:X,20,FALSE)</f>
        <v>10</v>
      </c>
      <c r="K30" s="127">
        <f>VLOOKUP(A30,'Bateria indicadores proceso'!A:X,21,FALSE)</f>
        <v>20</v>
      </c>
      <c r="L30" s="127">
        <f>VLOOKUP(A30,'Bateria indicadores proceso'!A:X,22,FALSE)</f>
        <v>10</v>
      </c>
      <c r="M30" s="127">
        <f>VLOOKUP(A30,'Bateria indicadores proceso'!A:X,23,FALSE)</f>
        <v>3</v>
      </c>
      <c r="N30" s="127">
        <f>VLOOKUP(A30,'Bateria indicadores proceso'!A:X,24,FALSE)</f>
        <v>43</v>
      </c>
      <c r="O30" s="127">
        <f>VLOOKUP(A30,'Bateria indicadores proceso'!A:AR,28,FALSE)</f>
        <v>9</v>
      </c>
      <c r="P30" s="127">
        <f>VLOOKUP(A30,'Bateria indicadores proceso'!A:AR,29,FALSE)</f>
        <v>9</v>
      </c>
      <c r="Q30" s="127">
        <f>VLOOKUP(A30,'Bateria indicadores proceso'!A:AR,30,FALSE)</f>
        <v>0</v>
      </c>
      <c r="R30" s="127">
        <f>VLOOKUP(A30,'Bateria indicadores proceso'!A:AR,31,FALSE)</f>
        <v>0</v>
      </c>
      <c r="S30" s="127">
        <f>VLOOKUP(A30,'Bateria indicadores proceso'!A:AR,32,FALSE)</f>
        <v>18</v>
      </c>
      <c r="T30" s="115">
        <f>VLOOKUP(A30,'Bateria indicadores proceso'!A:AT,45,FALSE)</f>
        <v>0.45</v>
      </c>
      <c r="U30" s="119">
        <f>VLOOKUP(A30,'Bateria indicadores proceso'!A:AT,46,FALSE)</f>
        <v>0.41860465116279072</v>
      </c>
      <c r="V30" s="116">
        <f t="shared" si="0"/>
        <v>4.9500000000000002E-2</v>
      </c>
      <c r="W30" s="116">
        <f t="shared" si="1"/>
        <v>4.6046511627906982E-2</v>
      </c>
      <c r="X30" s="98"/>
      <c r="Y30" s="128" t="str">
        <f>IF(VLOOKUP(A30,'Bateria indicadores proceso'!A:AT,36,FALSE)="","No registro avance",VLOOKUP(A30,'Bateria indicadores proceso'!A:AT,36,FALSE))</f>
        <v>II Trimestre: Se realizaron 9 visitas de Inspección, Vigilancia y Control a las Federaciones de Acción Comunal:
8 de Abril: IVC Federación de Cauca
8 de Abril: IVC Federación de Risaralda
8 de Abril: IVC Federación de Pereira.
11 de Junio: IVC Federación  Santiago de Cali
11 de Junio: IVC Federación del Valle del Cauca
12 de Junio: IVC Federación de Cartagena
20 de Junio: IVC: Federación de Santa Marta
24 de Junio: IVC Federación de Putumayo
24 de Junio: Federación de Neiva
Abr: 3, May: 0, Jun: 6</v>
      </c>
      <c r="Z30" s="428" t="s">
        <v>1129</v>
      </c>
      <c r="AA30" s="129" t="str">
        <f>IF(VLOOKUP(A30,'Bateria indicadores proceso'!A:AT,37,FALSE)="","No reportó Evidencia",VLOOKUP(A30,'Bateria indicadores proceso'!A:AT,37,FALSE))</f>
        <v>Ind026</v>
      </c>
      <c r="AB30" s="425" t="s">
        <v>1130</v>
      </c>
    </row>
    <row r="31" spans="1:28" s="93" customFormat="1" ht="202.5" customHeight="1">
      <c r="A31" s="92" t="s">
        <v>172</v>
      </c>
      <c r="B31" s="112" t="str">
        <f>VLOOKUP(A31,'Bateria indicadores proceso'!A:X,2,FALSE)</f>
        <v>MISIONAL</v>
      </c>
      <c r="C31" s="113" t="str">
        <f>VLOOKUP(A31,'Bateria indicadores proceso'!A:X,3,FALSE)</f>
        <v>GESTIÓN POLÍTICA Y GOBIERNO</v>
      </c>
      <c r="D31" s="113" t="str">
        <f>VLOOKUP(A31,'Bateria indicadores proceso'!A:X,7,FALSE)</f>
        <v>Dirección para la Democracia, la Participación Ciudadana y la Acción Comunal</v>
      </c>
      <c r="E31" s="114">
        <f>VLOOKUP(A31,'Bateria indicadores proceso'!A:X,4,FALSE)</f>
        <v>0.33</v>
      </c>
      <c r="F31" s="114">
        <f>VLOOKUP(A31,'Bateria indicadores proceso'!A:X,6,FALSE)</f>
        <v>0.11</v>
      </c>
      <c r="G31" s="114" t="str">
        <f>VLOOKUP(A31,'Bateria indicadores proceso'!A:X,12,FALSE)</f>
        <v>Acciones de fortalecimiento de la política pública de participación ciudadana y electoral - PPPCyE realizadas</v>
      </c>
      <c r="H31" s="114" t="str">
        <f>VLOOKUP(A31,'Bateria indicadores proceso'!A:AB,10,FALSE)</f>
        <v>Eficacia</v>
      </c>
      <c r="I31" s="114" t="str">
        <f>VLOOKUP(A31,'Bateria indicadores proceso'!A:AB,16,FALSE)</f>
        <v>Número</v>
      </c>
      <c r="J31" s="127">
        <f>VLOOKUP(A31,'Bateria indicadores proceso'!A:X,20,FALSE)</f>
        <v>4</v>
      </c>
      <c r="K31" s="127">
        <f>VLOOKUP(A31,'Bateria indicadores proceso'!A:X,21,FALSE)</f>
        <v>12</v>
      </c>
      <c r="L31" s="127">
        <f>VLOOKUP(A31,'Bateria indicadores proceso'!A:X,22,FALSE)</f>
        <v>12</v>
      </c>
      <c r="M31" s="127">
        <f>VLOOKUP(A31,'Bateria indicadores proceso'!A:X,23,FALSE)</f>
        <v>4</v>
      </c>
      <c r="N31" s="127">
        <f>VLOOKUP(A31,'Bateria indicadores proceso'!A:X,24,FALSE)</f>
        <v>32</v>
      </c>
      <c r="O31" s="127">
        <f>VLOOKUP(A31,'Bateria indicadores proceso'!A:AR,28,FALSE)</f>
        <v>13</v>
      </c>
      <c r="P31" s="127">
        <f>VLOOKUP(A31,'Bateria indicadores proceso'!A:AR,29,FALSE)</f>
        <v>12</v>
      </c>
      <c r="Q31" s="127">
        <f>VLOOKUP(A31,'Bateria indicadores proceso'!A:AR,30,FALSE)</f>
        <v>0</v>
      </c>
      <c r="R31" s="127">
        <f>VLOOKUP(A31,'Bateria indicadores proceso'!A:AR,31,FALSE)</f>
        <v>0</v>
      </c>
      <c r="S31" s="127">
        <f>VLOOKUP(A31,'Bateria indicadores proceso'!A:AR,32,FALSE)</f>
        <v>25</v>
      </c>
      <c r="T31" s="115">
        <f>VLOOKUP(A31,'Bateria indicadores proceso'!A:AT,45,FALSE)</f>
        <v>1</v>
      </c>
      <c r="U31" s="119">
        <f>VLOOKUP(A31,'Bateria indicadores proceso'!A:AT,46,FALSE)</f>
        <v>0.78125</v>
      </c>
      <c r="V31" s="116">
        <f t="shared" si="0"/>
        <v>0.11</v>
      </c>
      <c r="W31" s="116">
        <f t="shared" si="1"/>
        <v>8.59375E-2</v>
      </c>
      <c r="X31" s="98"/>
      <c r="Y31" s="128" t="str">
        <f>IF(VLOOKUP(A31,'Bateria indicadores proceso'!A:AT,36,FALSE)="","No registro avance",VLOOKUP(A31,'Bateria indicadores proceso'!A:AT,36,FALSE))</f>
        <v>II Trimestre:
Se realizaron 12 eventos de fortalecimiento y socialización de La política pública de participación ciudadana y electoral en los siguientes departamentos: 1 Arauca, 1 Caquetá, 1 Casanare, 1 Córdoba, 2 Cundinamarca, 1 La Guajira, 1 Norte de Santander,1 Sucre 1 Putumayo, 1 San Andrés y 1 Vichada.
Abr: 2, May: 5, Jun: 5</v>
      </c>
      <c r="Z31" s="428" t="s">
        <v>1129</v>
      </c>
      <c r="AA31" s="129" t="str">
        <f>IF(VLOOKUP(A31,'Bateria indicadores proceso'!A:AT,37,FALSE)="","No reportó Evidencia",VLOOKUP(A31,'Bateria indicadores proceso'!A:AT,37,FALSE))</f>
        <v>Ind027</v>
      </c>
      <c r="AB31" s="425" t="s">
        <v>1130</v>
      </c>
    </row>
    <row r="32" spans="1:28" s="93" customFormat="1" ht="202.5" customHeight="1">
      <c r="A32" s="92" t="s">
        <v>577</v>
      </c>
      <c r="B32" s="112" t="str">
        <f>VLOOKUP(A32,'Bateria indicadores proceso'!A:X,2,FALSE)</f>
        <v>MISIONAL</v>
      </c>
      <c r="C32" s="113" t="str">
        <f>VLOOKUP(A32,'Bateria indicadores proceso'!A:X,3,FALSE)</f>
        <v>GESTIÓN PARA LA PROTECCIÓN DE LOS DERECHOS</v>
      </c>
      <c r="D32" s="113" t="str">
        <f>VLOOKUP(A32,'Bateria indicadores proceso'!A:X,7,FALSE)</f>
        <v xml:space="preserve">Grupo de Articulación Interna para la Política de Víctimas del Conflicto Armado. </v>
      </c>
      <c r="E32" s="114">
        <f>VLOOKUP(A32,'Bateria indicadores proceso'!A:X,4,FALSE)</f>
        <v>0.11</v>
      </c>
      <c r="F32" s="114">
        <f>VLOOKUP(A32,'Bateria indicadores proceso'!A:X,6,FALSE)</f>
        <v>5.5E-2</v>
      </c>
      <c r="G32" s="114" t="str">
        <f>VLOOKUP(A32,'Bateria indicadores proceso'!A:X,12,FALSE)</f>
        <v>Documentos técnicos, orientados al seguimiento y cumplimiento de la Sentencia T-025 de 2004 y sus autos de seguimiento, en el marco de las competencias del Grupo de Articulación Interna para la Política de Víctimas, elaborados y entregados.</v>
      </c>
      <c r="H32" s="114" t="str">
        <f>VLOOKUP(A32,'Bateria indicadores proceso'!A:AB,10,FALSE)</f>
        <v>Eficacia</v>
      </c>
      <c r="I32" s="114" t="str">
        <f>VLOOKUP(A32,'Bateria indicadores proceso'!A:AB,16,FALSE)</f>
        <v>Porcentaje</v>
      </c>
      <c r="J32" s="125">
        <f>VLOOKUP(A32,'Bateria indicadores proceso'!A:X,20,FALSE)</f>
        <v>1</v>
      </c>
      <c r="K32" s="125">
        <f>VLOOKUP(A32,'Bateria indicadores proceso'!A:X,21,FALSE)</f>
        <v>1</v>
      </c>
      <c r="L32" s="125">
        <f>VLOOKUP(A32,'Bateria indicadores proceso'!A:X,22,FALSE)</f>
        <v>1</v>
      </c>
      <c r="M32" s="125">
        <f>VLOOKUP(A32,'Bateria indicadores proceso'!A:X,23,FALSE)</f>
        <v>1</v>
      </c>
      <c r="N32" s="126">
        <f>VLOOKUP(A32,'Bateria indicadores proceso'!A:X,24,FALSE)</f>
        <v>1</v>
      </c>
      <c r="O32" s="126">
        <f>VLOOKUP(A32,'Bateria indicadores proceso'!A:AR,28,FALSE)</f>
        <v>1</v>
      </c>
      <c r="P32" s="126">
        <f>VLOOKUP(A32,'Bateria indicadores proceso'!A:AR,29,FALSE)</f>
        <v>1</v>
      </c>
      <c r="Q32" s="126">
        <f>VLOOKUP(A32,'Bateria indicadores proceso'!A:AR,30,FALSE)</f>
        <v>0</v>
      </c>
      <c r="R32" s="126">
        <f>VLOOKUP(A32,'Bateria indicadores proceso'!A:AR,31,FALSE)</f>
        <v>0</v>
      </c>
      <c r="S32" s="126">
        <v>1</v>
      </c>
      <c r="T32" s="115">
        <v>1</v>
      </c>
      <c r="U32" s="119">
        <v>1</v>
      </c>
      <c r="V32" s="116">
        <f t="shared" si="0"/>
        <v>5.5E-2</v>
      </c>
      <c r="W32" s="116">
        <f t="shared" si="1"/>
        <v>5.5E-2</v>
      </c>
      <c r="X32" s="98"/>
      <c r="Y32" s="128" t="str">
        <f>IF(VLOOKUP(A32,'Bateria indicadores proceso'!A:AT,36,FALSE)="","No registro avance",VLOOKUP(A32,'Bateria indicadores proceso'!A:AT,36,FALSE))</f>
        <v>Durante el segundo trimestre de la vigencia se elaboró un (1) informe en el marco del seguimiento a la Sentencia T-025 de 2004 y sus autos de seguimiento, en cumplimiento de los requerimientos institucionales y de las obligaciones derivadas de este proceso. En consecuencia, durante este periodo las acciones se concentraron en la consolidación, análisis y presentación de la información requerida para la elaboración del citado informe.</v>
      </c>
      <c r="Z32" s="429" t="s">
        <v>1129</v>
      </c>
      <c r="AA32" s="129" t="str">
        <f>IF(VLOOKUP(A32,'Bateria indicadores proceso'!A:AT,37,FALSE)="","No reportó Evidencia",VLOOKUP(A32,'Bateria indicadores proceso'!A:AT,37,FALSE))</f>
        <v>Ind028</v>
      </c>
      <c r="AB32" s="425" t="s">
        <v>1136</v>
      </c>
    </row>
    <row r="33" spans="1:28" s="4" customFormat="1" ht="318.75" customHeight="1">
      <c r="A33" s="92" t="s">
        <v>173</v>
      </c>
      <c r="B33" s="112" t="str">
        <f>VLOOKUP(A33,'Bateria indicadores proceso'!A:X,2,FALSE)</f>
        <v>MISIONAL</v>
      </c>
      <c r="C33" s="113" t="str">
        <f>VLOOKUP(A33,'Bateria indicadores proceso'!A:X,3,FALSE)</f>
        <v>GESTIÓN PARA LA PROTECCIÓN DE LOS DERECHOS</v>
      </c>
      <c r="D33" s="113" t="str">
        <f>VLOOKUP(A33,'Bateria indicadores proceso'!A:X,7,FALSE)</f>
        <v xml:space="preserve">Grupo de Articulación Interna para la Política de Víctimas del Conflicto Armado. </v>
      </c>
      <c r="E33" s="114">
        <f>VLOOKUP(A33,'Bateria indicadores proceso'!A:X,4,FALSE)</f>
        <v>0.11</v>
      </c>
      <c r="F33" s="114">
        <f>VLOOKUP(A33,'Bateria indicadores proceso'!A:X,6,FALSE)</f>
        <v>5.5E-2</v>
      </c>
      <c r="G33" s="114" t="str">
        <f>VLOOKUP(A33,'Bateria indicadores proceso'!A:X,12,FALSE)</f>
        <v>Asistencias técnicas realizadas a las entidades territoriales para la articulación de la política pública de víctimas.</v>
      </c>
      <c r="H33" s="114" t="str">
        <f>VLOOKUP(A33,'Bateria indicadores proceso'!A:AB,10,FALSE)</f>
        <v>Eficiencia</v>
      </c>
      <c r="I33" s="114" t="str">
        <f>VLOOKUP(A33,'Bateria indicadores proceso'!A:AB,16,FALSE)</f>
        <v>Número</v>
      </c>
      <c r="J33" s="127">
        <f>VLOOKUP(A33,'Bateria indicadores proceso'!A:X,20,FALSE)</f>
        <v>99</v>
      </c>
      <c r="K33" s="127">
        <f>VLOOKUP(A33,'Bateria indicadores proceso'!A:X,21,FALSE)</f>
        <v>345</v>
      </c>
      <c r="L33" s="127">
        <f>VLOOKUP(A33,'Bateria indicadores proceso'!A:X,22,FALSE)</f>
        <v>345</v>
      </c>
      <c r="M33" s="127">
        <f>VLOOKUP(A33,'Bateria indicadores proceso'!A:X,23,FALSE)</f>
        <v>345</v>
      </c>
      <c r="N33" s="127">
        <f>VLOOKUP(A33,'Bateria indicadores proceso'!A:X,24,FALSE)</f>
        <v>1134</v>
      </c>
      <c r="O33" s="127">
        <f>VLOOKUP(A33,'Bateria indicadores proceso'!A:AR,28,FALSE)</f>
        <v>1041</v>
      </c>
      <c r="P33" s="127">
        <f>VLOOKUP(A33,'Bateria indicadores proceso'!A:AR,29,FALSE)</f>
        <v>135</v>
      </c>
      <c r="Q33" s="127">
        <f>VLOOKUP(A33,'Bateria indicadores proceso'!A:AR,30,FALSE)</f>
        <v>0</v>
      </c>
      <c r="R33" s="127">
        <f>VLOOKUP(A33,'Bateria indicadores proceso'!A:AR,31,FALSE)</f>
        <v>0</v>
      </c>
      <c r="S33" s="127">
        <f>+O33+P33</f>
        <v>1176</v>
      </c>
      <c r="T33" s="115">
        <f>VLOOKUP(A33,'Bateria indicadores proceso'!A:AT,45,FALSE)</f>
        <v>0.39130434782608697</v>
      </c>
      <c r="U33" s="119">
        <f>VLOOKUP(A33,'Bateria indicadores proceso'!A:AT,46,FALSE)</f>
        <v>1.0000100000000001</v>
      </c>
      <c r="V33" s="116">
        <f t="shared" si="0"/>
        <v>2.1521739130434783E-2</v>
      </c>
      <c r="W33" s="116">
        <f t="shared" si="1"/>
        <v>5.5000550000000002E-2</v>
      </c>
      <c r="X33" s="98"/>
      <c r="Y33" s="128" t="str">
        <f>IF(VLOOKUP(A33,'Bateria indicadores proceso'!A:AT,36,FALSE)="","No registro avance",VLOOKUP(A33,'Bateria indicadores proceso'!A:AT,36,FALSE))</f>
        <v>Para el segundo trimestre se estableció como meta brindar asistencia técnica a 354 entidades territoriales. Durante el periodo de seguimiento, se brindó asistencia técnica a 135 entidades territoriales en temas relacionados con la planeación, gestión e implementación de la Política Pública de Víctimas, alcanzando el cumplimiento previsto para las actividades programadas en el trimestre.
Las asistencias técnicas se desarrollaron mediante tres (3) jornadas, en las que participaron 135 alcaldías municipales, de acuerdo con el siguiente detalle:
• Una (1) jornada, realizada el 28 de abril de 2026, sobre asistencia técnica para el diligenciamiento del RUSICST y el fortalecimiento de capacidades para el reporte de información de la Política Pública de Víctimas.
• Una (1) jornada, realizada el 14 de mayo de 2026, sobre la presentación de la oferta institucional del FONSECON (Fondo Nacional de Seguridad y Convivencia Ciudadana).
•Una (1) jornada, realizada el 15 de abril de 2026, sobre el fortalecimiento de capacidades de las entidades territoriales en el marco de la respuesta rápida a las Alertas Tempranas – CIPRAT.
Durante estas jornadas se fortalecieron las capacidades técnicas de las entidades territoriales mediante la orientación en el diligenciamiento del RUSICST, la socialización de la oferta institucional del FONSECON y la asistencia técnica para la implementación de acciones relacionadas con la respuesta rápida a las Alertas Tempranas en el marco del CIPRAT, contribuyendo al fortalecimiento de la gestión territorial de la Política Pública de Víctimas.</v>
      </c>
      <c r="Z33" s="429" t="s">
        <v>1129</v>
      </c>
      <c r="AA33" s="129" t="str">
        <f>IF(VLOOKUP(A33,'Bateria indicadores proceso'!A:AT,37,FALSE)="","No reportó Evidencia",VLOOKUP(A33,'Bateria indicadores proceso'!A:AT,37,FALSE))</f>
        <v>Ind029</v>
      </c>
      <c r="AB33" s="425" t="s">
        <v>1136</v>
      </c>
    </row>
    <row r="34" spans="1:28" s="93" customFormat="1" ht="320.10000000000002" customHeight="1">
      <c r="A34" s="92" t="s">
        <v>174</v>
      </c>
      <c r="B34" s="112" t="str">
        <f>VLOOKUP(A34,'Bateria indicadores proceso'!A:X,2,FALSE)</f>
        <v>MISIONAL</v>
      </c>
      <c r="C34" s="113" t="str">
        <f>VLOOKUP(A34,'Bateria indicadores proceso'!A:X,3,FALSE)</f>
        <v>GESTIÓN PARA LA PROTECCIÓN DE LOS DERECHOS</v>
      </c>
      <c r="D34" s="113" t="str">
        <f>VLOOKUP(A34,'Bateria indicadores proceso'!A:X,7,FALSE)</f>
        <v>Dirección de Derechos Humanos</v>
      </c>
      <c r="E34" s="114">
        <f>VLOOKUP(A34,'Bateria indicadores proceso'!A:X,4,FALSE)</f>
        <v>0.11</v>
      </c>
      <c r="F34" s="114">
        <f>VLOOKUP(A34,'Bateria indicadores proceso'!A:X,6,FALSE)</f>
        <v>0.02</v>
      </c>
      <c r="G34" s="114" t="str">
        <f>VLOOKUP(A34,'Bateria indicadores proceso'!A:X,12,FALSE)</f>
        <v>Planes integrales de prevención formulados o actualizados frente a violaciones de Derechos Humanos e infracciones al Derecho Internacional Humanitario</v>
      </c>
      <c r="H34" s="114" t="str">
        <f>VLOOKUP(A34,'Bateria indicadores proceso'!A:AB,10,FALSE)</f>
        <v>Eficacia</v>
      </c>
      <c r="I34" s="114" t="str">
        <f>VLOOKUP(A34,'Bateria indicadores proceso'!A:AB,16,FALSE)</f>
        <v>Número</v>
      </c>
      <c r="J34" s="127">
        <f>VLOOKUP(A34,'Bateria indicadores proceso'!A:X,20,FALSE)</f>
        <v>20</v>
      </c>
      <c r="K34" s="127">
        <f>VLOOKUP(A34,'Bateria indicadores proceso'!A:X,21,FALSE)</f>
        <v>80</v>
      </c>
      <c r="L34" s="127">
        <f>VLOOKUP(A34,'Bateria indicadores proceso'!A:X,22,FALSE)</f>
        <v>80</v>
      </c>
      <c r="M34" s="127">
        <f>VLOOKUP(A34,'Bateria indicadores proceso'!A:X,23,FALSE)</f>
        <v>40</v>
      </c>
      <c r="N34" s="127">
        <f>VLOOKUP(A34,'Bateria indicadores proceso'!A:X,24,FALSE)</f>
        <v>220</v>
      </c>
      <c r="O34" s="127">
        <f>VLOOKUP(A34,'Bateria indicadores proceso'!A:AR,28,FALSE)</f>
        <v>0</v>
      </c>
      <c r="P34" s="127">
        <f>VLOOKUP(A34,'Bateria indicadores proceso'!A:AR,29,FALSE)</f>
        <v>77</v>
      </c>
      <c r="Q34" s="127">
        <f>VLOOKUP(A34,'Bateria indicadores proceso'!A:AR,30,FALSE)</f>
        <v>0</v>
      </c>
      <c r="R34" s="127">
        <f>VLOOKUP(A34,'Bateria indicadores proceso'!A:AR,31,FALSE)</f>
        <v>0</v>
      </c>
      <c r="S34" s="127">
        <f>VLOOKUP(A34,'Bateria indicadores proceso'!A:AR,32,FALSE)</f>
        <v>77</v>
      </c>
      <c r="T34" s="115">
        <f>VLOOKUP(A34,'Bateria indicadores proceso'!A:AT,45,FALSE)</f>
        <v>0.96250000000000002</v>
      </c>
      <c r="U34" s="119">
        <f>VLOOKUP(A34,'Bateria indicadores proceso'!A:AT,46,FALSE)</f>
        <v>0.35</v>
      </c>
      <c r="V34" s="116">
        <f t="shared" si="0"/>
        <v>1.925E-2</v>
      </c>
      <c r="W34" s="116">
        <f t="shared" si="1"/>
        <v>6.9999999999999993E-3</v>
      </c>
      <c r="X34" s="98"/>
      <c r="Y34" s="128" t="str">
        <f>IF(VLOOKUP(A34,'Bateria indicadores proceso'!A:AT,36,FALSE)="","No registro avance",VLOOKUP(A34,'Bateria indicadores proceso'!A:AT,36,FALSE))</f>
        <v>Durante el Trimestre objeto de reporte se acompañaron 77 entidades territoriales para la formulación y/o actualización de los documentos de los Planes Integrales de Prevención – PIP, así:
• Amazonas: Departamento, Leticia y Puerto Nariño
• Caldas: Departamento
• Chocó: Departamento, Medio San Juan, Bahía Solano, Bagadó, Medio Atrato, Atrato y San José del Palmar
• Cundinamarca: Departamento, Chía, Puerto Salgar
• Nariño: El Tambo, El Peñol, Policarpa, El Rosario, Leiva, Cumbitara, Los Andes Sotomayor, Samaniego, Ipiales
• Norte de Santander: Cáchira, La Esperanza, Ocaña, Ábrego
• Risaralda: Departamento, Belén de Umbría, Mistrató, Pueblo Rico
• San Andrés: Departamento
• Tolima: Departamento, Planadas, Ataco
• Valle del Cauca: Cartago, Buenaventura
• Sucre: Chalán, Ovejas, Galeras
• Córdoba: Departamento, Tierralta, Ayapel, Puerto Libertador, Montelíbano
• Meta: Mapiripán, Mesetas, Vistahermosa, Departamento, Macarena, Puerto Gaitán
• Bolívar: San Jacinto
• Quindío: Quimbaya
• Antioquia: Remedios, Segovia, Amalfi, Anorí, Vegachí, Apartadó, Carepa, Chigorodó, Murindó, Yondó, Vigía del Fuerte, Turbo
• Vichada: Departamento, Santa Rosalía
• Guaviare: Departamento, San José del Guaviare, Calamar
• Atlántico: Departamento
• Caquetá: Cartagena del Chairá, Florencia, La Montañita, Milán, San Vicente del Caguán Solano, Puerto Rico
• Huila: Pitalito
• Magdalena: El Banco</v>
      </c>
      <c r="Z34" s="428" t="s">
        <v>1131</v>
      </c>
      <c r="AA34" s="129" t="str">
        <f>IF(VLOOKUP(A34,'Bateria indicadores proceso'!A:AT,37,FALSE)="","No reportó Evidencia",VLOOKUP(A34,'Bateria indicadores proceso'!A:AT,37,FALSE))</f>
        <v>Política de Prevención</v>
      </c>
      <c r="AB34" s="425" t="s">
        <v>1130</v>
      </c>
    </row>
    <row r="35" spans="1:28" s="4" customFormat="1" ht="202.5" customHeight="1">
      <c r="A35" s="92" t="s">
        <v>175</v>
      </c>
      <c r="B35" s="112" t="str">
        <f>VLOOKUP(A35,'Bateria indicadores proceso'!A:X,2,FALSE)</f>
        <v>MISIONAL</v>
      </c>
      <c r="C35" s="113" t="str">
        <f>VLOOKUP(A35,'Bateria indicadores proceso'!A:X,3,FALSE)</f>
        <v>GESTIÓN PARA LA PROTECCIÓN DE LOS DERECHOS</v>
      </c>
      <c r="D35" s="113" t="str">
        <f>VLOOKUP(A35,'Bateria indicadores proceso'!A:X,7,FALSE)</f>
        <v>Dirección de Derechos Humanos</v>
      </c>
      <c r="E35" s="114">
        <f>VLOOKUP(A35,'Bateria indicadores proceso'!A:X,4,FALSE)</f>
        <v>0.11</v>
      </c>
      <c r="F35" s="114">
        <f>VLOOKUP(A35,'Bateria indicadores proceso'!A:X,6,FALSE)</f>
        <v>0.02</v>
      </c>
      <c r="G35" s="114" t="str">
        <f>VLOOKUP(A35,'Bateria indicadores proceso'!A:X,12,FALSE)</f>
        <v xml:space="preserve">Actividades de la Dirección de Derechos Humanos implementadas en el marco del Programa Integral de Seguridad y Protección para Comunidades y Organizaciones en los Territorios.									</v>
      </c>
      <c r="H35" s="114" t="str">
        <f>VLOOKUP(A35,'Bateria indicadores proceso'!A:AB,10,FALSE)</f>
        <v>Eficacia</v>
      </c>
      <c r="I35" s="114" t="str">
        <f>VLOOKUP(A35,'Bateria indicadores proceso'!A:AB,16,FALSE)</f>
        <v>Porcentaje</v>
      </c>
      <c r="J35" s="125">
        <f>VLOOKUP(A35,'Bateria indicadores proceso'!A:X,20,FALSE)</f>
        <v>1</v>
      </c>
      <c r="K35" s="125">
        <f>VLOOKUP(A35,'Bateria indicadores proceso'!A:X,21,FALSE)</f>
        <v>1</v>
      </c>
      <c r="L35" s="125">
        <f>VLOOKUP(A35,'Bateria indicadores proceso'!A:X,22,FALSE)</f>
        <v>1</v>
      </c>
      <c r="M35" s="125">
        <f>VLOOKUP(A35,'Bateria indicadores proceso'!A:X,23,FALSE)</f>
        <v>1</v>
      </c>
      <c r="N35" s="126">
        <f>VLOOKUP(A35,'Bateria indicadores proceso'!A:X,24,FALSE)</f>
        <v>1</v>
      </c>
      <c r="O35" s="126">
        <f>VLOOKUP(A35,'Bateria indicadores proceso'!A:AR,28,FALSE)</f>
        <v>1</v>
      </c>
      <c r="P35" s="126">
        <f>VLOOKUP(A35,'Bateria indicadores proceso'!A:AR,29,FALSE)</f>
        <v>1</v>
      </c>
      <c r="Q35" s="126">
        <f>VLOOKUP(A35,'Bateria indicadores proceso'!A:AR,30,FALSE)</f>
        <v>0</v>
      </c>
      <c r="R35" s="126">
        <f>VLOOKUP(A35,'Bateria indicadores proceso'!A:AR,31,FALSE)</f>
        <v>0</v>
      </c>
      <c r="S35" s="126">
        <f>VLOOKUP(A35,'Bateria indicadores proceso'!A:AR,32,FALSE)</f>
        <v>1</v>
      </c>
      <c r="T35" s="115">
        <f>VLOOKUP(A35,'Bateria indicadores proceso'!A:AT,45,FALSE)</f>
        <v>1</v>
      </c>
      <c r="U35" s="119">
        <f>VLOOKUP(A35,'Bateria indicadores proceso'!A:AT,46,FALSE)</f>
        <v>1</v>
      </c>
      <c r="V35" s="116">
        <f t="shared" si="0"/>
        <v>0.02</v>
      </c>
      <c r="W35" s="116">
        <f t="shared" si="1"/>
        <v>0.02</v>
      </c>
      <c r="X35" s="98"/>
      <c r="Y35" s="128" t="str">
        <f>IF(VLOOKUP(A35,'Bateria indicadores proceso'!A:AT,36,FALSE)="","No registro avance",VLOOKUP(A35,'Bateria indicadores proceso'!A:AT,36,FALSE))</f>
        <v>Durante el Trimestre Objeto de Resporte se avanzo: Se formularon 10 PIP el 27/05/2026 con las siguientes organizaciones: (1) FUNDESOS, de los departamentos de Magdalena y Atlántico; (2) JAC de la Pascuala del departamento de Bolívar; (3) ASOCAMPO de los departamentos de Cauca, Antioquia, Atlántico, Bolívar, Cesar, Córdoba, Cundinamarca, Huila, Magdalena, Sucre y Bogotá; (4) Comité de Derechos Humanos de la provincia de Lengupá del departamento de Boyacá; (5) ADHES del departamento de Caldas; (6) Cooperativa Multiactiva Coosaviunidos de los departamentos de Tolima, Bogotá, Risaralda y Cauca; (7) ASOMUCAVYE del departamento de Tolima; (8) ASOVISNA del departamento de Antioquia; (9) ASOMINACOL del departamento de Antioquia; (10) Corporación Mujer Denuncia y Muévete – Red de Mujeres Feminista Unidas por los Derechos y la Acción Política del departamento de Norte de Santander</v>
      </c>
      <c r="Z35" s="429" t="s">
        <v>1129</v>
      </c>
      <c r="AA35" s="129" t="str">
        <f>IF(VLOOKUP(A35,'Bateria indicadores proceso'!A:AT,37,FALSE)="","No reportó Evidencia",VLOOKUP(A35,'Bateria indicadores proceso'!A:AT,37,FALSE))</f>
        <v>Fortalecer el Programa Integral de Seguridad y protección para comunidades y Organizaciones en los Territorios</v>
      </c>
      <c r="AB35" s="425" t="s">
        <v>1130</v>
      </c>
    </row>
    <row r="36" spans="1:28" s="4" customFormat="1" ht="202.5" customHeight="1">
      <c r="A36" s="92" t="s">
        <v>176</v>
      </c>
      <c r="B36" s="112" t="str">
        <f>VLOOKUP(A36,'Bateria indicadores proceso'!A:X,2,FALSE)</f>
        <v>MISIONAL</v>
      </c>
      <c r="C36" s="113" t="str">
        <f>VLOOKUP(A36,'Bateria indicadores proceso'!A:X,3,FALSE)</f>
        <v>GESTIÓN PARA LA PROTECCIÓN DE LOS DERECHOS</v>
      </c>
      <c r="D36" s="113" t="str">
        <f>VLOOKUP(A36,'Bateria indicadores proceso'!A:X,7,FALSE)</f>
        <v>Dirección de Derechos Humanos</v>
      </c>
      <c r="E36" s="114">
        <f>VLOOKUP(A36,'Bateria indicadores proceso'!A:X,4,FALSE)</f>
        <v>0.11</v>
      </c>
      <c r="F36" s="114">
        <f>VLOOKUP(A36,'Bateria indicadores proceso'!A:X,6,FALSE)</f>
        <v>0.02</v>
      </c>
      <c r="G36" s="114" t="str">
        <f>VLOOKUP(A36,'Bateria indicadores proceso'!A:X,12,FALSE)</f>
        <v>Actividades de la Dirección de Derechos Humanos como impulso a la implementación del Plan de Acción Nacional del Programa Integral de Garantías para Lideresas y Defensoras de Derechos Humanos.</v>
      </c>
      <c r="H36" s="114" t="str">
        <f>VLOOKUP(A36,'Bateria indicadores proceso'!A:AB,10,FALSE)</f>
        <v>Eficacia</v>
      </c>
      <c r="I36" s="114" t="str">
        <f>VLOOKUP(A36,'Bateria indicadores proceso'!A:AB,16,FALSE)</f>
        <v>Porcentaje</v>
      </c>
      <c r="J36" s="125">
        <f>VLOOKUP(A36,'Bateria indicadores proceso'!A:X,20,FALSE)</f>
        <v>1</v>
      </c>
      <c r="K36" s="125">
        <f>VLOOKUP(A36,'Bateria indicadores proceso'!A:X,21,FALSE)</f>
        <v>1</v>
      </c>
      <c r="L36" s="125">
        <f>VLOOKUP(A36,'Bateria indicadores proceso'!A:X,22,FALSE)</f>
        <v>1</v>
      </c>
      <c r="M36" s="125">
        <f>VLOOKUP(A36,'Bateria indicadores proceso'!A:X,23,FALSE)</f>
        <v>1</v>
      </c>
      <c r="N36" s="126">
        <f>VLOOKUP(A36,'Bateria indicadores proceso'!A:X,24,FALSE)</f>
        <v>1</v>
      </c>
      <c r="O36" s="126">
        <f>VLOOKUP(A36,'Bateria indicadores proceso'!A:AR,28,FALSE)</f>
        <v>1</v>
      </c>
      <c r="P36" s="126">
        <f>VLOOKUP(A36,'Bateria indicadores proceso'!A:AR,29,FALSE)</f>
        <v>1</v>
      </c>
      <c r="Q36" s="126">
        <f>VLOOKUP(A36,'Bateria indicadores proceso'!A:AR,30,FALSE)</f>
        <v>0</v>
      </c>
      <c r="R36" s="126">
        <f>VLOOKUP(A36,'Bateria indicadores proceso'!A:AR,31,FALSE)</f>
        <v>0</v>
      </c>
      <c r="S36" s="126">
        <f>VLOOKUP(A36,'Bateria indicadores proceso'!A:AR,32,FALSE)</f>
        <v>1</v>
      </c>
      <c r="T36" s="115">
        <f>VLOOKUP(A36,'Bateria indicadores proceso'!A:AT,45,FALSE)</f>
        <v>1</v>
      </c>
      <c r="U36" s="119">
        <f>VLOOKUP(A36,'Bateria indicadores proceso'!A:AT,46,FALSE)</f>
        <v>1</v>
      </c>
      <c r="V36" s="116">
        <f t="shared" si="0"/>
        <v>0.02</v>
      </c>
      <c r="W36" s="116">
        <f t="shared" si="1"/>
        <v>0.02</v>
      </c>
      <c r="X36" s="98"/>
      <c r="Y36" s="128" t="str">
        <f>IF(VLOOKUP(A36,'Bateria indicadores proceso'!A:AT,36,FALSE)="","No registro avance",VLOOKUP(A36,'Bateria indicadores proceso'!A:AT,36,FALSE))</f>
        <v>Durante el Trimestre se presenta el informe donde se avanzo: En el proceso de territorialización se evidenciaron brechas en el acceso a recursos y en el acompañamiento institucional, lo que permitió diseñar estrategias diferenciadas adaptadas a las realidades de cada región.
Las comunidades reconocieron la presencia institucional como un respaldo fundamental a sus procesos locales, otorgando gran importancia al acompañamiento recibido. Este acercamiento fortaleció la confianza y legitimidad del programa, especialmente en territorios con alta conflictividad, donde la acción del PIGMLD se percibió como un mecanismo de protección y garantía de derechos.
•Se realizo 12 jornadas territoriales realizadas en 8 departamentos.Bolívar, La Guajira, Guaviare, Caquetá, Atlántico, Caldas, Quindio, Bolívar
•356 lideresas participantes en procesos de formación y acompañamiento.
•24 informes técnicos consolidados con datos de cobertura y resultados.</v>
      </c>
      <c r="Z36" s="429" t="s">
        <v>1129</v>
      </c>
      <c r="AA36" s="129" t="str">
        <f>IF(VLOOKUP(A36,'Bateria indicadores proceso'!A:AT,37,FALSE)="","No reportó Evidencia",VLOOKUP(A36,'Bateria indicadores proceso'!A:AT,37,FALSE))</f>
        <v>Apoyar la implementación del Plan de Acción Nacional del programa Integral de Garantias para Lideresas y Defensoras de DDHH, en el marco del auto 737, sentencia T-025.docx</v>
      </c>
      <c r="AB36" s="425" t="s">
        <v>1130</v>
      </c>
    </row>
    <row r="37" spans="1:28" s="93" customFormat="1" ht="202.5" customHeight="1">
      <c r="A37" s="92" t="s">
        <v>177</v>
      </c>
      <c r="B37" s="112" t="str">
        <f>VLOOKUP(A37,'Bateria indicadores proceso'!A:X,2,FALSE)</f>
        <v>MISIONAL</v>
      </c>
      <c r="C37" s="113" t="str">
        <f>VLOOKUP(A37,'Bateria indicadores proceso'!A:X,3,FALSE)</f>
        <v>GESTIÓN PARA LA PROTECCIÓN DE LOS DERECHOS</v>
      </c>
      <c r="D37" s="113" t="str">
        <f>VLOOKUP(A37,'Bateria indicadores proceso'!A:X,7,FALSE)</f>
        <v>Dirección de Derechos Humanos</v>
      </c>
      <c r="E37" s="114">
        <f>VLOOKUP(A37,'Bateria indicadores proceso'!A:X,4,FALSE)</f>
        <v>0.11</v>
      </c>
      <c r="F37" s="114">
        <f>VLOOKUP(A37,'Bateria indicadores proceso'!A:X,6,FALSE)</f>
        <v>0.02</v>
      </c>
      <c r="G37" s="114" t="str">
        <f>VLOOKUP(A37,'Bateria indicadores proceso'!A:X,12,FALSE)</f>
        <v>Número de cementerios que tienen en sus terrenos inhumados cuerpos o restos humanos de personas no identificadas diagnosticados multidimensionalmente.</v>
      </c>
      <c r="H37" s="114" t="str">
        <f>VLOOKUP(A37,'Bateria indicadores proceso'!A:AB,10,FALSE)</f>
        <v>Eficacia</v>
      </c>
      <c r="I37" s="114" t="str">
        <f>VLOOKUP(A37,'Bateria indicadores proceso'!A:AB,16,FALSE)</f>
        <v>Número</v>
      </c>
      <c r="J37" s="127">
        <f>VLOOKUP(A37,'Bateria indicadores proceso'!A:X,20,FALSE)</f>
        <v>0</v>
      </c>
      <c r="K37" s="127">
        <f>VLOOKUP(A37,'Bateria indicadores proceso'!A:X,21,FALSE)</f>
        <v>30</v>
      </c>
      <c r="L37" s="127">
        <f>VLOOKUP(A37,'Bateria indicadores proceso'!A:X,22,FALSE)</f>
        <v>40</v>
      </c>
      <c r="M37" s="127">
        <f>VLOOKUP(A37,'Bateria indicadores proceso'!A:X,23,FALSE)</f>
        <v>30</v>
      </c>
      <c r="N37" s="127">
        <f>VLOOKUP(A37,'Bateria indicadores proceso'!A:X,24,FALSE)</f>
        <v>100</v>
      </c>
      <c r="O37" s="127">
        <f>VLOOKUP(A37,'Bateria indicadores proceso'!A:AR,28,FALSE)</f>
        <v>4</v>
      </c>
      <c r="P37" s="127">
        <f>VLOOKUP(A37,'Bateria indicadores proceso'!A:AR,29,FALSE)</f>
        <v>34</v>
      </c>
      <c r="Q37" s="127">
        <f>VLOOKUP(A37,'Bateria indicadores proceso'!A:AR,30,FALSE)</f>
        <v>0</v>
      </c>
      <c r="R37" s="127">
        <f>VLOOKUP(A37,'Bateria indicadores proceso'!A:AR,31,FALSE)</f>
        <v>0</v>
      </c>
      <c r="S37" s="127">
        <f>VLOOKUP(A37,'Bateria indicadores proceso'!A:AR,32,FALSE)</f>
        <v>38</v>
      </c>
      <c r="T37" s="115">
        <f>VLOOKUP(A37,'Bateria indicadores proceso'!A:AT,45,FALSE)</f>
        <v>1.0000100000000001</v>
      </c>
      <c r="U37" s="119">
        <f>VLOOKUP(A37,'Bateria indicadores proceso'!A:AT,46,FALSE)</f>
        <v>0.38</v>
      </c>
      <c r="V37" s="116">
        <f t="shared" si="0"/>
        <v>2.0000200000000003E-2</v>
      </c>
      <c r="W37" s="116">
        <f t="shared" si="1"/>
        <v>7.6E-3</v>
      </c>
      <c r="X37" s="98"/>
      <c r="Y37" s="128" t="str">
        <f>IF(VLOOKUP(A37,'Bateria indicadores proceso'!A:AT,36,FALSE)="","No registro avance",VLOOKUP(A37,'Bateria indicadores proceso'!A:AT,36,FALSE))</f>
        <v>Como avance de trimestre tenemos lo siguiente:
Abril: Realización de 11 mesas de trabajo desarrolladas en municipios priorizados en los departamentos de Antioquia (1), Cesar (2), Cundinamarca (4), Meta (1), Nariño (1), Sucre (1) y Valle (1).
Mayo: Realización de 10 mesas de trabajo desarrolladas en municipios priorizados en los departamentos de Boyacá (1), Casanare (4), Cesar (2), Córdoba (1), y Cundinamarca (2).
Junio: Realización de 13 mesas de trabajo desarrolladas en municipios priorizados en los departamentos de Antioquia (1), Cesar (2), Córdoba (1), Cundinamarca (1), Meta (1), Sucre (6) y Valle del Cauca (1).</v>
      </c>
      <c r="Z37" s="429" t="s">
        <v>1129</v>
      </c>
      <c r="AA37" s="129" t="str">
        <f>IF(VLOOKUP(A37,'Bateria indicadores proceso'!A:AT,37,FALSE)="","No reportó Evidencia",VLOOKUP(A37,'Bateria indicadores proceso'!A:AT,37,FALSE))</f>
        <v>ABRIL 2026. Fortalecer la gestión de los cementerios como acción de apoyo al proceso de búsqueda de personas desaparecidas en Colombia.pdf
MAYO 2026 Fortalecer la gestión de los cementerios como acción de apoyo al proceso de búsqueda de personas desaparecidas en Colombia.pdf
JUNIO 2026 Fortalecer la gestión de los cementerios como acción de apoyo al proceso de búsqueda de personas desaparecidas en Colombia.pdf</v>
      </c>
      <c r="AB37" s="425" t="s">
        <v>1130</v>
      </c>
    </row>
    <row r="38" spans="1:28" s="4" customFormat="1" ht="202.5" customHeight="1">
      <c r="A38" s="92" t="s">
        <v>178</v>
      </c>
      <c r="B38" s="112" t="str">
        <f>VLOOKUP(A38,'Bateria indicadores proceso'!A:X,2,FALSE)</f>
        <v>MISIONAL</v>
      </c>
      <c r="C38" s="113" t="str">
        <f>VLOOKUP(A38,'Bateria indicadores proceso'!A:X,3,FALSE)</f>
        <v>GESTIÓN PARA LA PROTECCIÓN DE LOS DERECHOS</v>
      </c>
      <c r="D38" s="113" t="str">
        <f>VLOOKUP(A38,'Bateria indicadores proceso'!A:X,7,FALSE)</f>
        <v>Dirección de Derechos Humanos</v>
      </c>
      <c r="E38" s="114">
        <f>VLOOKUP(A38,'Bateria indicadores proceso'!A:X,4,FALSE)</f>
        <v>0.11</v>
      </c>
      <c r="F38" s="114">
        <f>VLOOKUP(A38,'Bateria indicadores proceso'!A:X,6,FALSE)</f>
        <v>0.02</v>
      </c>
      <c r="G38" s="114" t="str">
        <f>VLOOKUP(A38,'Bateria indicadores proceso'!A:X,12,FALSE)</f>
        <v>Porcentaje de actividades de fortalecimiento e implementación desarrolladas por la Dirección de Derechos Humanos en el marco de la Política de Garantía y Respeto a la labor de defensa de los Derechos Humanos.</v>
      </c>
      <c r="H38" s="114" t="str">
        <f>VLOOKUP(A38,'Bateria indicadores proceso'!A:AB,10,FALSE)</f>
        <v>Eficacia</v>
      </c>
      <c r="I38" s="114" t="str">
        <f>VLOOKUP(A38,'Bateria indicadores proceso'!A:AB,16,FALSE)</f>
        <v>Porcentaje</v>
      </c>
      <c r="J38" s="125">
        <f>VLOOKUP(A38,'Bateria indicadores proceso'!A:X,20,FALSE)</f>
        <v>1</v>
      </c>
      <c r="K38" s="125">
        <f>VLOOKUP(A38,'Bateria indicadores proceso'!A:X,21,FALSE)</f>
        <v>1</v>
      </c>
      <c r="L38" s="125">
        <f>VLOOKUP(A38,'Bateria indicadores proceso'!A:X,22,FALSE)</f>
        <v>1</v>
      </c>
      <c r="M38" s="125">
        <f>VLOOKUP(A38,'Bateria indicadores proceso'!A:X,23,FALSE)</f>
        <v>1</v>
      </c>
      <c r="N38" s="126">
        <f>VLOOKUP(A38,'Bateria indicadores proceso'!A:X,24,FALSE)</f>
        <v>1</v>
      </c>
      <c r="O38" s="126">
        <f>VLOOKUP(A38,'Bateria indicadores proceso'!A:AR,28,FALSE)</f>
        <v>1</v>
      </c>
      <c r="P38" s="126">
        <f>VLOOKUP(A38,'Bateria indicadores proceso'!A:AR,29,FALSE)</f>
        <v>1</v>
      </c>
      <c r="Q38" s="126">
        <f>VLOOKUP(A38,'Bateria indicadores proceso'!A:AR,30,FALSE)</f>
        <v>0</v>
      </c>
      <c r="R38" s="126">
        <f>VLOOKUP(A38,'Bateria indicadores proceso'!A:AR,31,FALSE)</f>
        <v>0</v>
      </c>
      <c r="S38" s="126">
        <f>VLOOKUP(A38,'Bateria indicadores proceso'!A:AR,32,FALSE)</f>
        <v>1</v>
      </c>
      <c r="T38" s="115">
        <f>VLOOKUP(A38,'Bateria indicadores proceso'!A:AT,45,FALSE)</f>
        <v>1</v>
      </c>
      <c r="U38" s="119">
        <f>VLOOKUP(A38,'Bateria indicadores proceso'!A:AT,46,FALSE)</f>
        <v>1</v>
      </c>
      <c r="V38" s="116">
        <f t="shared" si="0"/>
        <v>0.02</v>
      </c>
      <c r="W38" s="116">
        <f t="shared" si="1"/>
        <v>0.02</v>
      </c>
      <c r="X38" s="98"/>
      <c r="Y38" s="128" t="str">
        <f>IF(VLOOKUP(A38,'Bateria indicadores proceso'!A:AT,36,FALSE)="","No registro avance",VLOOKUP(A38,'Bateria indicadores proceso'!A:AT,36,FALSE))</f>
        <v>"Durante el trimestre  se realizaron las siguientes actividades :
Abril( 4): Se realizaron cuatro espacios de articulación territorial orientados al fortalecimiento y reactivación de las Mesas Territoriales de Garantías. En Bolívar sesionó la Mesa Territorial de Garantías el 27 de abril de 2026 en el municipio de Mompox. Asimismo, se llevaron a cabo grupos de apoyo en Norte de Santander, Huila y Costa Pacífica, en los que se analizó la situación actual de las mesas, se identificaron desafíos para su funcionamiento y se definieron acciones para su reactivación, incluyendo la necesidad de convocar una sesión plenaria en Norte de Santander y abordar el impacto del contexto de seguridad en Huila.
Mayo: (2) :Se realizaron sesiones de la Mesa Territorial de Garantías del Atlántico, el 20 de mayo de 2026 en Barranquilla, y de la Mesa Nacional de Garantías, el 6 de mayo de 2026 en Bogotá.
Junio: (3): Se acompañó la realización de las Mesas Territoriales de Garantías de Sucre (3 de julio de 2026, Sincelejo), Bogotá (10 de junio de 2026) y Putumayo (18 de junio de 2026), fortaleciendo la articulación entre entidades e interlocución con organizaciones sociales para el análisis de la situación de derechos humanos, el seguimiento a las garantías de líderes sociales y personas defensoras, y la revisión de compromisos institucionales en los territorio"</v>
      </c>
      <c r="Z38" s="429" t="s">
        <v>1129</v>
      </c>
      <c r="AA38" s="129" t="str">
        <f>IF(VLOOKUP(A38,'Bateria indicadores proceso'!A:AT,37,FALSE)="","No reportó Evidencia",VLOOKUP(A38,'Bateria indicadores proceso'!A:AT,37,FALSE))</f>
        <v>Fortalecer la Política de Garantía y Respeto a la labor de defensa de los Derechos Humanos</v>
      </c>
      <c r="AB38" s="425" t="s">
        <v>1130</v>
      </c>
    </row>
    <row r="39" spans="1:28" s="4" customFormat="1" ht="202.5" customHeight="1">
      <c r="A39" s="92" t="s">
        <v>179</v>
      </c>
      <c r="B39" s="112" t="str">
        <f>VLOOKUP(A39,'Bateria indicadores proceso'!A:X,2,FALSE)</f>
        <v>MISIONAL</v>
      </c>
      <c r="C39" s="113" t="str">
        <f>VLOOKUP(A39,'Bateria indicadores proceso'!A:X,3,FALSE)</f>
        <v>GESTIÓN PARA LA PROTECCIÓN DE LOS DERECHOS</v>
      </c>
      <c r="D39" s="113" t="str">
        <f>VLOOKUP(A39,'Bateria indicadores proceso'!A:X,7,FALSE)</f>
        <v>Dirección de Derechos Humanos</v>
      </c>
      <c r="E39" s="114">
        <f>VLOOKUP(A39,'Bateria indicadores proceso'!A:X,4,FALSE)</f>
        <v>0.11</v>
      </c>
      <c r="F39" s="114">
        <f>VLOOKUP(A39,'Bateria indicadores proceso'!A:X,6,FALSE)</f>
        <v>0.02</v>
      </c>
      <c r="G39" s="114" t="str">
        <f>VLOOKUP(A39,'Bateria indicadores proceso'!A:X,12,FALSE)</f>
        <v>Planes de autoprotección de organizaciones y colectividades de los sectores sociales LGBTIQ+ formulados en los territorios</v>
      </c>
      <c r="H39" s="114" t="str">
        <f>VLOOKUP(A39,'Bateria indicadores proceso'!A:AB,10,FALSE)</f>
        <v>Eficacia</v>
      </c>
      <c r="I39" s="114" t="str">
        <f>VLOOKUP(A39,'Bateria indicadores proceso'!A:AB,16,FALSE)</f>
        <v>Número</v>
      </c>
      <c r="J39" s="127">
        <f>VLOOKUP(A39,'Bateria indicadores proceso'!A:X,20,FALSE)</f>
        <v>3</v>
      </c>
      <c r="K39" s="127">
        <f>VLOOKUP(A39,'Bateria indicadores proceso'!A:X,21,FALSE)</f>
        <v>5</v>
      </c>
      <c r="L39" s="127">
        <f>VLOOKUP(A39,'Bateria indicadores proceso'!A:X,22,FALSE)</f>
        <v>5</v>
      </c>
      <c r="M39" s="127">
        <f>VLOOKUP(A39,'Bateria indicadores proceso'!A:X,23,FALSE)</f>
        <v>3</v>
      </c>
      <c r="N39" s="127">
        <f>VLOOKUP(A39,'Bateria indicadores proceso'!A:X,24,FALSE)</f>
        <v>16</v>
      </c>
      <c r="O39" s="127">
        <f>VLOOKUP(A39,'Bateria indicadores proceso'!A:AR,28,FALSE)</f>
        <v>0</v>
      </c>
      <c r="P39" s="127">
        <f>VLOOKUP(A39,'Bateria indicadores proceso'!A:AR,29,FALSE)</f>
        <v>8</v>
      </c>
      <c r="Q39" s="127">
        <f>VLOOKUP(A39,'Bateria indicadores proceso'!A:AR,30,FALSE)</f>
        <v>0</v>
      </c>
      <c r="R39" s="127">
        <f>VLOOKUP(A39,'Bateria indicadores proceso'!A:AR,31,FALSE)</f>
        <v>0</v>
      </c>
      <c r="S39" s="127">
        <f>VLOOKUP(A39,'Bateria indicadores proceso'!A:AR,32,FALSE)</f>
        <v>8</v>
      </c>
      <c r="T39" s="115">
        <f>VLOOKUP(A39,'Bateria indicadores proceso'!A:AT,45,FALSE)</f>
        <v>1.0000100000000001</v>
      </c>
      <c r="U39" s="119">
        <f>VLOOKUP(A39,'Bateria indicadores proceso'!A:AT,46,FALSE)</f>
        <v>0.5</v>
      </c>
      <c r="V39" s="116">
        <f t="shared" si="0"/>
        <v>2.0000200000000003E-2</v>
      </c>
      <c r="W39" s="116">
        <f t="shared" si="1"/>
        <v>0.01</v>
      </c>
      <c r="X39" s="98"/>
      <c r="Y39" s="128" t="str">
        <f>IF(VLOOKUP(A39,'Bateria indicadores proceso'!A:AT,36,FALSE)="","No registro avance",VLOOKUP(A39,'Bateria indicadores proceso'!A:AT,36,FALSE))</f>
        <v>Durante el segundo trimestre de 2026 se desarrollaron ocho planes de autoprotección dirigidos a poblaciones y liderazgos diversos en distintos territorios del país. En abril se realizó un plan con la Mesa de Participación LGBTI de Inírida. En mayo se implementaron dos planes: uno con mujeres lesbianas y bisexuales en El Carmen de Bolívar y otro con la Juntanza Diversa y Disidente de Popayán y la Universidad del Cauca. Finalmente, en junio se llevaron a cabo dos planes adicionales, uno con líderes y lideresas del departamento de Caldas y otros dos con mujeres privadas de la libertad en Popayán y con hombres privados de la libertad del mismo departamento y en el marco de la planeación de las marchas por el orgullo LGBTI en Cauca y Popayán, fortaleciendo las capacidades de autoprotección y prevención en poblaciones priorizadas.</v>
      </c>
      <c r="Z39" s="429" t="s">
        <v>1129</v>
      </c>
      <c r="AA39" s="129" t="str">
        <f>IF(VLOOKUP(A39,'Bateria indicadores proceso'!A:AT,37,FALSE)="","No reportó Evidencia",VLOOKUP(A39,'Bateria indicadores proceso'!A:AT,37,FALSE))</f>
        <v>ABRIL
MAYO
JUNIO</v>
      </c>
      <c r="AB39" s="425" t="s">
        <v>1130</v>
      </c>
    </row>
    <row r="40" spans="1:28" s="93" customFormat="1" ht="232.5" customHeight="1">
      <c r="A40" s="92" t="s">
        <v>180</v>
      </c>
      <c r="B40" s="112" t="str">
        <f>VLOOKUP(A40,'Bateria indicadores proceso'!A:X,2,FALSE)</f>
        <v>MISIONAL</v>
      </c>
      <c r="C40" s="113" t="str">
        <f>VLOOKUP(A40,'Bateria indicadores proceso'!A:X,3,FALSE)</f>
        <v>GESTIÓN PARA LA PROTECCIÓN DE LOS DERECHOS</v>
      </c>
      <c r="D40" s="113" t="str">
        <f>VLOOKUP(A40,'Bateria indicadores proceso'!A:X,7,FALSE)</f>
        <v>Dirección de Derechos Humanos</v>
      </c>
      <c r="E40" s="114">
        <f>VLOOKUP(A40,'Bateria indicadores proceso'!A:X,4,FALSE)</f>
        <v>0.11</v>
      </c>
      <c r="F40" s="114">
        <f>VLOOKUP(A40,'Bateria indicadores proceso'!A:X,6,FALSE)</f>
        <v>0.02</v>
      </c>
      <c r="G40" s="114" t="str">
        <f>VLOOKUP(A40,'Bateria indicadores proceso'!A:X,12,FALSE)</f>
        <v>Porcentaje de actividades a cargo de la Dirección de Derechos Humanos fortalecidas e implementadas en el marco de la Política de Convivencia, Reconciliación, Tolerancia y No Estigmatización.</v>
      </c>
      <c r="H40" s="114" t="str">
        <f>VLOOKUP(A40,'Bateria indicadores proceso'!A:AB,10,FALSE)</f>
        <v>Eficacia</v>
      </c>
      <c r="I40" s="114" t="str">
        <f>VLOOKUP(A40,'Bateria indicadores proceso'!A:AB,16,FALSE)</f>
        <v>Porcentaje</v>
      </c>
      <c r="J40" s="125">
        <f>VLOOKUP(A40,'Bateria indicadores proceso'!A:X,20,FALSE)</f>
        <v>0.05</v>
      </c>
      <c r="K40" s="125">
        <f>VLOOKUP(A40,'Bateria indicadores proceso'!A:X,21,FALSE)</f>
        <v>0.25</v>
      </c>
      <c r="L40" s="125">
        <f>VLOOKUP(A40,'Bateria indicadores proceso'!A:X,22,FALSE)</f>
        <v>0.35</v>
      </c>
      <c r="M40" s="125">
        <f>VLOOKUP(A40,'Bateria indicadores proceso'!A:X,23,FALSE)</f>
        <v>0.35</v>
      </c>
      <c r="N40" s="126">
        <f>VLOOKUP(A40,'Bateria indicadores proceso'!A:X,24,FALSE)</f>
        <v>1</v>
      </c>
      <c r="O40" s="126">
        <f>VLOOKUP(A40,'Bateria indicadores proceso'!A:AR,28,FALSE)</f>
        <v>0.05</v>
      </c>
      <c r="P40" s="126">
        <f>VLOOKUP(A40,'Bateria indicadores proceso'!A:AR,29,FALSE)</f>
        <v>0.25</v>
      </c>
      <c r="Q40" s="126">
        <f>VLOOKUP(A40,'Bateria indicadores proceso'!A:AR,30,FALSE)</f>
        <v>0</v>
      </c>
      <c r="R40" s="126">
        <f>VLOOKUP(A40,'Bateria indicadores proceso'!A:AR,31,FALSE)</f>
        <v>0</v>
      </c>
      <c r="S40" s="126">
        <f>VLOOKUP(A40,'Bateria indicadores proceso'!A:AR,32,FALSE)</f>
        <v>0.3</v>
      </c>
      <c r="T40" s="115">
        <f>VLOOKUP(A40,'Bateria indicadores proceso'!A:AT,45,FALSE)</f>
        <v>1</v>
      </c>
      <c r="U40" s="119">
        <f>VLOOKUP(A40,'Bateria indicadores proceso'!A:AT,46,FALSE)</f>
        <v>0.3</v>
      </c>
      <c r="V40" s="116">
        <f t="shared" si="0"/>
        <v>0.02</v>
      </c>
      <c r="W40" s="116">
        <f t="shared" si="1"/>
        <v>6.0000000000000001E-3</v>
      </c>
      <c r="X40" s="98"/>
      <c r="Y40" s="128" t="str">
        <f>IF(VLOOKUP(A40,'Bateria indicadores proceso'!A:AT,36,FALSE)="","No registro avance",VLOOKUP(A40,'Bateria indicadores proceso'!A:AT,36,FALSE))</f>
        <v>Durante el segundo trimestre de 2026 se presenta el informe de la implementación y seguimiento del Plan de Acción de la Política Pública de Reconciliación, Convivencia y No Estigmatización (PPRCNE), fortaleciendo la articulación interinstitucional y territorial para su ejecución.
En abril se promovió la coordinación con el Ministerio de Justicia y del Derecho y el Ministerio de las Culturas, las Artes y los Saberes para impulsar acciones simbólicas de socialización de la política en territorios priorizados. Asimismo, se realizó seguimiento a los avances de los planes territoriales, requiriendo información a los departamentos y principales ciudades capitales del país.
Durante mayo se fortaleció el seguimiento al Plan de Acción Nacional mediante el alistamiento del primer monitoreo semestral, la revisión y actualización de los instrumentos de planeación y la consolidación de la información de las 24 entidades vinculadas al plan. De estas, 18 reportaron avances, lo que permitió identificar oportunidades de mejora en la articulación interinstitucional e incorporar una nueva acción estratégica relacionada con la Estrategia de Cultura de Paz.
En junio se consolidó la fase preparatoria del primer seguimiento semestral, con la validación técnica de la información institucional y la actualización del instrumento de seguimiento. Adicionalmente, se fortaleció la coordinación con entidades estratégicas, entre ellas el Ministerio de Justicia, el Ministerio de las Culturas, el ICBF, la ART, la ARN y la Consejería Presidencial para la Reconciliación Nacional, concertando nuevas acciones para el segundo semestre, incluyendo el acompañamiento al Encuentro Ecuménico de Inclusión Ciudadana y No Estigmatización de Personas Habitantes de Calle en Bogotá como acción nacional de implementación de la política.</v>
      </c>
      <c r="Z40" s="429" t="s">
        <v>1129</v>
      </c>
      <c r="AA40" s="129" t="str">
        <f>IF(VLOOKUP(A40,'Bateria indicadores proceso'!A:AT,37,FALSE)="","No reportó Evidencia",VLOOKUP(A40,'Bateria indicadores proceso'!A:AT,37,FALSE))</f>
        <v>Fortalecer e implementar la Política de Convivencia, Reconciliación, Tolerancia, y No Estigmatización.pdf</v>
      </c>
      <c r="AB40" s="425" t="s">
        <v>1130</v>
      </c>
    </row>
    <row r="41" spans="1:28" s="4" customFormat="1" ht="202.5" customHeight="1">
      <c r="A41" s="92" t="s">
        <v>181</v>
      </c>
      <c r="B41" s="112" t="str">
        <f>VLOOKUP(A41,'Bateria indicadores proceso'!A:X,2,FALSE)</f>
        <v>MISIONAL</v>
      </c>
      <c r="C41" s="113" t="str">
        <f>VLOOKUP(A41,'Bateria indicadores proceso'!A:X,3,FALSE)</f>
        <v>GESTIÓN PARA LA PROTECCIÓN DE LOS DERECHOS</v>
      </c>
      <c r="D41" s="113" t="str">
        <f>VLOOKUP(A41,'Bateria indicadores proceso'!A:X,7,FALSE)</f>
        <v>Dirección de Asuntos Indígenas, Rom y Minorías</v>
      </c>
      <c r="E41" s="114">
        <f>VLOOKUP(A41,'Bateria indicadores proceso'!A:X,4,FALSE)</f>
        <v>0.11</v>
      </c>
      <c r="F41" s="114">
        <f>VLOOKUP(A41,'Bateria indicadores proceso'!A:X,6,FALSE)</f>
        <v>0.06</v>
      </c>
      <c r="G41" s="114" t="str">
        <f>VLOOKUP(A41,'Bateria indicadores proceso'!A:X,12,FALSE)</f>
        <v>Espacios de diálogo y concertación de orden nacional realizados entre autoridaes de los Pueblos Indígenas y entidades estatales.</v>
      </c>
      <c r="H41" s="114" t="str">
        <f>VLOOKUP(A41,'Bateria indicadores proceso'!A:AB,10,FALSE)</f>
        <v>Eficacia</v>
      </c>
      <c r="I41" s="114" t="str">
        <f>VLOOKUP(A41,'Bateria indicadores proceso'!A:AB,16,FALSE)</f>
        <v>Porcentaje</v>
      </c>
      <c r="J41" s="125">
        <f>VLOOKUP(A41,'Bateria indicadores proceso'!A:X,20,FALSE)</f>
        <v>1</v>
      </c>
      <c r="K41" s="125">
        <f>VLOOKUP(A41,'Bateria indicadores proceso'!A:X,21,FALSE)</f>
        <v>1</v>
      </c>
      <c r="L41" s="125">
        <f>VLOOKUP(A41,'Bateria indicadores proceso'!A:X,22,FALSE)</f>
        <v>1</v>
      </c>
      <c r="M41" s="125">
        <f>VLOOKUP(A41,'Bateria indicadores proceso'!A:X,23,FALSE)</f>
        <v>1</v>
      </c>
      <c r="N41" s="126">
        <f>VLOOKUP(A41,'Bateria indicadores proceso'!A:X,24,FALSE)</f>
        <v>1</v>
      </c>
      <c r="O41" s="126">
        <f>VLOOKUP(A41,'Bateria indicadores proceso'!A:AR,28,FALSE)</f>
        <v>0</v>
      </c>
      <c r="P41" s="126">
        <f>VLOOKUP(A41,'Bateria indicadores proceso'!A:AR,29,FALSE)</f>
        <v>0</v>
      </c>
      <c r="Q41" s="126">
        <f>VLOOKUP(A41,'Bateria indicadores proceso'!A:AR,30,FALSE)</f>
        <v>0</v>
      </c>
      <c r="R41" s="126">
        <f>VLOOKUP(A41,'Bateria indicadores proceso'!A:AR,31,FALSE)</f>
        <v>0</v>
      </c>
      <c r="S41" s="126">
        <f>VLOOKUP(A41,'Bateria indicadores proceso'!A:AR,32,FALSE)</f>
        <v>0</v>
      </c>
      <c r="T41" s="115">
        <f>VLOOKUP(A41,'Bateria indicadores proceso'!A:AT,45,FALSE)</f>
        <v>0</v>
      </c>
      <c r="U41" s="119">
        <f>VLOOKUP(A41,'Bateria indicadores proceso'!A:AT,46,FALSE)</f>
        <v>0</v>
      </c>
      <c r="V41" s="116">
        <f t="shared" si="0"/>
        <v>0</v>
      </c>
      <c r="W41" s="116">
        <f t="shared" si="1"/>
        <v>0</v>
      </c>
      <c r="X41" s="98"/>
      <c r="Y41" s="128" t="str">
        <f>IF(VLOOKUP(A41,'Bateria indicadores proceso'!A:AT,36,FALSE)="","No registro avance",VLOOKUP(A41,'Bateria indicadores proceso'!A:AT,36,FALSE))</f>
        <v>Debido a las directrices impartidas desde el Viceministerio la DAI no atendió espacios de dialogo relacionado con las diferentes mesas a cargo de la Coordinación de Registro.</v>
      </c>
      <c r="Z41" s="429" t="s">
        <v>1131</v>
      </c>
      <c r="AA41" s="129" t="str">
        <f>IF(VLOOKUP(A41,'Bateria indicadores proceso'!A:AT,37,FALSE)="","No reportó Evidencia",VLOOKUP(A41,'Bateria indicadores proceso'!A:AT,37,FALSE))</f>
        <v>https://mininteriorgovco.sharepoint.com/sites/EvidenciasOAP/Documentos%20compartidos/Forms/AllItems.aspx?e=5%3Ae93188392f4d4135b2faafa4549f90a4&amp;sharingv2=true&amp;fromShare=true&amp;at=9&amp;CT=1784118355472&amp;OR=OWA%2DNT%2DMail&amp;CID=0e3dc6fa%2Dc1aa%2D19dd%2De0c7%2Dbf85e59e6de7&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037</v>
      </c>
      <c r="AB41" s="425" t="s">
        <v>1132</v>
      </c>
    </row>
    <row r="42" spans="1:28" s="4" customFormat="1" ht="202.5" customHeight="1">
      <c r="A42" s="92" t="s">
        <v>182</v>
      </c>
      <c r="B42" s="112" t="str">
        <f>VLOOKUP(A42,'Bateria indicadores proceso'!A:X,2,FALSE)</f>
        <v>MISIONAL</v>
      </c>
      <c r="C42" s="113" t="str">
        <f>VLOOKUP(A42,'Bateria indicadores proceso'!A:X,3,FALSE)</f>
        <v>GESTIÓN PARA LA PROTECCIÓN DE LOS DERECHOS</v>
      </c>
      <c r="D42" s="113" t="str">
        <f>VLOOKUP(A42,'Bateria indicadores proceso'!A:X,7,FALSE)</f>
        <v>Dirección de Asuntos Indígenas, Rom y Minorías</v>
      </c>
      <c r="E42" s="114">
        <f>VLOOKUP(A42,'Bateria indicadores proceso'!A:X,4,FALSE)</f>
        <v>0.11</v>
      </c>
      <c r="F42" s="114">
        <f>VLOOKUP(A42,'Bateria indicadores proceso'!A:X,6,FALSE)</f>
        <v>0.03</v>
      </c>
      <c r="G42" s="114" t="str">
        <f>VLOOKUP(A42,'Bateria indicadores proceso'!A:X,12,FALSE)</f>
        <v xml:space="preserve">Órdenes judiciales de las altas cortes cumplidas por la entidad que vinculan a la DAIRM									</v>
      </c>
      <c r="H42" s="114" t="str">
        <f>VLOOKUP(A42,'Bateria indicadores proceso'!A:AB,10,FALSE)</f>
        <v>Eficacia</v>
      </c>
      <c r="I42" s="114" t="str">
        <f>VLOOKUP(A42,'Bateria indicadores proceso'!A:AB,16,FALSE)</f>
        <v>Porcentaje</v>
      </c>
      <c r="J42" s="125">
        <f>VLOOKUP(A42,'Bateria indicadores proceso'!A:X,20,FALSE)</f>
        <v>1</v>
      </c>
      <c r="K42" s="125">
        <f>VLOOKUP(A42,'Bateria indicadores proceso'!A:X,21,FALSE)</f>
        <v>1</v>
      </c>
      <c r="L42" s="125">
        <f>VLOOKUP(A42,'Bateria indicadores proceso'!A:X,22,FALSE)</f>
        <v>1</v>
      </c>
      <c r="M42" s="125">
        <f>VLOOKUP(A42,'Bateria indicadores proceso'!A:X,23,FALSE)</f>
        <v>1</v>
      </c>
      <c r="N42" s="126">
        <f>VLOOKUP(A42,'Bateria indicadores proceso'!A:X,24,FALSE)</f>
        <v>1</v>
      </c>
      <c r="O42" s="126">
        <f>VLOOKUP(A42,'Bateria indicadores proceso'!A:AR,28,FALSE)</f>
        <v>1</v>
      </c>
      <c r="P42" s="126">
        <f>VLOOKUP(A42,'Bateria indicadores proceso'!A:AR,29,FALSE)</f>
        <v>0.73</v>
      </c>
      <c r="Q42" s="126">
        <f>VLOOKUP(A42,'Bateria indicadores proceso'!A:AR,30,FALSE)</f>
        <v>0.73</v>
      </c>
      <c r="R42" s="126">
        <f>VLOOKUP(A42,'Bateria indicadores proceso'!A:AR,31,FALSE)</f>
        <v>0.73</v>
      </c>
      <c r="S42" s="126">
        <f>VLOOKUP(A42,'Bateria indicadores proceso'!A:AR,32,FALSE)</f>
        <v>0.73</v>
      </c>
      <c r="T42" s="115">
        <f>VLOOKUP(A42,'Bateria indicadores proceso'!A:AT,45,FALSE)</f>
        <v>0.73</v>
      </c>
      <c r="U42" s="119">
        <f>VLOOKUP(A42,'Bateria indicadores proceso'!A:AT,46,FALSE)</f>
        <v>0.73</v>
      </c>
      <c r="V42" s="116">
        <f t="shared" si="0"/>
        <v>2.1899999999999999E-2</v>
      </c>
      <c r="W42" s="116">
        <f t="shared" si="1"/>
        <v>2.1899999999999999E-2</v>
      </c>
      <c r="X42" s="98"/>
      <c r="Y42" s="128" t="str">
        <f>IF(VLOOKUP(A42,'Bateria indicadores proceso'!A:AT,36,FALSE)="","No registro avance",VLOOKUP(A42,'Bateria indicadores proceso'!A:AT,36,FALSE))</f>
        <v>Durante el segundo trimestre de 2026, el equipo jurídico de la DAI dio cumplimiento a las órdenes judiciales de las altas cortes que vinculan a la Dirección, así:
Acciones constitucionales (tutelas): se notificaron 437 acciones, atendidas en su totalidad dentro de los términos establecidos por los despachos judiciales (abril: 130; mayo: 148; junio: 159).
Sentencias de la Honorable Corte Constitucional: se realizó seguimiento a 50 sentencias, con 46 gestiones adelantadas en el periodo (13 informes remitidos, 3 reportes de audiencias asistidas y 30 trámites en el marco de cumplimiento de sentencias; abril: 9; mayo: 14; junio: 23).
Restitución de derechos territoriales: se realizó seguimiento a 224 procesos, con 37 gestiones adelantadas (5 requerimientos, 15 reportes de audiencias asistidas y 17 trámites de cumplimiento; abril: 13; mayo: 13; junio: 11).
Jurisdicción Especial para la Paz (JEP): se realizó seguimiento a 11 procesos, con 2 gestiones adelantadas en abril. Justicia y Paz: se realizó seguimiento a 4 procesos, con 1 gestión adelantada en junio.
Autos de prueba: se notificaron 37 autos, atendidos en su totalidad dentro de los términos establecidos (abril: 3; mayo: 13; junio: 21).</v>
      </c>
      <c r="Z42" s="429" t="s">
        <v>1129</v>
      </c>
      <c r="AA42" s="129" t="str">
        <f>IF(VLOOKUP(A42,'Bateria indicadores proceso'!A:AT,37,FALSE)="","No reportó Evidencia",VLOOKUP(A42,'Bateria indicadores proceso'!A:AT,37,FALSE))</f>
        <v>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https://mininteriorgovco.sharepoint.com/sites/EvidenciasOAP/Documentos%20compartidos/Forms/AllItems.aspx?e=5%3Aa6f65fd50fcb47b583dcea2861ee8f1f&amp;sharingv2=true&amp;fromShare=true&amp;at=9&amp;CT=1784118292664&amp;OR=OWA%2DNT%2DMail&amp;CID=e972b2fd%2D288a%2Da40d%2Dfef7%2Da0d73cffc186&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038%20TRIMESTRE%2FInd038</v>
      </c>
      <c r="AB42" s="425" t="s">
        <v>1130</v>
      </c>
    </row>
    <row r="43" spans="1:28" s="4" customFormat="1" ht="202.5" customHeight="1">
      <c r="A43" s="92" t="s">
        <v>183</v>
      </c>
      <c r="B43" s="112" t="str">
        <f>VLOOKUP(A43,'Bateria indicadores proceso'!A:X,2,FALSE)</f>
        <v>MISIONAL</v>
      </c>
      <c r="C43" s="113" t="str">
        <f>VLOOKUP(A43,'Bateria indicadores proceso'!A:X,3,FALSE)</f>
        <v>GESTIÓN PARA LA PROTECCIÓN DE LOS DERECHOS</v>
      </c>
      <c r="D43" s="113" t="str">
        <f>VLOOKUP(A43,'Bateria indicadores proceso'!A:X,7,FALSE)</f>
        <v>Dirección de Asuntos Indígenas, Rom y Minorías</v>
      </c>
      <c r="E43" s="114">
        <f>VLOOKUP(A43,'Bateria indicadores proceso'!A:X,4,FALSE)</f>
        <v>0.11</v>
      </c>
      <c r="F43" s="114">
        <f>VLOOKUP(A43,'Bateria indicadores proceso'!A:X,6,FALSE)</f>
        <v>0.03</v>
      </c>
      <c r="G43" s="114" t="str">
        <f>VLOOKUP(A43,'Bateria indicadores proceso'!A:X,12,FALSE)</f>
        <v>Registro de asociaciones de autoridades tradicionales y/o cabildos indígenas revisadas en cumplimiento de los requisitos establecidos en la DAIRM</v>
      </c>
      <c r="H43" s="114" t="str">
        <f>VLOOKUP(A43,'Bateria indicadores proceso'!A:AB,10,FALSE)</f>
        <v>Eficacia</v>
      </c>
      <c r="I43" s="114" t="str">
        <f>VLOOKUP(A43,'Bateria indicadores proceso'!A:AB,16,FALSE)</f>
        <v>Porcentaje</v>
      </c>
      <c r="J43" s="125">
        <f>VLOOKUP(A43,'Bateria indicadores proceso'!A:X,20,FALSE)</f>
        <v>1</v>
      </c>
      <c r="K43" s="125">
        <f>VLOOKUP(A43,'Bateria indicadores proceso'!A:X,21,FALSE)</f>
        <v>1</v>
      </c>
      <c r="L43" s="125">
        <f>VLOOKUP(A43,'Bateria indicadores proceso'!A:X,22,FALSE)</f>
        <v>1</v>
      </c>
      <c r="M43" s="125">
        <f>VLOOKUP(A43,'Bateria indicadores proceso'!A:X,23,FALSE)</f>
        <v>1</v>
      </c>
      <c r="N43" s="126">
        <f>VLOOKUP(A43,'Bateria indicadores proceso'!A:X,24,FALSE)</f>
        <v>1</v>
      </c>
      <c r="O43" s="126">
        <f>VLOOKUP(A43,'Bateria indicadores proceso'!A:AR,28,FALSE)</f>
        <v>0</v>
      </c>
      <c r="P43" s="126">
        <f>VLOOKUP(A43,'Bateria indicadores proceso'!A:AR,29,FALSE)</f>
        <v>1</v>
      </c>
      <c r="Q43" s="126">
        <f>VLOOKUP(A43,'Bateria indicadores proceso'!A:AR,30,FALSE)</f>
        <v>1</v>
      </c>
      <c r="R43" s="126">
        <f>VLOOKUP(A43,'Bateria indicadores proceso'!A:AR,31,FALSE)</f>
        <v>1</v>
      </c>
      <c r="S43" s="126">
        <f>VLOOKUP(A43,'Bateria indicadores proceso'!A:AR,32,FALSE)</f>
        <v>1</v>
      </c>
      <c r="T43" s="115">
        <f>VLOOKUP(A43,'Bateria indicadores proceso'!A:AT,45,FALSE)</f>
        <v>1</v>
      </c>
      <c r="U43" s="119">
        <f>VLOOKUP(A43,'Bateria indicadores proceso'!A:AT,46,FALSE)</f>
        <v>1</v>
      </c>
      <c r="V43" s="116">
        <f t="shared" si="0"/>
        <v>0.03</v>
      </c>
      <c r="W43" s="116">
        <f t="shared" si="1"/>
        <v>0.03</v>
      </c>
      <c r="X43" s="98"/>
      <c r="Y43" s="128" t="str">
        <f>IF(VLOOKUP(A43,'Bateria indicadores proceso'!A:AT,36,FALSE)="","No registro avance",VLOOKUP(A43,'Bateria indicadores proceso'!A:AT,36,FALSE))</f>
        <v>Durante el segundo trimestre de 2026, la DAI expidió 32 actos administrativos en firme relacionados con solicitudes de registro de asociaciones de autoridades tradicionales y/o cabildos indígenas y sus novedades, universo que corresponde de manera exclusiva a este indicador (abril: 12; mayo: 7; junio: 13). Estas 32 resoluciones comprendieron 38 novedades registrales: 8 constituciones, 2 afiliaciones posteriores, 8 desafiliaciones, 15 inscripciones de órgano de dirección y 5 reformas de estatutos.
Adicionalmente, y solo para efectos de trazabilidad, en el mismo periodo se expidieron 16 resoluciones de corrección, aclaración, modificación o recurso, 4 relacionadas con consejos indígenas en el marco del Decreto 488 de 2025 y 1 relacionada con el Registro de Comunidades Indígenas; estas actuaciones no hacen parte del alcance del indicador.</v>
      </c>
      <c r="Z43" s="429" t="s">
        <v>1129</v>
      </c>
      <c r="AA43" s="129" t="str">
        <f>IF(VLOOKUP(A43,'Bateria indicadores proceso'!A:AT,37,FALSE)="","No reportó Evidencia",VLOOKUP(A43,'Bateria indicadores proceso'!A:AT,37,FALSE))</f>
        <v>https://mininteriorgovco.sharepoint.com/sites/EvidenciasOAP/Documentos%20compartidos/Forms/AllItems.aspx?e=5%3A9d10999d505d415e97e5617eb5caa245&amp;sharingv2=true&amp;fromShare=true&amp;at=9&amp;CT=1784118396525&amp;OR=OWA%2DNT%2DMail&amp;CID=d9b2420b%2D367d%2Dbcd6%2Dedb7%2D92cd9e61c0ee&amp;SI=NonSentItems&amp;SLSync=F&amp;cidOR=Client&amp;FolderCTID=0x01200071BA4BEEC5A4884E88FD3CFB2470F298&amp;id=%2Fsites%2FEvidenciasOAP%2FDocumentos%20compartidos%2FEvidencias%20Indicadores%20de%20Proceso%202026%2F05%2E%20Gesti%C3%B3n%20para%20la%20Protecci%C3%B3n%20de%20los%20derechos%2FDirecci%C3%B3n%20Asuntos%20Ind%C3%ADgenas%2C%20ROM%20y%20Minor%C3%ADa%2FII%20TRIMESTRE%2FInd039</v>
      </c>
      <c r="AB43" s="425" t="s">
        <v>1130</v>
      </c>
    </row>
    <row r="44" spans="1:28" s="93" customFormat="1" ht="202.5" customHeight="1">
      <c r="A44" s="92" t="s">
        <v>184</v>
      </c>
      <c r="B44" s="112" t="str">
        <f>VLOOKUP(A44,'Bateria indicadores proceso'!A:X,2,FALSE)</f>
        <v>MISIONAL</v>
      </c>
      <c r="C44" s="113" t="str">
        <f>VLOOKUP(A44,'Bateria indicadores proceso'!A:X,3,FALSE)</f>
        <v>GESTIÓN PARA LA PROTECCIÓN DE LOS DERECHOS</v>
      </c>
      <c r="D44" s="113" t="str">
        <f>VLOOKUP(A44,'Bateria indicadores proceso'!A:X,7,FALSE)</f>
        <v>Grupo Enfoque de Género y Diversidad del Ministerio Interior</v>
      </c>
      <c r="E44" s="114">
        <f>VLOOKUP(A44,'Bateria indicadores proceso'!A:X,4,FALSE)</f>
        <v>0.06</v>
      </c>
      <c r="F44" s="114">
        <f>VLOOKUP(A44,'Bateria indicadores proceso'!A:X,6,FALSE)</f>
        <v>0.06</v>
      </c>
      <c r="G44" s="114" t="str">
        <f>VLOOKUP(A44,'Bateria indicadores proceso'!A:X,12,FALSE)</f>
        <v>Proceso de incorporación del enfoque de género y diversidad en los instrumentos de planificación territorial, socializado a las entidades territoriales</v>
      </c>
      <c r="H44" s="114" t="str">
        <f>VLOOKUP(A44,'Bateria indicadores proceso'!A:AB,10,FALSE)</f>
        <v>Eficacia</v>
      </c>
      <c r="I44" s="114" t="str">
        <f>VLOOKUP(A44,'Bateria indicadores proceso'!A:AB,16,FALSE)</f>
        <v>Número</v>
      </c>
      <c r="J44" s="127">
        <f>VLOOKUP(A44,'Bateria indicadores proceso'!A:X,20,FALSE)</f>
        <v>2</v>
      </c>
      <c r="K44" s="127">
        <f>VLOOKUP(A44,'Bateria indicadores proceso'!A:X,21,FALSE)</f>
        <v>4</v>
      </c>
      <c r="L44" s="127">
        <f>VLOOKUP(A44,'Bateria indicadores proceso'!A:X,22,FALSE)</f>
        <v>3</v>
      </c>
      <c r="M44" s="127">
        <f>VLOOKUP(A44,'Bateria indicadores proceso'!A:X,23,FALSE)</f>
        <v>3</v>
      </c>
      <c r="N44" s="127">
        <f>VLOOKUP(A44,'Bateria indicadores proceso'!A:X,24,FALSE)</f>
        <v>12</v>
      </c>
      <c r="O44" s="127">
        <f>VLOOKUP(A44,'Bateria indicadores proceso'!A:AR,28,FALSE)</f>
        <v>2</v>
      </c>
      <c r="P44" s="127">
        <f>VLOOKUP(A44,'Bateria indicadores proceso'!A:AR,29,FALSE)</f>
        <v>4</v>
      </c>
      <c r="Q44" s="127">
        <f>VLOOKUP(A44,'Bateria indicadores proceso'!A:AR,30,FALSE)</f>
        <v>0</v>
      </c>
      <c r="R44" s="127">
        <f>VLOOKUP(A44,'Bateria indicadores proceso'!A:AR,31,FALSE)</f>
        <v>0</v>
      </c>
      <c r="S44" s="127">
        <f>VLOOKUP(A44,'Bateria indicadores proceso'!A:AR,32,FALSE)</f>
        <v>6</v>
      </c>
      <c r="T44" s="115">
        <f>VLOOKUP(A44,'Bateria indicadores proceso'!A:AT,45,FALSE)</f>
        <v>1.0000100000000001</v>
      </c>
      <c r="U44" s="119">
        <f>VLOOKUP(A44,'Bateria indicadores proceso'!A:AT,46,FALSE)</f>
        <v>0.5</v>
      </c>
      <c r="V44" s="116">
        <f t="shared" si="0"/>
        <v>6.0000600000000001E-2</v>
      </c>
      <c r="W44" s="116">
        <f t="shared" si="1"/>
        <v>0.03</v>
      </c>
      <c r="X44" s="98"/>
      <c r="Y44" s="128" t="str">
        <f>IF(VLOOKUP(A44,'Bateria indicadores proceso'!A:AT,36,FALSE)="","No registro avance",VLOOKUP(A44,'Bateria indicadores proceso'!A:AT,36,FALSE))</f>
        <v>Durante el primer trimestre de la vigencia, se dio cumplimiento al indicador mediante la realización de cuatro (4) espacios de socialización:
1. Nilo, Cundinamarca (15 de abril de 2026)
2. Montería, Córdoba (20 de abril de 2026)
3. Puracé, Cauca (9 de mayo de 2026)
4. Leticia, Amazonas (10 de junio de 2026)
Estas jornadas permitieron socializar herramientas conceptuales y metodológicas para la incorporación del enfoque de género y diversidad en los instrumentos de planeación territorial, la gestión pública, la convivencia y la seguridad humana. Se promovieron ejercicios participativos orientados al reconocimiento de las violencias basadas en género, las violencias por prejuicio y discriminación, la identificación de estereotipos y roles de género, y la reflexión sobre nuevas masculinidades. Los espacios facilitaron la apropiación de lineamientos técnicos para transversalizar el enfoque de género en programas, planes de desarrollo y procesos organizativos, fortaleciendo la capacidad de incidencia de lideresas, organizaciones sociales, víctimas del conflicto armado, consejeras consultivas, actores institucionales y comunitarios en sus territorios.</v>
      </c>
      <c r="Z44" s="429" t="s">
        <v>1129</v>
      </c>
      <c r="AA44" s="129" t="str">
        <f>IF(VLOOKUP(A44,'Bateria indicadores proceso'!A:AT,37,FALSE)="","No reportó Evidencia",VLOOKUP(A44,'Bateria indicadores proceso'!A:AT,37,FALSE))</f>
        <v>https://mininteriorgovco.sharepoint.com/:f:/r/sites/EvidenciasOAP/Documentos%20compartidos/Evidencias%20Indicadores%20de%20Proceso%202026/05.%20Gesti%C3%B3n%20para%20la%20Protecci%C3%B3n%20de%20los%20derechos/Grupo%20enfoque%20de%20g%C3%A9nero%20y%20diversidad/II%20Trimestre/Ind040?csf=1&amp;web=1&amp;e=Nc2Ze6</v>
      </c>
      <c r="AB44" s="621" t="s">
        <v>1130</v>
      </c>
    </row>
    <row r="45" spans="1:28" s="4" customFormat="1" ht="202.5" customHeight="1">
      <c r="A45" s="92" t="s">
        <v>185</v>
      </c>
      <c r="B45" s="112" t="str">
        <f>VLOOKUP(A45,'Bateria indicadores proceso'!A:X,2,FALSE)</f>
        <v>MISIONAL</v>
      </c>
      <c r="C45" s="113" t="str">
        <f>VLOOKUP(A45,'Bateria indicadores proceso'!A:X,3,FALSE)</f>
        <v>GESTIÓN PARA LA PROTECCIÓN DE LOS DERECHOS</v>
      </c>
      <c r="D45" s="113" t="str">
        <f>VLOOKUP(A45,'Bateria indicadores proceso'!A:X,7,FALSE)</f>
        <v>Dirección de Seguridad, Convivencia Ciudadana y Gobierno</v>
      </c>
      <c r="E45" s="114">
        <f>VLOOKUP(A45,'Bateria indicadores proceso'!A:X,4,FALSE)</f>
        <v>0.11</v>
      </c>
      <c r="F45" s="114">
        <f>VLOOKUP(A45,'Bateria indicadores proceso'!A:X,6,FALSE)</f>
        <v>0.04</v>
      </c>
      <c r="G45" s="114" t="str">
        <f>VLOOKUP(A45,'Bateria indicadores proceso'!A:X,12,FALSE)</f>
        <v>Alertas tempranas atendidas por la CIPRAT de conformidad con el Decreto 2124 de 2017</v>
      </c>
      <c r="H45" s="114" t="str">
        <f>VLOOKUP(A45,'Bateria indicadores proceso'!A:AB,10,FALSE)</f>
        <v>Eficacia</v>
      </c>
      <c r="I45" s="114" t="str">
        <f>VLOOKUP(A45,'Bateria indicadores proceso'!A:AB,16,FALSE)</f>
        <v>Porcentaje</v>
      </c>
      <c r="J45" s="125">
        <f>VLOOKUP(A45,'Bateria indicadores proceso'!A:X,20,FALSE)</f>
        <v>1</v>
      </c>
      <c r="K45" s="125">
        <f>VLOOKUP(A45,'Bateria indicadores proceso'!A:X,21,FALSE)</f>
        <v>1</v>
      </c>
      <c r="L45" s="125">
        <f>VLOOKUP(A45,'Bateria indicadores proceso'!A:X,22,FALSE)</f>
        <v>1</v>
      </c>
      <c r="M45" s="125">
        <f>VLOOKUP(A45,'Bateria indicadores proceso'!A:X,23,FALSE)</f>
        <v>1</v>
      </c>
      <c r="N45" s="126">
        <f>VLOOKUP(A45,'Bateria indicadores proceso'!A:X,24,FALSE)</f>
        <v>1</v>
      </c>
      <c r="O45" s="126">
        <f>VLOOKUP(A45,'Bateria indicadores proceso'!A:AR,28,FALSE)</f>
        <v>1</v>
      </c>
      <c r="P45" s="126">
        <f>VLOOKUP(A45,'Bateria indicadores proceso'!A:AR,29,FALSE)</f>
        <v>1</v>
      </c>
      <c r="Q45" s="126">
        <f>VLOOKUP(A45,'Bateria indicadores proceso'!A:AR,30,FALSE)</f>
        <v>0</v>
      </c>
      <c r="R45" s="126">
        <f>VLOOKUP(A45,'Bateria indicadores proceso'!A:AR,31,FALSE)</f>
        <v>0</v>
      </c>
      <c r="S45" s="126">
        <f>VLOOKUP(A45,'Bateria indicadores proceso'!A:AR,32,FALSE)</f>
        <v>1</v>
      </c>
      <c r="T45" s="115">
        <f>VLOOKUP(A45,'Bateria indicadores proceso'!A:AT,45,FALSE)</f>
        <v>1</v>
      </c>
      <c r="U45" s="119">
        <f>VLOOKUP(A45,'Bateria indicadores proceso'!A:AT,46,FALSE)</f>
        <v>1</v>
      </c>
      <c r="V45" s="116">
        <f t="shared" si="0"/>
        <v>0.04</v>
      </c>
      <c r="W45" s="116">
        <f t="shared" si="1"/>
        <v>0.04</v>
      </c>
      <c r="X45" s="98"/>
      <c r="Y45" s="128" t="str">
        <f>IF(VLOOKUP(A45,'Bateria indicadores proceso'!A:AT,36,FALSE)="","No registro avance",VLOOKUP(A45,'Bateria indicadores proceso'!A:AT,36,FALSE))</f>
        <v>Durante el segundo trimestre del año,la Dirección de seguridad, Convivencia Ciudadana y Gobierno, a través de la Secretaria Técnica de la CIPRAT, realizó 3 sesiones de articulación para la atención y seguimiento de las 3 alertas tempranas emitidas por la Defensoría del Pueblo detalladas a continuación: Abril (1):  AT010-26 El Litoral del San Juan (Chocó); Mayo (2):AT011-26 Atrato (Chocó); AT012-26 Balboa (Cauca); Junio (0): No se programaron sesiones de articulación para el mes. Se adjuntan actas por mes como soporte.</v>
      </c>
      <c r="Z45" s="429" t="s">
        <v>1129</v>
      </c>
      <c r="AA45" s="129" t="str">
        <f>IF(VLOOKUP(A45,'Bateria indicadores proceso'!A:AT,37,FALSE)="","No reportó Evidencia",VLOOKUP(A45,'Bateria indicadores proceso'!A:AT,37,FALSE))</f>
        <v>https://mininteriorgovco.sharepoint.com/:f:/r/sites/EvidenciasOAP/Documentos%20compartidos/Evidencias%20Indicadores%20de%20Proceso%202026/05.%20Gesti%C3%B3n%20para%20la%20Protecci%C3%B3n%20de%20los%20derechos/Direcci%C3%B3n%20de%20Seguridad,%20Convivencia%20Ciudadana%20y%20Gobierno/Trimestre%20II/Ind041?csf=1&amp;web=1&amp;e=d3DSJe</v>
      </c>
      <c r="AB45" s="425" t="s">
        <v>1130</v>
      </c>
    </row>
    <row r="46" spans="1:28" s="4" customFormat="1" ht="355.5" customHeight="1">
      <c r="A46" s="92" t="s">
        <v>186</v>
      </c>
      <c r="B46" s="112" t="str">
        <f>VLOOKUP(A46,'Bateria indicadores proceso'!A:X,2,FALSE)</f>
        <v>MISIONAL</v>
      </c>
      <c r="C46" s="113" t="str">
        <f>VLOOKUP(A46,'Bateria indicadores proceso'!A:X,3,FALSE)</f>
        <v>GESTIÓN PARA LA PROTECCIÓN DE LOS DERECHOS</v>
      </c>
      <c r="D46" s="113" t="str">
        <f>VLOOKUP(A46,'Bateria indicadores proceso'!A:X,7,FALSE)</f>
        <v>Dirección de Seguridad, Convivencia Ciudadana y Gobierno</v>
      </c>
      <c r="E46" s="114">
        <f>VLOOKUP(A46,'Bateria indicadores proceso'!A:X,4,FALSE)</f>
        <v>0.11</v>
      </c>
      <c r="F46" s="114">
        <f>VLOOKUP(A46,'Bateria indicadores proceso'!A:X,6,FALSE)</f>
        <v>0.04</v>
      </c>
      <c r="G46" s="114" t="str">
        <f>VLOOKUP(A46,'Bateria indicadores proceso'!A:X,12,FALSE)</f>
        <v>Asistencias técnicas realizadas a entidades territoriales para fortalecer la gestión territorial de la convivencia y seguridad ciudadana</v>
      </c>
      <c r="H46" s="114" t="str">
        <f>VLOOKUP(A46,'Bateria indicadores proceso'!A:AB,10,FALSE)</f>
        <v>Eficacia</v>
      </c>
      <c r="I46" s="114" t="str">
        <f>VLOOKUP(A46,'Bateria indicadores proceso'!A:AB,16,FALSE)</f>
        <v>Número</v>
      </c>
      <c r="J46" s="127">
        <f>VLOOKUP(A46,'Bateria indicadores proceso'!A:X,20,FALSE)</f>
        <v>50</v>
      </c>
      <c r="K46" s="127">
        <f>VLOOKUP(A46,'Bateria indicadores proceso'!A:X,21,FALSE)</f>
        <v>130</v>
      </c>
      <c r="L46" s="127">
        <f>VLOOKUP(A46,'Bateria indicadores proceso'!A:X,22,FALSE)</f>
        <v>94</v>
      </c>
      <c r="M46" s="127">
        <f>VLOOKUP(A46,'Bateria indicadores proceso'!A:X,23,FALSE)</f>
        <v>30</v>
      </c>
      <c r="N46" s="127">
        <f>VLOOKUP(A46,'Bateria indicadores proceso'!A:X,24,FALSE)</f>
        <v>304</v>
      </c>
      <c r="O46" s="127">
        <f>VLOOKUP(A46,'Bateria indicadores proceso'!A:AR,28,FALSE)</f>
        <v>30</v>
      </c>
      <c r="P46" s="127">
        <f>VLOOKUP(A46,'Bateria indicadores proceso'!A:AR,29,FALSE)</f>
        <v>61</v>
      </c>
      <c r="Q46" s="127">
        <f>VLOOKUP(A46,'Bateria indicadores proceso'!A:AR,30,FALSE)</f>
        <v>0</v>
      </c>
      <c r="R46" s="127">
        <f>VLOOKUP(A46,'Bateria indicadores proceso'!A:AR,31,FALSE)</f>
        <v>0</v>
      </c>
      <c r="S46" s="127">
        <f>VLOOKUP(A46,'Bateria indicadores proceso'!A:AR,32,FALSE)</f>
        <v>91</v>
      </c>
      <c r="T46" s="115">
        <f>VLOOKUP(A46,'Bateria indicadores proceso'!A:AT,45,FALSE)</f>
        <v>0.46923076923076923</v>
      </c>
      <c r="U46" s="119">
        <f>VLOOKUP(A46,'Bateria indicadores proceso'!A:AT,46,FALSE)</f>
        <v>0.29934210526315791</v>
      </c>
      <c r="V46" s="116">
        <f t="shared" si="0"/>
        <v>1.8769230769230771E-2</v>
      </c>
      <c r="W46" s="116">
        <f t="shared" si="1"/>
        <v>1.1973684210526317E-2</v>
      </c>
      <c r="X46" s="98"/>
      <c r="Y46" s="128" t="str">
        <f>IF(VLOOKUP(A46,'Bateria indicadores proceso'!A:AT,36,FALSE)="","No registro avance",VLOOKUP(A46,'Bateria indicadores proceso'!A:AT,36,FALSE))</f>
        <v>Durante el segundo trimestre del año, se reportan 61 entidades territoriales participantes en 238 Asistencias técnicas realizadas en fortalecimiento de la gestión territorial de la convivencia y seguridad ciudadana - Planes Integrales de Seguridad y Convivencia Ciudadana PISCC, Fondos de Seguridad Territorial FONSET y FONSECON,Socialización de Código Nacional de Seguridad y Convivencia Ciudadana CNSCC e inspectores de convivencia y paz y socialización de politica pública de convivencia y seguridad humana, por parte del equipo de Gestión Territorial de la Dirección de Seguridad, Convivencia Ciudadana y Gobierno, de la siguiente manera: Abril: Se realizaron 14 asistencias con participación de 6 entidades territoriales, enlistadas a continuación: 1.Municipio de Curumaní - César (PISCC, FONSET), 2.Municipio de Girón, Santander (PISCC,FONSET), 3.Municipio de Piedecuesta, Santander (PISCC,FONSET),4. Municipio de Bucaramanga, Santander  (PISCC,FONSET),5. Municipio de Floridablanca, Santander (PISCC,FONSET), 6. San Andrés islas (PISCC, FONSET, FONSECON,INSPECTORES DE CONVIVENCIA) ; Mayo: se realizaron 36 asistencias con participación de 8 entidades territoriales: 1. Municipio de Valledupar, César (PISCC, FONSET,CNSCC,INSPECTORES DE CONVIVENCIA), 2.Municipio de Becerril, César  (PISCC, FONSET,CNSCC,INSPECTORES DE CONVIVENCIA), 3.Municipio de Agustín Codazzi, César  (PISCC, FONSET,CNSCC,INSPECTORES DE CONVIVENCIA), 4. La Jagua César  (PISCC, FONSET,CNSCC,INSPECTORES DE CONVIVENCIA), 5. Municipio de Chimichagua, César  (PISCC, FONSET,CNSCC,INSPECTORES DE CONVIVENCIA), 6.Municipio de Bosconia, César  (PISCC, FONSET,CNSCC,INSPECTORES DE CONVIVENCIA) 7.Municipio de San Martin, César  (PISCC, FONSET,CNSCC,INSPECTORES DE CONVIVENCIA); Junio: Se realizaron 188 asistencias con participación de 47 entidades territoriales: Departamento del Huila (PISCC, FONSET-FONSECON, CNSCC, INSPECTORES DE CONVIVENCIA Y PAZ)(23): Timaná – Huila, Palestina – Huila, San Agustín – Huila, La plata – Huila, Elías – Huila, Paicol – Huila, Hobo – Huila, Isnos – Huila, Suaza – Huila, Altamira – Huila, Aipe – Huila, Nátaga – Huila, Iquira – Huila, Palermo – Huila, Tello – Huila, Rivera – Huila, Baraya – Huila, Algeciras – Huila, Colombia – Huila, Neiva – Huila, Saladoblanco – Huila, La Argentina – Huila y la Gobernación del Huila; Departamento de Bolivar (PISCC, FONSET-FONSECON, CNSCC, INSPECTORES DE CONVIVENCIA Y PAZ) (21): Córdoba – Bolívar , San Martin – Bolívar , Villanueva – Bolívar , Santa Rosa del sur- Bolívar, Santa Rosa – Bolívar, Cartagena - Bolívar, Arjona - Bolívar, Carmen de Bolívar – Bolívar , Barú – Bolívar ,Turbaco – Bolívar , San Estanislao – Bolívar , Mahates – Bolívar, Cicuco – Bolívar, Tiquisio – Bolívar, Zambrano – Bolívar, Calamar – Bolívar, San Pablo – Bolívar, San Jacinto – Bolívar, San Juan Nepumoceno – Bolívar, El Guamo – Bolívar y la Gobernación de Bolívar; Departamento de Amazonas (PISCC, FONSET-FONSECON, CNSCC, INSPECTORES DE CONVIVENCIA Y PAZ) (3): Leticia - Amazonas, Puerto Nariño - Amazonas y la Gobernación del Amazonas. Se adjuntan actas por mes como soporte.</v>
      </c>
      <c r="Z46" s="428" t="s">
        <v>1131</v>
      </c>
      <c r="AA46" s="129" t="str">
        <f>IF(VLOOKUP(A46,'Bateria indicadores proceso'!A:AT,37,FALSE)="","No reportó Evidencia",VLOOKUP(A46,'Bateria indicadores proceso'!A:AT,37,FALSE))</f>
        <v>https://mininteriorgovco.sharepoint.com/:f:/r/sites/EvidenciasOAP/Documentos%20compartidos/Evidencias%20Indicadores%20de%20Proceso%202026/05.%20Gesti%C3%B3n%20para%20la%20Protecci%C3%B3n%20de%20los%20derechos/Direcci%C3%B3n%20de%20Seguridad,%20Convivencia%20Ciudadana%20y%20Gobierno/Trimestre%20II/Ind042?csf=1&amp;web=1&amp;e=QxgVQc</v>
      </c>
      <c r="AB46" s="425" t="s">
        <v>1130</v>
      </c>
    </row>
    <row r="47" spans="1:28" s="93" customFormat="1" ht="202.5" customHeight="1">
      <c r="A47" s="92" t="s">
        <v>187</v>
      </c>
      <c r="B47" s="112" t="str">
        <f>VLOOKUP(A47,'Bateria indicadores proceso'!A:X,2,FALSE)</f>
        <v>MISIONAL</v>
      </c>
      <c r="C47" s="113" t="str">
        <f>VLOOKUP(A47,'Bateria indicadores proceso'!A:X,3,FALSE)</f>
        <v>GESTIÓN PARA LA PROTECCIÓN DE LOS DERECHOS</v>
      </c>
      <c r="D47" s="113" t="str">
        <f>VLOOKUP(A47,'Bateria indicadores proceso'!A:X,7,FALSE)</f>
        <v>Dirección de Seguridad, Convivencia Ciudadana y Gobierno</v>
      </c>
      <c r="E47" s="114">
        <f>VLOOKUP(A47,'Bateria indicadores proceso'!A:X,4,FALSE)</f>
        <v>0.11</v>
      </c>
      <c r="F47" s="114">
        <f>VLOOKUP(A47,'Bateria indicadores proceso'!A:X,6,FALSE)</f>
        <v>0.03</v>
      </c>
      <c r="G47" s="114" t="str">
        <f>VLOOKUP(A47,'Bateria indicadores proceso'!A:X,12,FALSE)</f>
        <v>Talleres técnicos realizados para el fortalecimiento de las capacidades de las entidades territoriales para la mitigación de riesgos en materia de DDHH, convivencia y seguridad</v>
      </c>
      <c r="H47" s="114" t="str">
        <f>VLOOKUP(A47,'Bateria indicadores proceso'!A:AB,10,FALSE)</f>
        <v>Eficacia</v>
      </c>
      <c r="I47" s="114" t="str">
        <f>VLOOKUP(A47,'Bateria indicadores proceso'!A:AB,16,FALSE)</f>
        <v>Número</v>
      </c>
      <c r="J47" s="127">
        <f>VLOOKUP(A47,'Bateria indicadores proceso'!A:X,20,FALSE)</f>
        <v>70</v>
      </c>
      <c r="K47" s="127">
        <f>VLOOKUP(A47,'Bateria indicadores proceso'!A:X,21,FALSE)</f>
        <v>120</v>
      </c>
      <c r="L47" s="127">
        <f>VLOOKUP(A47,'Bateria indicadores proceso'!A:X,22,FALSE)</f>
        <v>120</v>
      </c>
      <c r="M47" s="127">
        <f>VLOOKUP(A47,'Bateria indicadores proceso'!A:X,23,FALSE)</f>
        <v>34</v>
      </c>
      <c r="N47" s="127">
        <f>VLOOKUP(A47,'Bateria indicadores proceso'!A:X,24,FALSE)</f>
        <v>344</v>
      </c>
      <c r="O47" s="127">
        <f>VLOOKUP(A47,'Bateria indicadores proceso'!A:AR,28,FALSE)</f>
        <v>63</v>
      </c>
      <c r="P47" s="127">
        <f>VLOOKUP(A47,'Bateria indicadores proceso'!A:AR,29,FALSE)</f>
        <v>95</v>
      </c>
      <c r="Q47" s="127">
        <f>VLOOKUP(A47,'Bateria indicadores proceso'!A:AR,30,FALSE)</f>
        <v>0</v>
      </c>
      <c r="R47" s="127">
        <f>VLOOKUP(A47,'Bateria indicadores proceso'!A:AR,31,FALSE)</f>
        <v>0</v>
      </c>
      <c r="S47" s="127">
        <f>VLOOKUP(A47,'Bateria indicadores proceso'!A:AR,32,FALSE)</f>
        <v>158</v>
      </c>
      <c r="T47" s="115">
        <f>VLOOKUP(A47,'Bateria indicadores proceso'!A:AT,45,FALSE)</f>
        <v>0.79166666666666663</v>
      </c>
      <c r="U47" s="119">
        <f>VLOOKUP(A47,'Bateria indicadores proceso'!A:AT,46,FALSE)</f>
        <v>0.45930232558139533</v>
      </c>
      <c r="V47" s="116">
        <f t="shared" si="0"/>
        <v>2.3749999999999997E-2</v>
      </c>
      <c r="W47" s="116">
        <f t="shared" si="1"/>
        <v>1.377906976744186E-2</v>
      </c>
      <c r="X47" s="98"/>
      <c r="Y47" s="128" t="str">
        <f>IF(VLOOKUP(A47,'Bateria indicadores proceso'!A:AT,36,FALSE)="","No registro avance",VLOOKUP(A47,'Bateria indicadores proceso'!A:AT,36,FALSE))</f>
        <v>Durante el segundo trimestre del año, la Dirección de Seguridad, Convivencia Ciudadana y Gobierno, reporta la realización de 95 talleres técnicos para la mitigación de los riesgos advertidos en materia de convivencia y seguridad humana, detallados de la siguiente manera: Abril:  38 talleres técnicos, Mayo: 41 talleres técnicos, Junio: 16 talleres técnicos. Se adjuntan actas como soporte.</v>
      </c>
      <c r="Z47" s="428" t="s">
        <v>1129</v>
      </c>
      <c r="AA47" s="129" t="str">
        <f>IF(VLOOKUP(A47,'Bateria indicadores proceso'!A:AT,37,FALSE)="","No reportó Evidencia",VLOOKUP(A47,'Bateria indicadores proceso'!A:AT,37,FALSE))</f>
        <v>https://mininteriorgovco.sharepoint.com/:f:/r/sites/EvidenciasOAP/Documentos%20compartidos/Evidencias%20Indicadores%20de%20Proceso%202026/05.%20Gesti%C3%B3n%20para%20la%20Protecci%C3%B3n%20de%20los%20derechos/Direcci%C3%B3n%20de%20Seguridad,%20Convivencia%20Ciudadana%20y%20Gobierno/Trimestre%20II/Ind043?csf=1&amp;web=1&amp;e=icjv0u</v>
      </c>
      <c r="AB47" s="425" t="s">
        <v>1130</v>
      </c>
    </row>
    <row r="48" spans="1:28" s="4" customFormat="1" ht="202.5" customHeight="1">
      <c r="A48" s="92" t="s">
        <v>188</v>
      </c>
      <c r="B48" s="112" t="str">
        <f>VLOOKUP(A48,'Bateria indicadores proceso'!A:X,2,FALSE)</f>
        <v>MISIONAL</v>
      </c>
      <c r="C48" s="113" t="str">
        <f>VLOOKUP(A48,'Bateria indicadores proceso'!A:X,3,FALSE)</f>
        <v>GESTIÓN PARA LA PROTECCIÓN DE LOS DERECHOS</v>
      </c>
      <c r="D48" s="113" t="str">
        <f>VLOOKUP(A48,'Bateria indicadores proceso'!A:X,7,FALSE)</f>
        <v>Dirección de Asuntos para Comunidades Negras, Afrocolombianas, Raizales y Palenqueras</v>
      </c>
      <c r="E48" s="114">
        <f>VLOOKUP(A48,'Bateria indicadores proceso'!A:X,4,FALSE)</f>
        <v>0.11</v>
      </c>
      <c r="F48" s="114">
        <f>VLOOKUP(A48,'Bateria indicadores proceso'!A:X,6,FALSE)</f>
        <v>0.03</v>
      </c>
      <c r="G48" s="114" t="str">
        <f>VLOOKUP(A48,'Bateria indicadores proceso'!A:X,12,FALSE)</f>
        <v>Fondo especial de créditos educativos condonables de Comunidades Negras -FECECN, administrado por el ICETEX, en las cuales partipa la Dirección de Asuntos para Comunidades Negras, Afrocolombianas, Raizales y Palenqueras para las condonaciones</v>
      </c>
      <c r="H48" s="114" t="str">
        <f>VLOOKUP(A48,'Bateria indicadores proceso'!A:AB,10,FALSE)</f>
        <v>Eficacia</v>
      </c>
      <c r="I48" s="114" t="str">
        <f>VLOOKUP(A48,'Bateria indicadores proceso'!A:AB,16,FALSE)</f>
        <v>Número</v>
      </c>
      <c r="J48" s="127">
        <f>VLOOKUP(A48,'Bateria indicadores proceso'!A:X,20,FALSE)</f>
        <v>100</v>
      </c>
      <c r="K48" s="127">
        <f>VLOOKUP(A48,'Bateria indicadores proceso'!A:X,21,FALSE)</f>
        <v>250</v>
      </c>
      <c r="L48" s="127">
        <f>VLOOKUP(A48,'Bateria indicadores proceso'!A:X,22,FALSE)</f>
        <v>250</v>
      </c>
      <c r="M48" s="127">
        <f>VLOOKUP(A48,'Bateria indicadores proceso'!A:X,23,FALSE)</f>
        <v>250</v>
      </c>
      <c r="N48" s="127">
        <f>VLOOKUP(A48,'Bateria indicadores proceso'!A:X,24,FALSE)</f>
        <v>850</v>
      </c>
      <c r="O48" s="127" t="str">
        <f>VLOOKUP(A48,'Bateria indicadores proceso'!A:AR,28,FALSE)</f>
        <v xml:space="preserve">246
</v>
      </c>
      <c r="P48" s="127">
        <f>VLOOKUP(A48,'Bateria indicadores proceso'!A:AR,29,FALSE)</f>
        <v>730</v>
      </c>
      <c r="Q48" s="127">
        <f>VLOOKUP(A48,'Bateria indicadores proceso'!A:AR,30,FALSE)</f>
        <v>0</v>
      </c>
      <c r="R48" s="127">
        <f>VLOOKUP(A48,'Bateria indicadores proceso'!A:AR,31,FALSE)</f>
        <v>0</v>
      </c>
      <c r="S48" s="127">
        <f>VLOOKUP(A48,'Bateria indicadores proceso'!A:AR,32,FALSE)</f>
        <v>976</v>
      </c>
      <c r="T48" s="115">
        <f>VLOOKUP(A48,'Bateria indicadores proceso'!A:AT,45,FALSE)</f>
        <v>1.0000100000000001</v>
      </c>
      <c r="U48" s="119">
        <f>VLOOKUP(A48,'Bateria indicadores proceso'!A:AT,46,FALSE)</f>
        <v>1.0000100000000001</v>
      </c>
      <c r="V48" s="116">
        <f t="shared" si="0"/>
        <v>3.0000300000000001E-2</v>
      </c>
      <c r="W48" s="116">
        <f t="shared" si="1"/>
        <v>3.0000300000000001E-2</v>
      </c>
      <c r="X48" s="98"/>
      <c r="Y48" s="128" t="str">
        <f>IF(VLOOKUP(A48,'Bateria indicadores proceso'!A:AT,36,FALSE)="","No registro avance",VLOOKUP(A48,'Bateria indicadores proceso'!A:AT,36,FALSE))</f>
        <v>Para el trimestre se adelantaron  (730) acciones en el marco de la participación en la aprobación de condonaciones del Fondo Especial de Créditos Educativos Condonables de Comunidades Negras – FECECN, administrado por ICETEX.
En este contexto, se desarrollaron las siguientes actividades:
Abril(304) El ICETEX  cito a Comité Técnico Nacional para someter a aprobación la condonacion de  (304) beneficiarios  por un valor de CINCO MIL DOSCIENTOS VEINTITRES MILLONES NOVECIENTOS DIEZ MIL QUINIENTOS SETENTA Y NUEVE CON ONCE CENTAVOS MCTA  ($5.923.910.579,11) las cuales fueron aprobadas.
Mayo(426) El 25 de mayo de 2026 el Icetex cito a Comité Técnico Nacional para poner en consideración la condonación de  426 solicitudes de Condonación por un valor total de OCHO MIL SEISCIENTOS TREINTA Y OCHO MILLONES QUINIENTOS OCHENTA Y CINCO MIL SESENTA Y SIETE PESOS CON CUARENTA Y SIETE CON ONCE CENTAVOS MCTE ($638.585.067,47). De estas, 246 corresponden a solicitudes de condonaciones por medidas excepcionales, mientras que 180 son condonaciones ordinarias presentadas dentro de los plazos establecidos en el Reglamento Operativo.</v>
      </c>
      <c r="Z48" s="428" t="s">
        <v>1129</v>
      </c>
      <c r="AA48" s="129" t="str">
        <f>IF(VLOOKUP(A48,'Bateria indicadores proceso'!A:AT,37,FALSE)="","No reportó Evidencia",VLOOKUP(A48,'Bateria indicadores proceso'!A:AT,37,FALSE))</f>
        <v>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044?csf=1&amp;web=1&amp;e=gPudpE</v>
      </c>
      <c r="AB48" s="425" t="s">
        <v>1130</v>
      </c>
    </row>
    <row r="49" spans="1:28" s="4" customFormat="1" ht="202.5" customHeight="1">
      <c r="A49" s="92" t="s">
        <v>189</v>
      </c>
      <c r="B49" s="112" t="str">
        <f>VLOOKUP(A49,'Bateria indicadores proceso'!A:X,2,FALSE)</f>
        <v>MISIONAL</v>
      </c>
      <c r="C49" s="113" t="str">
        <f>VLOOKUP(A49,'Bateria indicadores proceso'!A:X,3,FALSE)</f>
        <v>GESTIÓN PARA LA PROTECCIÓN DE LOS DERECHOS</v>
      </c>
      <c r="D49" s="113" t="str">
        <f>VLOOKUP(A49,'Bateria indicadores proceso'!A:X,7,FALSE)</f>
        <v>Dirección de Asuntos para Comunidades Negras, Afrocolombianas, Raizales y Palenqueras</v>
      </c>
      <c r="E49" s="114">
        <f>VLOOKUP(A49,'Bateria indicadores proceso'!A:X,4,FALSE)</f>
        <v>0.11</v>
      </c>
      <c r="F49" s="114">
        <f>VLOOKUP(A49,'Bateria indicadores proceso'!A:X,6,FALSE)</f>
        <v>0.03</v>
      </c>
      <c r="G49" s="114" t="str">
        <f>VLOOKUP(A49,'Bateria indicadores proceso'!A:X,12,FALSE)</f>
        <v>Cerificaciones de Autorreconocimiento como miembro de la  Comunidades Negras, Afrocolombianos, Raizales y Palenqueras y  Exoneración del servicio militar establecido en la sentencia 433 de 2021, que se presenten ante la Dirección, expedidas por la Dirección de Asuntos para Comunidades Negras, Afrocolombianas, Raizales y Palenqueras</v>
      </c>
      <c r="H49" s="114" t="str">
        <f>VLOOKUP(A49,'Bateria indicadores proceso'!A:AB,10,FALSE)</f>
        <v>Eficacia</v>
      </c>
      <c r="I49" s="114" t="str">
        <f>VLOOKUP(A49,'Bateria indicadores proceso'!A:AB,16,FALSE)</f>
        <v>Número</v>
      </c>
      <c r="J49" s="127">
        <f>VLOOKUP(A49,'Bateria indicadores proceso'!A:X,20,FALSE)</f>
        <v>2300</v>
      </c>
      <c r="K49" s="127">
        <f>VLOOKUP(A49,'Bateria indicadores proceso'!A:X,21,FALSE)</f>
        <v>2400</v>
      </c>
      <c r="L49" s="127">
        <f>VLOOKUP(A49,'Bateria indicadores proceso'!A:X,22,FALSE)</f>
        <v>2500</v>
      </c>
      <c r="M49" s="127">
        <f>VLOOKUP(A49,'Bateria indicadores proceso'!A:X,23,FALSE)</f>
        <v>2600</v>
      </c>
      <c r="N49" s="127">
        <f>VLOOKUP(A49,'Bateria indicadores proceso'!A:X,24,FALSE)</f>
        <v>9800</v>
      </c>
      <c r="O49" s="127">
        <f>VLOOKUP(A49,'Bateria indicadores proceso'!A:AR,28,FALSE)</f>
        <v>18960</v>
      </c>
      <c r="P49" s="127">
        <f>VLOOKUP(A49,'Bateria indicadores proceso'!A:AR,29,FALSE)</f>
        <v>40845</v>
      </c>
      <c r="Q49" s="127">
        <f>VLOOKUP(A49,'Bateria indicadores proceso'!A:AR,30,FALSE)</f>
        <v>0</v>
      </c>
      <c r="R49" s="127">
        <f>VLOOKUP(A49,'Bateria indicadores proceso'!A:AR,31,FALSE)</f>
        <v>0</v>
      </c>
      <c r="S49" s="127">
        <f>VLOOKUP(A49,'Bateria indicadores proceso'!A:AR,32,FALSE)</f>
        <v>59805</v>
      </c>
      <c r="T49" s="115">
        <f>VLOOKUP(A49,'Bateria indicadores proceso'!A:AT,45,FALSE)</f>
        <v>1.0000100000000001</v>
      </c>
      <c r="U49" s="119">
        <f>VLOOKUP(A49,'Bateria indicadores proceso'!A:AT,46,FALSE)</f>
        <v>1.0000100000000001</v>
      </c>
      <c r="V49" s="116">
        <f t="shared" si="0"/>
        <v>3.0000300000000001E-2</v>
      </c>
      <c r="W49" s="116">
        <f t="shared" si="1"/>
        <v>3.0000300000000001E-2</v>
      </c>
      <c r="X49" s="98"/>
      <c r="Y49" s="128" t="str">
        <f>IF(VLOOKUP(A49,'Bateria indicadores proceso'!A:AT,36,FALSE)="","No registro avance",VLOOKUP(A49,'Bateria indicadores proceso'!A:AT,36,FALSE))</f>
        <v>Para el segundo trimestre se adelantaron 40845 acciones en el marco de la expedición de certificaciones de autorreconocimiento, orientadas a: (i) el autorreconocimiento como miembro de las comunidades Negras, Afrocolombianas, Raizales y Palenqueras, y (ii) la exoneración del servicio militar, conforme a lo establecido en la Sentencia C-433 de 2021, para los solicitantes ante la Dirección. En este contexto, se registraron los siguientes resultados:
Abril (14151) 13274 Auto reconocimientos para comunidades negras, afrocolombianas, raizales y palenqueras. 67 certificaciones de exoneración de servicio militar C-433 de 2021.
810 certificaciones de cupos y/o descuentos
Mayo(13264) 12032 auto reconocimientos para comunidades negras, afrocolombianas, raizales y palenqueras. 53 certificaciones de exoneración de servicio militar C-433 de 2021.
1179 certificaciones de cupos y/o descuentos
Junio(13430) 12544 auto reconocimientos para comunidades negras, afrocolombianas, raizales y palenqueras.14 certificaciones de exoneración de servicio militar C-433 de 2021.
872 certificaciones de cupos y/o descuentos</v>
      </c>
      <c r="Z49" s="427" t="s">
        <v>1129</v>
      </c>
      <c r="AA49" s="129" t="str">
        <f>IF(VLOOKUP(A49,'Bateria indicadores proceso'!A:AT,37,FALSE)="","No reportó Evidencia",VLOOKUP(A49,'Bateria indicadores proceso'!A:AT,37,FALSE))</f>
        <v>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045?csf=1&amp;web=1&amp;e=jeLt57</v>
      </c>
      <c r="AB49" s="425" t="s">
        <v>1130</v>
      </c>
    </row>
    <row r="50" spans="1:28" s="93" customFormat="1" ht="202.5" customHeight="1">
      <c r="A50" s="92" t="s">
        <v>190</v>
      </c>
      <c r="B50" s="112" t="str">
        <f>VLOOKUP(A50,'Bateria indicadores proceso'!A:X,2,FALSE)</f>
        <v>MISIONAL</v>
      </c>
      <c r="C50" s="113" t="str">
        <f>VLOOKUP(A50,'Bateria indicadores proceso'!A:X,3,FALSE)</f>
        <v>GESTIÓN PARA LA PROTECCIÓN DE LOS DERECHOS</v>
      </c>
      <c r="D50" s="113" t="str">
        <f>VLOOKUP(A50,'Bateria indicadores proceso'!A:X,7,FALSE)</f>
        <v>Dirección de Asuntos para Comunidades Negras, Afrocolombianas, Raizales y Palenqueras</v>
      </c>
      <c r="E50" s="114">
        <f>VLOOKUP(A50,'Bateria indicadores proceso'!A:X,4,FALSE)</f>
        <v>0.11</v>
      </c>
      <c r="F50" s="114">
        <f>VLOOKUP(A50,'Bateria indicadores proceso'!A:X,6,FALSE)</f>
        <v>0.02</v>
      </c>
      <c r="G50" s="114" t="str">
        <f>VLOOKUP(A50,'Bateria indicadores proceso'!A:X,12,FALSE)</f>
        <v>Registro Público Único Nacional y/o actualización de los Consejos Comunitarios,  Formas o Expresiones Organizativas, Organizaciones de Base y las demás que cree la Ley, de las Comunidades Negras, Afrocolombianas, Raizales y Palenqueras, realizadas por la Dirección de Asuntos para Comunidades Negras, Afrocolombianas, Raizales y Palenqueras</v>
      </c>
      <c r="H50" s="114" t="str">
        <f>VLOOKUP(A50,'Bateria indicadores proceso'!A:AB,10,FALSE)</f>
        <v>Eficacia</v>
      </c>
      <c r="I50" s="114" t="str">
        <f>VLOOKUP(A50,'Bateria indicadores proceso'!A:AB,16,FALSE)</f>
        <v>Número</v>
      </c>
      <c r="J50" s="127">
        <f>VLOOKUP(A50,'Bateria indicadores proceso'!A:X,20,FALSE)</f>
        <v>25</v>
      </c>
      <c r="K50" s="127">
        <f>VLOOKUP(A50,'Bateria indicadores proceso'!A:X,21,FALSE)</f>
        <v>45</v>
      </c>
      <c r="L50" s="127">
        <f>VLOOKUP(A50,'Bateria indicadores proceso'!A:X,22,FALSE)</f>
        <v>55</v>
      </c>
      <c r="M50" s="127">
        <f>VLOOKUP(A50,'Bateria indicadores proceso'!A:X,23,FALSE)</f>
        <v>75</v>
      </c>
      <c r="N50" s="127">
        <f>VLOOKUP(A50,'Bateria indicadores proceso'!A:X,24,FALSE)</f>
        <v>200</v>
      </c>
      <c r="O50" s="127">
        <f>VLOOKUP(A50,'Bateria indicadores proceso'!A:AR,28,FALSE)</f>
        <v>99</v>
      </c>
      <c r="P50" s="127">
        <f>VLOOKUP(A50,'Bateria indicadores proceso'!A:AR,29,FALSE)</f>
        <v>179</v>
      </c>
      <c r="Q50" s="127">
        <f>VLOOKUP(A50,'Bateria indicadores proceso'!A:AR,30,FALSE)</f>
        <v>0</v>
      </c>
      <c r="R50" s="127">
        <f>VLOOKUP(A50,'Bateria indicadores proceso'!A:AR,31,FALSE)</f>
        <v>0</v>
      </c>
      <c r="S50" s="127">
        <f>VLOOKUP(A50,'Bateria indicadores proceso'!A:AR,32,FALSE)</f>
        <v>278</v>
      </c>
      <c r="T50" s="115">
        <f>VLOOKUP(A50,'Bateria indicadores proceso'!A:AT,45,FALSE)</f>
        <v>1.0000100000000001</v>
      </c>
      <c r="U50" s="119">
        <f>VLOOKUP(A50,'Bateria indicadores proceso'!A:AT,46,FALSE)</f>
        <v>1.0000100000000001</v>
      </c>
      <c r="V50" s="116">
        <f t="shared" si="0"/>
        <v>2.0000200000000003E-2</v>
      </c>
      <c r="W50" s="116">
        <f t="shared" si="1"/>
        <v>2.0000200000000003E-2</v>
      </c>
      <c r="X50" s="98"/>
      <c r="Y50" s="128" t="str">
        <f>IF(VLOOKUP(A50,'Bateria indicadores proceso'!A:AT,36,FALSE)="","No registro avance",VLOOKUP(A50,'Bateria indicadores proceso'!A:AT,36,FALSE))</f>
        <v>En el segundo se recibieron y atendieron 179 solicitudes en el proceso de Registro Público Único Nacional y/o actualización de los Consejos Comunitarios, Formas o Expresiones Organizativas, Organizaciones de Base, para un cumplimiento del 100% de la actividad, así:
Abril. (69) . 9 Inscripciones Organizaciones de base, 32 Actualizaciones organizaciones de base, 1 Inscripciones consejos comunitarios, 27 Actualizaciones consejos comunitarios, 0 Inscripciones de formas o expresiones, 0 Actualizaciones.
Mayo. (84) 17 Inscripciones Organizaciones de base, 41 Actualizaciones organizaciones de base, 0 Inscripciones consejos comunitarios, 26 Actualizaciones consejos comunitarios, 0 Inscripciones de formas o expresiones, 0 Actualizaciones de formas o expresiones.
Junio. (26) 7 Inscripciones Organizaciones de base, 4 Actualizaciones organizaciones de base, 0 Inscripciones consejos comunitarios, 14 Actualizaciones consejos comunitarios, 1 Inscripciones de formas o expresiones, 0 Actualizaciones de formas o expresiones,</v>
      </c>
      <c r="Z50" s="427" t="s">
        <v>1129</v>
      </c>
      <c r="AA50" s="129" t="str">
        <f>IF(VLOOKUP(A50,'Bateria indicadores proceso'!A:AT,37,FALSE)="","No reportó Evidencia",VLOOKUP(A50,'Bateria indicadores proceso'!A:AT,37,FALSE))</f>
        <v>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046?csf=1&amp;web=1&amp;e=xjXGRD</v>
      </c>
      <c r="AB50" s="425" t="s">
        <v>1130</v>
      </c>
    </row>
    <row r="51" spans="1:28" s="4" customFormat="1" ht="250.5" customHeight="1">
      <c r="A51" s="92" t="s">
        <v>191</v>
      </c>
      <c r="B51" s="112" t="str">
        <f>VLOOKUP(A51,'Bateria indicadores proceso'!A:X,2,FALSE)</f>
        <v>MISIONAL</v>
      </c>
      <c r="C51" s="113" t="str">
        <f>VLOOKUP(A51,'Bateria indicadores proceso'!A:X,3,FALSE)</f>
        <v>GESTIÓN PARA LA PROTECCIÓN DE LOS DERECHOS</v>
      </c>
      <c r="D51" s="113" t="str">
        <f>VLOOKUP(A51,'Bateria indicadores proceso'!A:X,7,FALSE)</f>
        <v>Dirección de Asuntos para Comunidades Negras, Afrocolombianas, Raizales y Palenqueras</v>
      </c>
      <c r="E51" s="114">
        <f>VLOOKUP(A51,'Bateria indicadores proceso'!A:X,4,FALSE)</f>
        <v>0.11</v>
      </c>
      <c r="F51" s="114">
        <f>VLOOKUP(A51,'Bateria indicadores proceso'!A:X,6,FALSE)</f>
        <v>0.03</v>
      </c>
      <c r="G51" s="114" t="str">
        <f>VLOOKUP(A51,'Bateria indicadores proceso'!A:X,12,FALSE)</f>
        <v>Procesos de Consulta Previa para la adopción de Medidas Legislativas y Administrativas de Amplio Alcance Susceptibles de Afectar a las Comunidades Negras, Afrocolombianas, Raizales y Palenqueras  (Espacio Nacional de Consulta Previa - ENCP y Sesiones de las Comisiones, coordinados y realizados</v>
      </c>
      <c r="H51" s="114" t="str">
        <f>VLOOKUP(A51,'Bateria indicadores proceso'!A:AB,10,FALSE)</f>
        <v>Eficacia</v>
      </c>
      <c r="I51" s="114" t="str">
        <f>VLOOKUP(A51,'Bateria indicadores proceso'!A:AB,16,FALSE)</f>
        <v>Número</v>
      </c>
      <c r="J51" s="127">
        <f>VLOOKUP(A51,'Bateria indicadores proceso'!A:X,20,FALSE)</f>
        <v>5</v>
      </c>
      <c r="K51" s="127">
        <f>VLOOKUP(A51,'Bateria indicadores proceso'!A:X,21,FALSE)</f>
        <v>6</v>
      </c>
      <c r="L51" s="127">
        <f>VLOOKUP(A51,'Bateria indicadores proceso'!A:X,22,FALSE)</f>
        <v>7</v>
      </c>
      <c r="M51" s="127">
        <f>VLOOKUP(A51,'Bateria indicadores proceso'!A:X,23,FALSE)</f>
        <v>8</v>
      </c>
      <c r="N51" s="127">
        <f>VLOOKUP(A51,'Bateria indicadores proceso'!A:X,24,FALSE)</f>
        <v>26</v>
      </c>
      <c r="O51" s="127">
        <f>VLOOKUP(A51,'Bateria indicadores proceso'!A:AR,28,FALSE)</f>
        <v>5</v>
      </c>
      <c r="P51" s="127">
        <f>VLOOKUP(A51,'Bateria indicadores proceso'!A:AR,29,FALSE)</f>
        <v>5</v>
      </c>
      <c r="Q51" s="127">
        <f>VLOOKUP(A51,'Bateria indicadores proceso'!A:AR,30,FALSE)</f>
        <v>0</v>
      </c>
      <c r="R51" s="127">
        <f>VLOOKUP(A51,'Bateria indicadores proceso'!A:AR,31,FALSE)</f>
        <v>0</v>
      </c>
      <c r="S51" s="127">
        <f>VLOOKUP(A51,'Bateria indicadores proceso'!A:AR,32,FALSE)</f>
        <v>10</v>
      </c>
      <c r="T51" s="115">
        <f>VLOOKUP(A51,'Bateria indicadores proceso'!A:AT,45,FALSE)</f>
        <v>0.83333333333333337</v>
      </c>
      <c r="U51" s="119">
        <f>VLOOKUP(A51,'Bateria indicadores proceso'!A:AT,46,FALSE)</f>
        <v>0.38461538461538464</v>
      </c>
      <c r="V51" s="116">
        <f t="shared" si="0"/>
        <v>2.5000000000000001E-2</v>
      </c>
      <c r="W51" s="116">
        <f t="shared" si="1"/>
        <v>1.1538461538461539E-2</v>
      </c>
      <c r="X51" s="98"/>
      <c r="Y51" s="128" t="str">
        <f>IF(VLOOKUP(A51,'Bateria indicadores proceso'!A:AT,36,FALSE)="","No registro avance",VLOOKUP(A51,'Bateria indicadores proceso'!A:AT,36,FALSE))</f>
        <v xml:space="preserve">Para el segundo trimestre se adelantaron 5 acciones en el marco de la coordinación y realización de los procesos de Consulta Previa para la adopción de medidas legislativas y administrativas de amplio alcance, susceptibles de afectar a las comunidades Negras, Afrocolombianas, Raizales y Palenqueras, en articulación con el Espacio Nacional de Consulta Previa – ENCP (Decreto 1372 de 2018); así como en el ejercicio de la Secretaría Técnica de la Comisión Consultiva de Alto Nivel – CCAN (Decreto 1640 de 2020). En este contexto, se desarrollaron las siguientes actividades:
Mayo(4)  *Convocatoria a la Sesión de Seguimiento y Balance al Plan Nacional de Desarrollo 2022- 2026 Colombia Potencia Mundial de la Vida con la Comisión Segunda del Espacio Nacional de Consulta Previa de las Comunidades Negras, Afrocolombianas, Raizales y Palenqueras, *Apoyar desde la DCN en la articulación del alcance de la convocatoria a sesión de la Subcomisión V de la Comisión Consultiva de Alto Nivel de Comunidades Negras, para el proyecto de resolución ‘Por medio de la cual se declara una reserva de recursos naturales
renovables en el bioma amazónico colombiano, y se adoptan otras.* Acompañar en la estrategia de cumplimiento indicador NT2-23: La Dirección de Seguridad y Convivencia Ciudadana y Gobierno, incluirá en la ruta de construcción de los modelos de Seguridad, la participación de las Comisiones consultivas departamentales en articulación con las gobernaciones.* Participar en la primera sesión de trabajo entre la Agencia de Desarrollo Rural y la Comisión Segunda del Espacio Nacional de Consulta Previa – para la Co construcción del Programa de Economía Propia, Etnodesarrollo y Género para las Comunidades Negras,
Afrocolombianas, Raizales y Palenqueras.
Junio(1) Sesión de seguimiento a los acuerdos y compromisos del capitulo étnico del Plan Nacional de desarrollo 2023-2026-Ministerio de Educación y entidades adscritas-Comisión IV del ENCP </v>
      </c>
      <c r="Z51" s="428" t="s">
        <v>1131</v>
      </c>
      <c r="AA51" s="129" t="str">
        <f>IF(VLOOKUP(A51,'Bateria indicadores proceso'!A:AT,37,FALSE)="","No reportó Evidencia",VLOOKUP(A51,'Bateria indicadores proceso'!A:AT,37,FALSE))</f>
        <v>https://mininteriorgovco.sharepoint.com/:f:/r/sites/EvidenciasOAP/Documentos%20compartidos/Evidencias%20Indicadores%20de%20Proceso%202026/05.%20Gesti%C3%B3n%20para%20la%20Protecci%C3%B3n%20de%20los%20derechos/Direcci%C3%B3n%20de%20Asuntos%20para%20Comunidades%20Negras,%20Afrocolombianas,%20Raizales%20y%20Palenqueras/II%20Trimestre/Ind047?csf=1&amp;web=1&amp;e=rp6RXn</v>
      </c>
      <c r="AB51" s="425" t="s">
        <v>1130</v>
      </c>
    </row>
    <row r="52" spans="1:28" s="93" customFormat="1" ht="202.5" customHeight="1">
      <c r="A52" s="92" t="s">
        <v>192</v>
      </c>
      <c r="B52" s="112" t="str">
        <f>VLOOKUP(A52,'Bateria indicadores proceso'!A:X,2,FALSE)</f>
        <v>MISIONAL</v>
      </c>
      <c r="C52" s="113" t="str">
        <f>VLOOKUP(A52,'Bateria indicadores proceso'!A:X,3,FALSE)</f>
        <v>GESTIÓN PARA LA PROTECCIÓN DE LOS DERECHOS</v>
      </c>
      <c r="D52" s="113" t="str">
        <f>VLOOKUP(A52,'Bateria indicadores proceso'!A:X,7,FALSE)</f>
        <v>Grupo Equipo de Paz del Ministerio del Interior</v>
      </c>
      <c r="E52" s="114">
        <f>VLOOKUP(A52,'Bateria indicadores proceso'!A:X,4,FALSE)</f>
        <v>0.06</v>
      </c>
      <c r="F52" s="114">
        <f>VLOOKUP(A52,'Bateria indicadores proceso'!A:X,6,FALSE)</f>
        <v>0.03</v>
      </c>
      <c r="G52" s="114" t="str">
        <f>VLOOKUP(A52,'Bateria indicadores proceso'!A:X,12,FALSE)</f>
        <v>Entidades o instancias articuladas para la implementación de acciones asociadas a la Paz</v>
      </c>
      <c r="H52" s="114" t="str">
        <f>VLOOKUP(A52,'Bateria indicadores proceso'!A:AB,10,FALSE)</f>
        <v>Eficacia</v>
      </c>
      <c r="I52" s="114" t="str">
        <f>VLOOKUP(A52,'Bateria indicadores proceso'!A:AB,16,FALSE)</f>
        <v>Número</v>
      </c>
      <c r="J52" s="127">
        <f>VLOOKUP(A52,'Bateria indicadores proceso'!A:X,20,FALSE)</f>
        <v>0</v>
      </c>
      <c r="K52" s="127">
        <f>VLOOKUP(A52,'Bateria indicadores proceso'!A:X,21,FALSE)</f>
        <v>2</v>
      </c>
      <c r="L52" s="127">
        <f>VLOOKUP(A52,'Bateria indicadores proceso'!A:X,22,FALSE)</f>
        <v>5</v>
      </c>
      <c r="M52" s="127">
        <f>VLOOKUP(A52,'Bateria indicadores proceso'!A:X,23,FALSE)</f>
        <v>5</v>
      </c>
      <c r="N52" s="127">
        <f>VLOOKUP(A52,'Bateria indicadores proceso'!A:X,24,FALSE)</f>
        <v>12</v>
      </c>
      <c r="O52" s="127">
        <f>VLOOKUP(A52,'Bateria indicadores proceso'!A:AR,28,FALSE)</f>
        <v>0</v>
      </c>
      <c r="P52" s="127">
        <f>VLOOKUP(A52,'Bateria indicadores proceso'!A:AR,29,FALSE)</f>
        <v>5</v>
      </c>
      <c r="Q52" s="127">
        <f>VLOOKUP(A52,'Bateria indicadores proceso'!A:AR,30,FALSE)</f>
        <v>0</v>
      </c>
      <c r="R52" s="127">
        <f>VLOOKUP(A52,'Bateria indicadores proceso'!A:AR,31,FALSE)</f>
        <v>0</v>
      </c>
      <c r="S52" s="127">
        <f>VLOOKUP(A52,'Bateria indicadores proceso'!A:AR,32,FALSE)</f>
        <v>5</v>
      </c>
      <c r="T52" s="115" t="str">
        <f>VLOOKUP(A52,'Bateria indicadores proceso'!A:AT,45,FALSE)</f>
        <v>Revisar fórmula</v>
      </c>
      <c r="U52" s="119">
        <f>VLOOKUP(A52,'Bateria indicadores proceso'!A:AT,46,FALSE)</f>
        <v>0.41666666666666669</v>
      </c>
      <c r="V52" s="116">
        <f t="shared" si="0"/>
        <v>0.03</v>
      </c>
      <c r="W52" s="116">
        <f t="shared" si="1"/>
        <v>1.2500000000000001E-2</v>
      </c>
      <c r="X52" s="98"/>
      <c r="Y52" s="128" t="str">
        <f>IF(VLOOKUP(A52,'Bateria indicadores proceso'!A:AT,36,FALSE)="","No registro avance",VLOOKUP(A52,'Bateria indicadores proceso'!A:AT,36,FALSE))</f>
        <v>Para el II Trimestre de 2026,  se desarrollaron acciones de seguimiento, articulación y fortalecimiento de las instancias de implementación del Acuerdo Final de Paz, mediante el avance del Pacto Político Nacional, la elaboración de informes para la Comisión de Seguimiento, Impulso y Verificación a la Implementación del Acuerdo Final (CSIVI), el Consejo Nacional de Paz, Reconciliación y Convivencia y el Fondo Multidonante de las Naciones Unidas para el Sostenimiento de la Paz. Asimismo, se impulsó la implementación del Plan de Choque para la Implementación del Acuerdo Final de Paz, priorizando el fortalecimiento de los Pactos Territoriales para la Transformación del Territorio como mecanismo para acelerar el cumplimiento de los compromisos estatales en los municipios PDET, promover la articulación institucional y consolidar la paz territorial. Abril: 1 Mayo:2 Junio:2</v>
      </c>
      <c r="Z52" s="429" t="s">
        <v>1129</v>
      </c>
      <c r="AA52" s="129" t="str">
        <f>IF(VLOOKUP(A52,'Bateria indicadores proceso'!A:AT,37,FALSE)="","No reportó Evidencia",VLOOKUP(A52,'Bateria indicadores proceso'!A:AT,37,FALSE))</f>
        <v>https://mininteriorgovco.sharepoint.com/sites/EvidenciasOAP/Documentos%20compartidos/Forms/AllItems.aspx?id=%2Fsites%2FEvidenciasOAP%2FDocumentos%20compartidos%2FEvidencias%20Indicadores%20de%20Proceso%202026%2F05%2E%20Gesti%C3%B3n%20para%20la%20Protecci%C3%B3n%20de%20los%20derechos%2FGrupo%20Equipo%20de%20Paz%2FII%20Trimestre%2FInd048&amp;viewid=f06b705c%2D1d5c%2D4fc5%2Db2b2%2D6247424e1781&amp;csf=1&amp;CT=1783434415977&amp;OR=OWA%2DNT%2DMail&amp;CID=b9d885d1%2De6b4%2D9cee%2De842%2D6fd9f0a978f7&amp;SI=NonSentItems&amp;SLSync=F&amp;FolderCTID=0x01200071BA4BEEC5A4884E88FD3CFB2470F298</v>
      </c>
      <c r="AB52" s="425" t="s">
        <v>1130</v>
      </c>
    </row>
    <row r="53" spans="1:28" s="4" customFormat="1" ht="202.5" customHeight="1">
      <c r="A53" s="92" t="s">
        <v>193</v>
      </c>
      <c r="B53" s="112" t="str">
        <f>VLOOKUP(A53,'Bateria indicadores proceso'!A:X,2,FALSE)</f>
        <v>MISIONAL</v>
      </c>
      <c r="C53" s="113" t="str">
        <f>VLOOKUP(A53,'Bateria indicadores proceso'!A:X,3,FALSE)</f>
        <v>GESTIÓN PARA LA PROTECCIÓN DE LOS DERECHOS</v>
      </c>
      <c r="D53" s="113" t="str">
        <f>VLOOKUP(A53,'Bateria indicadores proceso'!A:X,7,FALSE)</f>
        <v>Grupo Equipo de Paz del Ministerio del Interior</v>
      </c>
      <c r="E53" s="114">
        <f>VLOOKUP(A53,'Bateria indicadores proceso'!A:X,4,FALSE)</f>
        <v>0.06</v>
      </c>
      <c r="F53" s="114">
        <f>VLOOKUP(A53,'Bateria indicadores proceso'!A:X,6,FALSE)</f>
        <v>0.03</v>
      </c>
      <c r="G53" s="114" t="str">
        <f>VLOOKUP(A53,'Bateria indicadores proceso'!A:X,12,FALSE)</f>
        <v>Iniciativas del Sector Interior, articuladas con entidades del Orden Nacional, Territorial, Organismos de Cooperación Internacional y Multilaterales y Organizaciones sociales y etnicas.</v>
      </c>
      <c r="H53" s="114" t="str">
        <f>VLOOKUP(A53,'Bateria indicadores proceso'!A:AB,10,FALSE)</f>
        <v>Eficacia</v>
      </c>
      <c r="I53" s="114" t="str">
        <f>VLOOKUP(A53,'Bateria indicadores proceso'!A:AB,16,FALSE)</f>
        <v>Número</v>
      </c>
      <c r="J53" s="127">
        <f>VLOOKUP(A53,'Bateria indicadores proceso'!A:X,20,FALSE)</f>
        <v>2</v>
      </c>
      <c r="K53" s="127">
        <f>VLOOKUP(A53,'Bateria indicadores proceso'!A:X,21,FALSE)</f>
        <v>5</v>
      </c>
      <c r="L53" s="127">
        <f>VLOOKUP(A53,'Bateria indicadores proceso'!A:X,22,FALSE)</f>
        <v>5</v>
      </c>
      <c r="M53" s="127">
        <f>VLOOKUP(A53,'Bateria indicadores proceso'!A:X,23,FALSE)</f>
        <v>5</v>
      </c>
      <c r="N53" s="127">
        <f>VLOOKUP(A53,'Bateria indicadores proceso'!A:X,24,FALSE)</f>
        <v>17</v>
      </c>
      <c r="O53" s="127">
        <f>VLOOKUP(A53,'Bateria indicadores proceso'!A:AR,28,FALSE)</f>
        <v>2</v>
      </c>
      <c r="P53" s="127">
        <f>VLOOKUP(A53,'Bateria indicadores proceso'!A:AR,29,FALSE)</f>
        <v>5</v>
      </c>
      <c r="Q53" s="127">
        <f>VLOOKUP(A53,'Bateria indicadores proceso'!A:AR,30,FALSE)</f>
        <v>0</v>
      </c>
      <c r="R53" s="127">
        <f>VLOOKUP(A53,'Bateria indicadores proceso'!A:AR,31,FALSE)</f>
        <v>0</v>
      </c>
      <c r="S53" s="127">
        <f>VLOOKUP(A53,'Bateria indicadores proceso'!A:AR,32,FALSE)</f>
        <v>7</v>
      </c>
      <c r="T53" s="115">
        <f>VLOOKUP(A53,'Bateria indicadores proceso'!A:AT,45,FALSE)</f>
        <v>1</v>
      </c>
      <c r="U53" s="119">
        <f>VLOOKUP(A53,'Bateria indicadores proceso'!A:AT,46,FALSE)</f>
        <v>0.41176470588235292</v>
      </c>
      <c r="V53" s="116">
        <f t="shared" si="0"/>
        <v>0.03</v>
      </c>
      <c r="W53" s="116">
        <f t="shared" si="1"/>
        <v>1.2352941176470587E-2</v>
      </c>
      <c r="X53" s="98"/>
      <c r="Y53" s="128" t="str">
        <f>IF(VLOOKUP(A53,'Bateria indicadores proceso'!A:AT,36,FALSE)="","No registro avance",VLOOKUP(A53,'Bateria indicadores proceso'!A:AT,36,FALSE))</f>
        <v>En el segundo trimestre de la vigencia 2026, se avanzó con la implementación de 5 iniciativas en las subregiones Montes de Maria, Sierra Nevada y Perija y Chocó, en los municipios de Morroa (Sucre), La Paz (Cesar) y Bojayá (Chocó), en coadyuvancia con el convenio 1638 d 2024 entre el Ministerio del Interior y la OIM, mediante acciones de implementación enfocados en fortalecimiento comunitario, social y organizacional, en el marco de los lineamientos del Plan Nacional de Desarrollo Colombia Potencia Mundial de la Vida, contribuyendo a la consolidación de la paz territorial, el cierre de brechas y el fortalecimiento institucional. Abr: 2 May:3 Jun:0</v>
      </c>
      <c r="Z53" s="429" t="s">
        <v>1129</v>
      </c>
      <c r="AA53" s="129" t="str">
        <f>IF(VLOOKUP(A53,'Bateria indicadores proceso'!A:AT,37,FALSE)="","No reportó Evidencia",VLOOKUP(A53,'Bateria indicadores proceso'!A:AT,37,FALSE))</f>
        <v>https://mininteriorgovco.sharepoint.com/sites/EvidenciasOAP/Documentos%20compartidos/Forms/AllItems.aspx?csf=1&amp;web=1&amp;e=akWI0T&amp;CT=1783548122105&amp;OR=OWA%2DNT%2DMail&amp;CID=1b0942a1%2Da287%2D3f14%2D1dd7%2D414032353c30&amp;SI=NonSentItems&amp;SLSync=F&amp;FolderCTID=0x01200071BA4BEEC5A4884E88FD3CFB2470F298&amp;id=%2Fsites%2FEvidenciasOAP%2FDocumentos%20compartidos%2FEvidencias%20Indicadores%20de%20Proceso%202026%2F05%2E%20Gesti%C3%B3n%20para%20la%20Protecci%C3%B3n%20de%20los%20derechos%2FGrupo%20Equipo%20de%20Paz%2FII%20Trimestre%2FInd049</v>
      </c>
      <c r="AB53" s="425" t="s">
        <v>1130</v>
      </c>
    </row>
    <row r="54" spans="1:28" s="4" customFormat="1" ht="202.5" customHeight="1">
      <c r="A54" s="92" t="s">
        <v>194</v>
      </c>
      <c r="B54" s="112" t="str">
        <f>VLOOKUP(A54,'Bateria indicadores proceso'!A:X,2,FALSE)</f>
        <v>MISIONAL</v>
      </c>
      <c r="C54" s="113" t="str">
        <f>VLOOKUP(A54,'Bateria indicadores proceso'!A:X,3,FALSE)</f>
        <v>GESTIÓN PARA LA PROTECCIÓN DE LOS DERECHOS</v>
      </c>
      <c r="D54" s="113" t="str">
        <f>VLOOKUP(A54,'Bateria indicadores proceso'!A:X,7,FALSE)</f>
        <v>Dirección de la Autoridad Nacional de Consulta Previa</v>
      </c>
      <c r="E54" s="114">
        <f>VLOOKUP(A54,'Bateria indicadores proceso'!A:X,4,FALSE)</f>
        <v>0.11</v>
      </c>
      <c r="F54" s="114">
        <f>VLOOKUP(A54,'Bateria indicadores proceso'!A:X,6,FALSE)</f>
        <v>0.04</v>
      </c>
      <c r="G54" s="114" t="str">
        <f>VLOOKUP(A54,'Bateria indicadores proceso'!A:X,12,FALSE)</f>
        <v xml:space="preserve">Porcentaje de actos administrativos expedidos para determinar la procedencia o no de la consulta previa </v>
      </c>
      <c r="H54" s="114" t="str">
        <f>VLOOKUP(A54,'Bateria indicadores proceso'!A:AB,10,FALSE)</f>
        <v>Eficacia</v>
      </c>
      <c r="I54" s="114" t="str">
        <f>VLOOKUP(A54,'Bateria indicadores proceso'!A:AB,16,FALSE)</f>
        <v>Porcentaje</v>
      </c>
      <c r="J54" s="125">
        <f>VLOOKUP(A54,'Bateria indicadores proceso'!A:X,20,FALSE)</f>
        <v>0.9</v>
      </c>
      <c r="K54" s="125">
        <f>VLOOKUP(A54,'Bateria indicadores proceso'!A:X,21,FALSE)</f>
        <v>0.9</v>
      </c>
      <c r="L54" s="125">
        <f>VLOOKUP(A54,'Bateria indicadores proceso'!A:X,22,FALSE)</f>
        <v>0.9</v>
      </c>
      <c r="M54" s="125">
        <f>VLOOKUP(A54,'Bateria indicadores proceso'!A:X,23,FALSE)</f>
        <v>0.9</v>
      </c>
      <c r="N54" s="126">
        <f>VLOOKUP(A54,'Bateria indicadores proceso'!A:X,24,FALSE)</f>
        <v>0.9</v>
      </c>
      <c r="O54" s="126">
        <f>VLOOKUP(A54,'Bateria indicadores proceso'!A:AR,28,FALSE)</f>
        <v>0.9</v>
      </c>
      <c r="P54" s="126">
        <f>VLOOKUP(A54,'Bateria indicadores proceso'!A:AR,29,FALSE)</f>
        <v>0.9</v>
      </c>
      <c r="Q54" s="126">
        <f>VLOOKUP(A54,'Bateria indicadores proceso'!A:AR,30,FALSE)</f>
        <v>0.9</v>
      </c>
      <c r="R54" s="126">
        <f>VLOOKUP(A54,'Bateria indicadores proceso'!A:AR,31,FALSE)</f>
        <v>0.9</v>
      </c>
      <c r="S54" s="126">
        <f>VLOOKUP(A54,'Bateria indicadores proceso'!A:AR,32,FALSE)</f>
        <v>0.9</v>
      </c>
      <c r="T54" s="115">
        <f>VLOOKUP(A54,'Bateria indicadores proceso'!A:AT,45,FALSE)</f>
        <v>1</v>
      </c>
      <c r="U54" s="119">
        <f>VLOOKUP(A54,'Bateria indicadores proceso'!A:AT,46,FALSE)</f>
        <v>1</v>
      </c>
      <c r="V54" s="116">
        <f t="shared" si="0"/>
        <v>0.04</v>
      </c>
      <c r="W54" s="116">
        <f t="shared" si="1"/>
        <v>0.04</v>
      </c>
      <c r="X54" s="98"/>
      <c r="Y54" s="128" t="str">
        <f>IF(VLOOKUP(A54,'Bateria indicadores proceso'!A:AT,36,FALSE)="","No registro avance",VLOOKUP(A54,'Bateria indicadores proceso'!A:AT,36,FALSE))</f>
        <v xml:space="preserve">En el segundo trimestre de 2026, fueron programados y emitidos 431 actos administrativos de Determinacion de Procedencia y Oportuna de la Consulta Previa, asi: Abril 151, Mayo 158, Junio 122.
Por sectores: Minero 54, Energia 211, Ambiental 30, Hidrocarburos 15, Infraestructura 82, Telecomunicaciones 8 y otros 31. </v>
      </c>
      <c r="Z54" s="429" t="s">
        <v>1129</v>
      </c>
      <c r="AA54" s="129" t="str">
        <f>IF(VLOOKUP(A54,'Bateria indicadores proceso'!A:AT,37,FALSE)="","No reportó Evidencia",VLOOKUP(A54,'Bateria indicadores proceso'!A:AT,37,FALSE))</f>
        <v>Ind050</v>
      </c>
      <c r="AB54" s="622" t="s">
        <v>1130</v>
      </c>
    </row>
    <row r="55" spans="1:28" s="93" customFormat="1" ht="202.5" customHeight="1">
      <c r="A55" s="92" t="s">
        <v>195</v>
      </c>
      <c r="B55" s="112" t="str">
        <f>VLOOKUP(A55,'Bateria indicadores proceso'!A:X,2,FALSE)</f>
        <v>MISIONAL</v>
      </c>
      <c r="C55" s="113" t="str">
        <f>VLOOKUP(A55,'Bateria indicadores proceso'!A:X,3,FALSE)</f>
        <v>GESTIÓN PARA LA PROTECCIÓN DE LOS DERECHOS</v>
      </c>
      <c r="D55" s="113" t="str">
        <f>VLOOKUP(A55,'Bateria indicadores proceso'!A:X,7,FALSE)</f>
        <v>Dirección de la Autoridad Nacional de Consulta Previa</v>
      </c>
      <c r="E55" s="114">
        <f>VLOOKUP(A55,'Bateria indicadores proceso'!A:X,4,FALSE)</f>
        <v>0.11</v>
      </c>
      <c r="F55" s="114">
        <f>VLOOKUP(A55,'Bateria indicadores proceso'!A:X,6,FALSE)</f>
        <v>0.04</v>
      </c>
      <c r="G55" s="114" t="str">
        <f>VLOOKUP(A55,'Bateria indicadores proceso'!A:X,12,FALSE)</f>
        <v xml:space="preserve">Porcentaje de reuniones convocadas y atendidas en el marco de procesos de consulta previa </v>
      </c>
      <c r="H55" s="114" t="str">
        <f>VLOOKUP(A55,'Bateria indicadores proceso'!A:AB,10,FALSE)</f>
        <v>Eficacia</v>
      </c>
      <c r="I55" s="114" t="str">
        <f>VLOOKUP(A55,'Bateria indicadores proceso'!A:AB,16,FALSE)</f>
        <v>Porcentaje</v>
      </c>
      <c r="J55" s="125">
        <f>VLOOKUP(A55,'Bateria indicadores proceso'!A:X,20,FALSE)</f>
        <v>1</v>
      </c>
      <c r="K55" s="125">
        <f>VLOOKUP(A55,'Bateria indicadores proceso'!A:X,21,FALSE)</f>
        <v>1</v>
      </c>
      <c r="L55" s="125">
        <f>VLOOKUP(A55,'Bateria indicadores proceso'!A:X,22,FALSE)</f>
        <v>1</v>
      </c>
      <c r="M55" s="125">
        <f>VLOOKUP(A55,'Bateria indicadores proceso'!A:X,23,FALSE)</f>
        <v>1</v>
      </c>
      <c r="N55" s="126">
        <f>VLOOKUP(A55,'Bateria indicadores proceso'!A:X,24,FALSE)</f>
        <v>1</v>
      </c>
      <c r="O55" s="126">
        <f>VLOOKUP(A55,'Bateria indicadores proceso'!A:AR,28,FALSE)</f>
        <v>1</v>
      </c>
      <c r="P55" s="126">
        <f>VLOOKUP(A55,'Bateria indicadores proceso'!A:AR,29,FALSE)</f>
        <v>1</v>
      </c>
      <c r="Q55" s="126">
        <f>VLOOKUP(A55,'Bateria indicadores proceso'!A:AR,30,FALSE)</f>
        <v>1</v>
      </c>
      <c r="R55" s="126">
        <f>VLOOKUP(A55,'Bateria indicadores proceso'!A:AR,31,FALSE)</f>
        <v>1</v>
      </c>
      <c r="S55" s="126">
        <f>VLOOKUP(A55,'Bateria indicadores proceso'!A:AR,32,FALSE)</f>
        <v>1</v>
      </c>
      <c r="T55" s="115">
        <f>VLOOKUP(A55,'Bateria indicadores proceso'!A:AT,45,FALSE)</f>
        <v>1</v>
      </c>
      <c r="U55" s="119">
        <f>VLOOKUP(A55,'Bateria indicadores proceso'!A:AT,46,FALSE)</f>
        <v>1</v>
      </c>
      <c r="V55" s="116">
        <f t="shared" si="0"/>
        <v>0.04</v>
      </c>
      <c r="W55" s="116">
        <f t="shared" si="1"/>
        <v>0.04</v>
      </c>
      <c r="X55" s="98"/>
      <c r="Y55" s="128" t="str">
        <f>IF(VLOOKUP(A55,'Bateria indicadores proceso'!A:AT,36,FALSE)="","No registro avance",VLOOKUP(A55,'Bateria indicadores proceso'!A:AT,36,FALSE))</f>
        <v xml:space="preserve">Durante el segundo trimestre de 2026 se atendieron 520 reuniones de las 577 reuniones convocadas de consulta previa, cumpliendo con la meta para el trimestre; especificamente por mes: Abril 190, Mayo 176, Junio 154 .   </v>
      </c>
      <c r="Z55" s="429" t="s">
        <v>1129</v>
      </c>
      <c r="AA55" s="129" t="str">
        <f>IF(VLOOKUP(A55,'Bateria indicadores proceso'!A:AT,37,FALSE)="","No reportó Evidencia",VLOOKUP(A55,'Bateria indicadores proceso'!A:AT,37,FALSE))</f>
        <v>Ind051</v>
      </c>
      <c r="AB55" s="623" t="s">
        <v>1130</v>
      </c>
    </row>
    <row r="56" spans="1:28" s="4" customFormat="1" ht="275.25" customHeight="1">
      <c r="A56" s="92" t="s">
        <v>196</v>
      </c>
      <c r="B56" s="112" t="str">
        <f>VLOOKUP(A56,'Bateria indicadores proceso'!A:X,2,FALSE)</f>
        <v>MISIONAL</v>
      </c>
      <c r="C56" s="113" t="str">
        <f>VLOOKUP(A56,'Bateria indicadores proceso'!A:X,3,FALSE)</f>
        <v>GESTIÓN PARA LA PROTECCIÓN DE LOS DERECHOS</v>
      </c>
      <c r="D56" s="113" t="str">
        <f>VLOOKUP(A56,'Bateria indicadores proceso'!A:X,7,FALSE)</f>
        <v>Dirección de la Autoridad Nacional de Consulta Previa</v>
      </c>
      <c r="E56" s="114">
        <f>VLOOKUP(A56,'Bateria indicadores proceso'!A:X,4,FALSE)</f>
        <v>0.11</v>
      </c>
      <c r="F56" s="114">
        <f>VLOOKUP(A56,'Bateria indicadores proceso'!A:X,6,FALSE)</f>
        <v>0.03</v>
      </c>
      <c r="G56" s="114" t="str">
        <f>VLOOKUP(A56,'Bateria indicadores proceso'!A:X,12,FALSE)</f>
        <v>Porcentaje de estrategias de formación implementadas desde la escuela de formación para grupos de interés.</v>
      </c>
      <c r="H56" s="114" t="str">
        <f>VLOOKUP(A56,'Bateria indicadores proceso'!A:AB,10,FALSE)</f>
        <v>Eficacia</v>
      </c>
      <c r="I56" s="114" t="str">
        <f>VLOOKUP(A56,'Bateria indicadores proceso'!A:AB,16,FALSE)</f>
        <v>Porcentaje</v>
      </c>
      <c r="J56" s="125">
        <f>VLOOKUP(A56,'Bateria indicadores proceso'!A:X,20,FALSE)</f>
        <v>1</v>
      </c>
      <c r="K56" s="125">
        <f>VLOOKUP(A56,'Bateria indicadores proceso'!A:X,21,FALSE)</f>
        <v>1</v>
      </c>
      <c r="L56" s="125">
        <f>VLOOKUP(A56,'Bateria indicadores proceso'!A:X,22,FALSE)</f>
        <v>1</v>
      </c>
      <c r="M56" s="125">
        <f>VLOOKUP(A56,'Bateria indicadores proceso'!A:X,23,FALSE)</f>
        <v>1</v>
      </c>
      <c r="N56" s="126">
        <f>VLOOKUP(A56,'Bateria indicadores proceso'!A:X,24,FALSE)</f>
        <v>1</v>
      </c>
      <c r="O56" s="126">
        <f>VLOOKUP(A56,'Bateria indicadores proceso'!A:AR,28,FALSE)</f>
        <v>1</v>
      </c>
      <c r="P56" s="126">
        <f>VLOOKUP(A56,'Bateria indicadores proceso'!A:AR,29,FALSE)</f>
        <v>1</v>
      </c>
      <c r="Q56" s="126">
        <f>VLOOKUP(A56,'Bateria indicadores proceso'!A:AR,30,FALSE)</f>
        <v>1</v>
      </c>
      <c r="R56" s="126">
        <f>VLOOKUP(A56,'Bateria indicadores proceso'!A:AR,31,FALSE)</f>
        <v>1</v>
      </c>
      <c r="S56" s="126">
        <f>VLOOKUP(A56,'Bateria indicadores proceso'!A:AR,32,FALSE)</f>
        <v>1</v>
      </c>
      <c r="T56" s="115">
        <f>VLOOKUP(A56,'Bateria indicadores proceso'!A:AT,45,FALSE)</f>
        <v>1</v>
      </c>
      <c r="U56" s="119">
        <f>VLOOKUP(A56,'Bateria indicadores proceso'!A:AT,46,FALSE)</f>
        <v>1</v>
      </c>
      <c r="V56" s="116">
        <f t="shared" si="0"/>
        <v>0.03</v>
      </c>
      <c r="W56" s="116">
        <f t="shared" si="1"/>
        <v>0.03</v>
      </c>
      <c r="X56" s="98"/>
      <c r="Y56" s="128" t="str">
        <f>IF(VLOOKUP(A56,'Bateria indicadores proceso'!A:AT,36,FALSE)="","No registro avance",VLOOKUP(A56,'Bateria indicadores proceso'!A:AT,36,FALSE))</f>
        <v>En el marco de la implementación de estrategias desde la Escuela de Formación para grupos de interés, durante el segundo trimestre de 2026 se adelantaron 3 estrategias de formación, distribuidas de la siguiente manera:
1. Estrategia: Se desarrollaron 43 Capacitaciones en los diferentes territorios del país a las comunidades Indígenas, servidores públicos de diferentes entidades así:
ABRIL: implementaron 10 capacitaciones así:
Asistencia a la comunidad del Consejo Comunitario de Comunidades Negras Villa Estela (6 personas). 2. Capacitación a funcionarios de la Corporación Autónoma del Consejo Comunitario de Comunidades Negras Villa Estela (15 personas). 3. Capacitación a funcionarios y contratistas de la Corporación Autónoma Regional del Valle del Cauca – Cali (25 personas). 4 y 5. Capacitación a estudiantes de los grados 10° y 11° del Colegio Técnico Agropecuario José Celestino Mutis, del municipio de Puerto Nariño – Amazonas (69 personas). 6. Capacitación a estudiantes de la Institución Educativa Francisco José de Caldas, Resguardo Indígena Tarapacá (34 personas). 7. Capacitación a funcionarios y colaboradores de la Alcaldía Municipal de Mistrató – Risaralda (21 personas). 8. Capacitación a autoridades indígenas Wayuu E'Iruku en Manaure (72 personas). 9. Capacitación a estudiantes de los grados 10° y 11° de la Institución Educativa Francisco de Orellana del Resguardo Indígena de Macedonia y de la Institución Educativa Francisco José de Caldas del Resguardo Indígena Tarapacá, en Leticia – Amazonas (38 personas). 10. Jornada de capacitación sobre el derecho fundamental a la consulta previa dirigida a servidores de la Alcaldía Mayor de Bogotá (37 personas). Durante el mes se beneficiaron un total de 317 personas.
MAYO: se implementaron 14 capacitaciones así:
Capacitación a funcionarios de la Dirección de Proyectos Estratégicos de la Gobernación de Sucre (7 personas). 2. Capacitación a servidores públicos de la Gobernación de Guainía y de la Alcaldía de Puerto Inírida (30 personas). 3. Capacitación a autoridades indígenas de Guainía (56 personas). 4. Capacitación a colaboradores de la Alcaldía Municipal de Pradera – Valle del Cauca (22 personas). 5. Capacitación a líderes y comunidad de la Parcialidad Indígena Jabalcón (56 personas). 6. Capacitación a colaboradores de la Alcaldía, Personería y Concejo Municipal de Hispania – Antioquia (18 personas). 7. Capacitación dirigida a la empresa UG21 (13 personas). 8. Capacitación a líderes y comunidad del Resguardo Indígena Sikuani de Domo Planas, en Puerto Gaitán – Meta (30 personas). 9. Capacitación a comunidades indígenas del Resguardo Nasa Planes y de la Parcialidad Misak Nuevo Milenio (33 personas). 10. Capacitación a la comunidad indígena de la Parcialidad Nasa Candilejas (48 personas). 11. Capacitación a la Parcialidad Emberá Chamí El Paraíso y a la Asociación Colectivo Afro (37 personas). 12. Capacitación a la comunidad del Resguardo Indígena Chamy La Julia (44 personas). 13. Capacitación dirigida a funcionarios y colaboradores de la Alcaldía Municipal de Belén de Umbría (13 personas). 14. Capacitación a estudiantes indígenas de la Institución Educativa Francisco de Orellana (89 personas). Durante el mes se beneficiaron un total de 494 personas.
JUNIO: se implementaron 19 capacitaciones así:
Capacitación al Resguardo Indígena Senú Omagá (31 personas). 2. Capacitación a funcionarios de la Superintendencia Nacional de Salud (6 personas). 3. Capacitación a funcionarios de la Gobernación de Nariño (36 personas). 4. Capacitación a funcionarios de la Alcaldía Distrital de Barrancabermeja (38 personas). 5. Capacitación a servidores de la Corporación Autónoma Regional de Nariño (57 personas). 6. Capacitación a servidores del Ministerio de Minas y Energía (44 personas). 7. Capacitación al Resguardo Indígena Wounaan Río Taparal (29 personas). 8. Capacitación a miembros de consejos comunitarios del municipio de Jamundí (35 personas). 9. Capacitación a la Asociación Caldense de Personeros – ASOCALPER (8 personas). 10. Capacitación a miembros de los cabildos indígenas del municipio de Jamundí (38 personas). 11. Capacitación a miembros de la comunidad Mokaná (69 personas). 12. Capacitación a miembros de la comunidad Puerto Galve del Resguardo Indígena Río Taparal (29 personas). 13. Capacitación a la comunidad Playa Linda del Resguardo Indígena Río Orpúa (51 personas). 14. Capacitación a colaboradores de la Alcaldía Municipal de Florida (12 personas). 15. Capacitación a miembros de la comunidad Wayuu Numain y Laulayuu de Maicao (26 personas). 16. Capacitación a miembros de la comunidad Wayuu Numain y Laulayuu de Uribia (26 personas). 17. Capacitación a servidores públicos de la Alcaldía Municipal de Jardín – Antioquia (29 personas). 18. Capacitación a miembros de los pueblos indígenas Chimila y Kogui (47 personas). 19. Capacitación a miembros del Consejo Comunitario Mayor de la Cuenca Media y Alta del Río Dagua (15 personas). Durante el mes se beneficiaron un total de 632 personas.
2. Estrategia: En mayo se realizó la capacitación sobre las sentencias en el marco de la implementación de la política de drogas y la erradicación de cultivos de uso ilícito, así como sobre consulta previa, dirigida a la comunidad del Resguardo Indígena Valles del Sol (62 personas).
3. Estrategia: En mayo se realizó la capacitación sobre el Decreto Ley 480 de 2025 dirigida a la comunidad Uncacía y a los pueblos Makaguán y Sikuani (30 personas).</v>
      </c>
      <c r="Z56" s="429" t="s">
        <v>1129</v>
      </c>
      <c r="AA56" s="129" t="str">
        <f>IF(VLOOKUP(A56,'Bateria indicadores proceso'!A:AT,37,FALSE)="","No reportó Evidencia",VLOOKUP(A56,'Bateria indicadores proceso'!A:AT,37,FALSE))</f>
        <v>Ind052</v>
      </c>
      <c r="AB56" s="623" t="s">
        <v>1130</v>
      </c>
    </row>
    <row r="57" spans="1:28" s="4" customFormat="1" ht="202.5" customHeight="1">
      <c r="A57" s="92" t="s">
        <v>197</v>
      </c>
      <c r="B57" s="112" t="str">
        <f>VLOOKUP(A57,'Bateria indicadores proceso'!A:X,2,FALSE)</f>
        <v>MISIONAL</v>
      </c>
      <c r="C57" s="113" t="str">
        <f>VLOOKUP(A57,'Bateria indicadores proceso'!A:X,3,FALSE)</f>
        <v>GESTIÓN PARA LA PROTECCIÓN DE LOS DERECHOS</v>
      </c>
      <c r="D57" s="113" t="str">
        <f>VLOOKUP(A57,'Bateria indicadores proceso'!A:X,7,FALSE)</f>
        <v>Dirección de Asuntos Religiosos</v>
      </c>
      <c r="E57" s="114">
        <f>VLOOKUP(A57,'Bateria indicadores proceso'!A:X,4,FALSE)</f>
        <v>0.11</v>
      </c>
      <c r="F57" s="114">
        <f>VLOOKUP(A57,'Bateria indicadores proceso'!A:X,6,FALSE)</f>
        <v>0.03</v>
      </c>
      <c r="G57" s="114" t="str">
        <f>VLOOKUP(A57,'Bateria indicadores proceso'!A:X,12,FALSE)</f>
        <v xml:space="preserve">Asistencias técnicas realizadas a las entidades territoriales (Gobernaciones y Alcaldías)  de manera presencial y virtual, sobre las metodologías y kit de herramientas realizadas por la Dirección de Asuntos Religiosos </v>
      </c>
      <c r="H57" s="114" t="str">
        <f>VLOOKUP(A57,'Bateria indicadores proceso'!A:AB,10,FALSE)</f>
        <v>Eficiencia</v>
      </c>
      <c r="I57" s="114" t="str">
        <f>VLOOKUP(A57,'Bateria indicadores proceso'!A:AB,16,FALSE)</f>
        <v>Número</v>
      </c>
      <c r="J57" s="127">
        <f>VLOOKUP(A57,'Bateria indicadores proceso'!A:X,20,FALSE)</f>
        <v>5</v>
      </c>
      <c r="K57" s="127">
        <f>VLOOKUP(A57,'Bateria indicadores proceso'!A:X,21,FALSE)</f>
        <v>25</v>
      </c>
      <c r="L57" s="127">
        <f>VLOOKUP(A57,'Bateria indicadores proceso'!A:X,22,FALSE)</f>
        <v>25</v>
      </c>
      <c r="M57" s="127">
        <f>VLOOKUP(A57,'Bateria indicadores proceso'!A:X,23,FALSE)</f>
        <v>25</v>
      </c>
      <c r="N57" s="127">
        <f>VLOOKUP(A57,'Bateria indicadores proceso'!A:X,24,FALSE)</f>
        <v>80</v>
      </c>
      <c r="O57" s="127">
        <f>VLOOKUP(A57,'Bateria indicadores proceso'!A:AR,28,FALSE)</f>
        <v>40</v>
      </c>
      <c r="P57" s="127">
        <f>VLOOKUP(A57,'Bateria indicadores proceso'!A:AR,29,FALSE)</f>
        <v>104</v>
      </c>
      <c r="Q57" s="127">
        <f>VLOOKUP(A57,'Bateria indicadores proceso'!A:AR,30,FALSE)</f>
        <v>0</v>
      </c>
      <c r="R57" s="127">
        <f>VLOOKUP(A57,'Bateria indicadores proceso'!A:AR,31,FALSE)</f>
        <v>0</v>
      </c>
      <c r="S57" s="127">
        <f>VLOOKUP(A57,'Bateria indicadores proceso'!A:AR,32,FALSE)</f>
        <v>144</v>
      </c>
      <c r="T57" s="115">
        <f>VLOOKUP(A57,'Bateria indicadores proceso'!A:AT,45,FALSE)</f>
        <v>1.0000100000000001</v>
      </c>
      <c r="U57" s="119">
        <f>VLOOKUP(A57,'Bateria indicadores proceso'!A:AT,46,FALSE)</f>
        <v>1.0000100000000001</v>
      </c>
      <c r="V57" s="116">
        <f t="shared" si="0"/>
        <v>3.0000300000000001E-2</v>
      </c>
      <c r="W57" s="116">
        <f t="shared" si="1"/>
        <v>3.0000300000000001E-2</v>
      </c>
      <c r="X57" s="98"/>
      <c r="Y57" s="128" t="str">
        <f>IF(VLOOKUP(A57,'Bateria indicadores proceso'!A:AT,36,FALSE)="","No registro avance",VLOOKUP(A57,'Bateria indicadores proceso'!A:AT,36,FALSE))</f>
        <v>Para las Modificaciones de instrumentos y normatividad vigente que reconozca las nuevas realidades en la aplicación del derecho de libertad religiosa y de cultos su pluralidad y diversidad y su incidencia en el orden religioso social cultural y educativo Se efectuaron durante el segundo (2) trimestre: (104) asistencias técnicas y acompañamientos a las entidades territoriales (Gobernaciones y Alcaldías) de manera presencial y virtual, sobre las metodologías y kit de herramientas proferidas por la Dirección así: Abril (38): 07/04/2026 Bogotá Bogotá, 07/04/2026 Cesar Valledupar, 08/04/2026 Cesar Valledupar, 14/04/2026 Cesar Valledupar, 14/04/2026 Nariño Pasto, Colombia, 15/04/2026 San Andrés and Providencia San Andrés, San Andrés y Providencia, 15/04/2026 Cesar Valledupar, 16/04/2026 Cesar Valledupar, 16/04/2026 San Andrés and Providencia San Andrés, San Andrés y Providencia, 16/04/2026 Nariño Pasto, 16/04/2026 Sucre Sampués, 17/04/2026 San Andrés and Providencia San Andrés, San Andrés y Providencia, 20/04/2026 Antioquia Girardota, 20/04/2026 Antioquia La Estrella, Antioquia, 20/04/2026 La Guajira Maicao, 20/04/2026 Santander Bucaramanga, 21/04/2026 Santander Bucaramanga, 21/04/2026 Santander Bucaramanga, 21/04/2026 Sucre Sincelejo, 21/04/2026 Sucre Sincelejo, 21/04/2026 Guaviare San José del Guaviare,22/04/2026 Santander Bucaramanga,22/04/2026 Cauca Popayán,22/04/2026 Cauca Popayán,22/04/2026 Cauca Popayán,22/04/2026 Chocó Nóvita,23/04/2026 Cauca Popayán,23/04/2026 Cauca Popayán,24/04/2026 Cauca Popayán,24/04/2026 Antioquia Medellín,24/04/2026 Tolima Carmen de Apicalá,27/04/2026 Antioquia Girardota,27/04/2026 Antioquia Marinilla,27/04/2026 Risaralda Pereira, Colombia,28/04/2026 Risaralda Pereira, Colombia,28/04/2026 Atlántico Soledad, Atlántico,28/04/2026 Casanare Yopal,29/04/2026 Atlántico Barranquilla; Mayo(42): 04/05/2026 Atlántico Barranquilla,05/05/2026 Chocó Condoto,05/05/2026 Caquetá Florencia, Caquetá,05/05/2026 La Guajira Maicao,06/05/2026 Nariño Pasto, Colombia,06/05/2026 Nariño Pasto, Colombia,06/05/2026 Boyacá Tunja,07/05/2026 Nariño Pasto, Colombia,07/05/2026 Nariño Pasto, Colombia,07/05/2026 Antioquia Apartadó,07/05/2026 Antioquia Apartadó,07/05/2026 Chocó Quibdó,07/05/2026 Bogotá Bogotá,08/05/2026 Antioquia Apartadó,08/05/2026 Antioquia Apartadó,11/05/2026 Antioquia Sabaneta, Antioquia,12/05/2026 Antioquia Bello, Antioquia,12/05/2026 Antioquia Itagüí,14/05/2026 Bolívar Cartagena, Colombia,15/05/2026 Bolívar Cartagena, Colombia,16/05/2026 Bolívar Cartagena, Colombia,18/05/2026 Chocó El Carmen del Darién,19/05/2026 Chocó El Carmen del Darién,20/05/2026 Chocó El Carmen del Darién,19/05/2026 Bogotá Bogotá,19/05/2026 Antioquia Marinilla,20/05/2026 Bolívar Cartagena, Colombia,20/05/2026 Bolívar Cartagena, Colombia,21/05/2026 Bolívar Cartagena, Colombia,21/05/2026 Nariño Tanguá,21/05/2026 Nariño Túquerres,22/05/2026 Nariño Nariño ,22/05/2026 Bolívar Cartagena, Colombia,22/05/2026 Antioquia Medellín,22/05/2026 Amazonas , Colombia Leticia, Amazonas,27/05/2026 Guainía Inírida, Guainía,27/05/2026 Sucre Sincelejo,27/05/2026 Sucre Sincelejo,27/05/2026 Antioquia Apartadó,27/05/2026 Bogotá Bogotá,28/05/2026 Sucre Sincelejo,29/05/2026 Atlántico Barranquilla; Junio (24): 03/06/2026 La Guajira  La Jagua de Ibirico, Cesar,04/06/2026 Atlántico  Galapa, Colombia,05/06/2026 Tolima  Piedras,06/06/2026 Antioquia  Caldas, Antioquia,06/06/2026 Antioquia  Sabaneta, Antioquia,07/06/2026 Antioquia  Copacabana,10/06/2026 Antioquia  Apartadó,10/06/2026 Caldas  Manizales,10/06/2026 Tolima  El Espinal, Tolima,11/06/2026 Atlántico  Galapa, Colombia,11/06/2026 Caldas  Manizales,11/06/2026 Boyacá  Tunja,12/06/2026 Caldas  Manizales,12/06/2026 Atlántico  Galapa, Colombia,12/06/2026 Nariño  Pasto, Colombia,16/06/2026 Antioquia  La Estrella, Antioquia,17/06/2026 Nariño  Túquerres,18/06/2026 Nariño  Imués,18/06/2026 Antioquia  Apartadó,19/06/2026 Nariño  Yacuanquer,19/06/2026 Casanare  Yopal,22/06/2026 Norte de Santander  Cúcuta,23/06/2026 Sucre  San Onofre, Sucre,25/06/2026 Putumayo  Mocoa</v>
      </c>
      <c r="Z57" s="428" t="s">
        <v>1129</v>
      </c>
      <c r="AA57" s="129" t="str">
        <f>IF(VLOOKUP(A57,'Bateria indicadores proceso'!A:AT,37,FALSE)="","No reportó Evidencia",VLOOKUP(A57,'Bateria indicadores proceso'!A:AT,37,FALSE))</f>
        <v>https://mininteriorgovco.sharepoint.com/:f:/r/sites/EvidenciasOAP/Documentos%20compartidos/Evidencias%20Indicadores%20de%20Proceso%202026/05.%20Gesti%C3%B3n%20para%20la%20Protecci%C3%B3n%20de%20los%20derechos/Direcci%C3%B3n%20de%20Asuntos%20Religiosos/II%20Trimestre/Ind053?csf=1&amp;web=1&amp;e=ai3xTi&amp;xsdata=MDV8MDJ8bHVpcy5wdWxpZG9AbWluaW50ZXJpb3IuZ292LmNvfDkxNGQ2MDJlYWFmMzRlNTUxODgyMDhkZWQxNDJmNjIxfGM0Zjc4NzBjZWIwODRkMDFiMDIzYTcxZGQ5NGU4ODNifDB8MHw2MzkxNzgyODMxOTg2NTU2MTF8VW5rbm93bnxUV0ZwYkdac2IzZDhleUpGYlhCMGVVMWhjR2tpT25SeWRXVXNJbFlpT2lJd0xqQXVNREF3TUNJc0lsQWlPaUpYYVc0ek1pSXNJa0ZPSWpvaVRXRnBiQ0lzSWxkVUlqb3lmUT09fDB8fHw%3d&amp;sdata=OTl5b1RGV3hzZzByd3lzaEppNnEzZDFGY1R2b2hiTUhGTTh6UUh2SFQzbz0%3d</v>
      </c>
      <c r="AB57" s="425" t="s">
        <v>1130</v>
      </c>
    </row>
    <row r="58" spans="1:28" s="93" customFormat="1" ht="202.5" customHeight="1">
      <c r="A58" s="92" t="s">
        <v>198</v>
      </c>
      <c r="B58" s="112" t="str">
        <f>VLOOKUP(A58,'Bateria indicadores proceso'!A:X,2,FALSE)</f>
        <v>MISIONAL</v>
      </c>
      <c r="C58" s="113" t="str">
        <f>VLOOKUP(A58,'Bateria indicadores proceso'!A:X,3,FALSE)</f>
        <v>GESTIÓN PARA LA PROTECCIÓN DE LOS DERECHOS</v>
      </c>
      <c r="D58" s="113" t="str">
        <f>VLOOKUP(A58,'Bateria indicadores proceso'!A:X,7,FALSE)</f>
        <v>Dirección de Asuntos Religiosos</v>
      </c>
      <c r="E58" s="114">
        <f>VLOOKUP(A58,'Bateria indicadores proceso'!A:X,4,FALSE)</f>
        <v>0.11</v>
      </c>
      <c r="F58" s="114">
        <f>VLOOKUP(A58,'Bateria indicadores proceso'!A:X,6,FALSE)</f>
        <v>0.04</v>
      </c>
      <c r="G58" s="114" t="str">
        <f>VLOOKUP(A58,'Bateria indicadores proceso'!A:X,12,FALSE)</f>
        <v xml:space="preserve">Trámites del Sistema de gestión documental y custodia de los expedientes realizados  por la Dirección de Asuntos Religiosos </v>
      </c>
      <c r="H58" s="114" t="str">
        <f>VLOOKUP(A58,'Bateria indicadores proceso'!A:AB,10,FALSE)</f>
        <v>Eficacia</v>
      </c>
      <c r="I58" s="114" t="str">
        <f>VLOOKUP(A58,'Bateria indicadores proceso'!A:AB,16,FALSE)</f>
        <v>Porcentaje</v>
      </c>
      <c r="J58" s="125">
        <f>VLOOKUP(A58,'Bateria indicadores proceso'!A:X,20,FALSE)</f>
        <v>1</v>
      </c>
      <c r="K58" s="125">
        <f>VLOOKUP(A58,'Bateria indicadores proceso'!A:X,21,FALSE)</f>
        <v>1</v>
      </c>
      <c r="L58" s="125">
        <f>VLOOKUP(A58,'Bateria indicadores proceso'!A:X,22,FALSE)</f>
        <v>1</v>
      </c>
      <c r="M58" s="125">
        <f>VLOOKUP(A58,'Bateria indicadores proceso'!A:X,23,FALSE)</f>
        <v>1</v>
      </c>
      <c r="N58" s="126">
        <f>VLOOKUP(A58,'Bateria indicadores proceso'!A:X,24,FALSE)</f>
        <v>1</v>
      </c>
      <c r="O58" s="126">
        <f>VLOOKUP(A58,'Bateria indicadores proceso'!A:AR,28,FALSE)</f>
        <v>1</v>
      </c>
      <c r="P58" s="126">
        <f>VLOOKUP(A58,'Bateria indicadores proceso'!A:AR,29,FALSE)</f>
        <v>1</v>
      </c>
      <c r="Q58" s="126">
        <f>VLOOKUP(A58,'Bateria indicadores proceso'!A:AR,30,FALSE)</f>
        <v>0</v>
      </c>
      <c r="R58" s="126">
        <f>VLOOKUP(A58,'Bateria indicadores proceso'!A:AR,31,FALSE)</f>
        <v>0</v>
      </c>
      <c r="S58" s="126">
        <f>VLOOKUP(A58,'Bateria indicadores proceso'!A:AR,32,FALSE)</f>
        <v>1</v>
      </c>
      <c r="T58" s="115">
        <f>VLOOKUP(A58,'Bateria indicadores proceso'!A:AT,45,FALSE)</f>
        <v>1</v>
      </c>
      <c r="U58" s="119">
        <f>VLOOKUP(A58,'Bateria indicadores proceso'!A:AT,46,FALSE)</f>
        <v>1</v>
      </c>
      <c r="V58" s="116">
        <f t="shared" si="0"/>
        <v>0.04</v>
      </c>
      <c r="W58" s="116">
        <f t="shared" si="1"/>
        <v>0.04</v>
      </c>
      <c r="X58" s="98"/>
      <c r="Y58" s="128" t="str">
        <f>IF(VLOOKUP(A58,'Bateria indicadores proceso'!A:AT,36,FALSE)="","No registro avance",VLOOKUP(A58,'Bateria indicadores proceso'!A:AT,36,FALSE))</f>
        <v>Durante el segundo (2) trimestre: se realizó la actualización del sistema de gestión documental y la custodia de los expedientes de personerías jurídicas de la siguiente manera: Abril: reforma de estatutos 30, personería jurídica especial 108, personería jurídica extendida 4, dignatarios 130, tutelas 33 total 305, Mayo: reforma de estatutos 18, personería jurídica especial 68, personería jurídica extendida 3, dignatarios 81, tutelas 38, total 208, y Junio: reforma de estatutos 16, personería jurídica especial 127, personería jurídica extendida 5, dignatarios 105, tutelas 20, total 273, Acumulado trimestre: reforma de estatutos 64, personería jurídica especial 303, personería jurídica extendida 12, dignatarios 316, tutelas 91, para un total de 786 trámites atendidos. </v>
      </c>
      <c r="Z58" s="428" t="s">
        <v>1129</v>
      </c>
      <c r="AA58" s="129" t="str">
        <f>IF(VLOOKUP(A58,'Bateria indicadores proceso'!A:AT,37,FALSE)="","No reportó Evidencia",VLOOKUP(A58,'Bateria indicadores proceso'!A:AT,37,FALSE))</f>
        <v>https://mininteriorgovco.sharepoint.com/:f:/r/sites/EvidenciasOAP/Documentos%20compartidos/Evidencias%20Indicadores%20de%20Proceso%202026/05.%20Gesti%C3%B3n%20para%20la%20Protecci%C3%B3n%20de%20los%20derechos/Direcci%C3%B3n%20de%20Asuntos%20Religiosos/II%20Trimestre/Ind054?csf=1&amp;web=1&amp;e=BxFrFG&amp;xsdata=MDV8MDJ8bHVpcy5wdWxpZG9AbWluaW50ZXJpb3IuZ292LmNvfDkxNGQ2MDJlYWFmMzRlNTUxODgyMDhkZWQxNDJmNjIxfGM0Zjc4NzBjZWIwODRkMDFiMDIzYTcxZGQ5NGU4ODNifDB8MHw2MzkxNzgyODMxOTg2OTcyNjZ8VW5rbm93bnxUV0ZwYkdac2IzZDhleUpGYlhCMGVVMWhjR2tpT25SeWRXVXNJbFlpT2lJd0xqQXVNREF3TUNJc0lsQWlPaUpYYVc0ek1pSXNJa0ZPSWpvaVRXRnBiQ0lzSWxkVUlqb3lmUT09fDB8fHw%3d&amp;sdata=UTFHSEJXcnlMT2NNdEFobFR4OFVYRGwyWjVicHBPenFvb1ljTXlVWG5mYz0%3d</v>
      </c>
      <c r="AB58" s="425" t="s">
        <v>1130</v>
      </c>
    </row>
    <row r="59" spans="1:28" s="4" customFormat="1" ht="202.5" customHeight="1">
      <c r="A59" s="92" t="s">
        <v>199</v>
      </c>
      <c r="B59" s="112" t="str">
        <f>VLOOKUP(A59,'Bateria indicadores proceso'!A:X,2,FALSE)</f>
        <v>MISIONAL</v>
      </c>
      <c r="C59" s="113" t="str">
        <f>VLOOKUP(A59,'Bateria indicadores proceso'!A:X,3,FALSE)</f>
        <v>GESTIÓN PARA LA PROTECCIÓN DE LOS DERECHOS</v>
      </c>
      <c r="D59" s="113" t="str">
        <f>VLOOKUP(A59,'Bateria indicadores proceso'!A:X,7,FALSE)</f>
        <v>Dirección de Asuntos Religiosos</v>
      </c>
      <c r="E59" s="114">
        <f>VLOOKUP(A59,'Bateria indicadores proceso'!A:X,4,FALSE)</f>
        <v>0.11</v>
      </c>
      <c r="F59" s="114">
        <f>VLOOKUP(A59,'Bateria indicadores proceso'!A:X,6,FALSE)</f>
        <v>0.04</v>
      </c>
      <c r="G59" s="114" t="str">
        <f>VLOOKUP(A59,'Bateria indicadores proceso'!A:X,12,FALSE)</f>
        <v xml:space="preserve">Certificados de existencia y representación legal de las entidades religiosas expedidos por la Dirección de Asuntos Religiosos </v>
      </c>
      <c r="H59" s="114" t="str">
        <f>VLOOKUP(A59,'Bateria indicadores proceso'!A:AB,10,FALSE)</f>
        <v>Efectividad</v>
      </c>
      <c r="I59" s="114" t="str">
        <f>VLOOKUP(A59,'Bateria indicadores proceso'!A:AB,16,FALSE)</f>
        <v>Porcentaje</v>
      </c>
      <c r="J59" s="125">
        <f>VLOOKUP(A59,'Bateria indicadores proceso'!A:X,20,FALSE)</f>
        <v>1</v>
      </c>
      <c r="K59" s="125">
        <f>VLOOKUP(A59,'Bateria indicadores proceso'!A:X,21,FALSE)</f>
        <v>1</v>
      </c>
      <c r="L59" s="125">
        <f>VLOOKUP(A59,'Bateria indicadores proceso'!A:X,22,FALSE)</f>
        <v>1</v>
      </c>
      <c r="M59" s="125">
        <f>VLOOKUP(A59,'Bateria indicadores proceso'!A:X,23,FALSE)</f>
        <v>1</v>
      </c>
      <c r="N59" s="126">
        <f>VLOOKUP(A59,'Bateria indicadores proceso'!A:X,24,FALSE)</f>
        <v>1</v>
      </c>
      <c r="O59" s="126">
        <f>VLOOKUP(A59,'Bateria indicadores proceso'!A:AR,28,FALSE)</f>
        <v>1</v>
      </c>
      <c r="P59" s="126">
        <f>VLOOKUP(A59,'Bateria indicadores proceso'!A:AR,29,FALSE)</f>
        <v>1</v>
      </c>
      <c r="Q59" s="126">
        <f>VLOOKUP(A59,'Bateria indicadores proceso'!A:AR,30,FALSE)</f>
        <v>0</v>
      </c>
      <c r="R59" s="126">
        <f>VLOOKUP(A59,'Bateria indicadores proceso'!A:AR,31,FALSE)</f>
        <v>0</v>
      </c>
      <c r="S59" s="126">
        <f>VLOOKUP(A59,'Bateria indicadores proceso'!A:AR,32,FALSE)</f>
        <v>1</v>
      </c>
      <c r="T59" s="115">
        <f>VLOOKUP(A59,'Bateria indicadores proceso'!A:AT,45,FALSE)</f>
        <v>1</v>
      </c>
      <c r="U59" s="119">
        <f>VLOOKUP(A59,'Bateria indicadores proceso'!A:AT,46,FALSE)</f>
        <v>1</v>
      </c>
      <c r="V59" s="116">
        <f t="shared" si="0"/>
        <v>0.04</v>
      </c>
      <c r="W59" s="116">
        <f t="shared" si="1"/>
        <v>0.04</v>
      </c>
      <c r="X59" s="98"/>
      <c r="Y59" s="128" t="str">
        <f>IF(VLOOKUP(A59,'Bateria indicadores proceso'!A:AT,36,FALSE)="","No registro avance",VLOOKUP(A59,'Bateria indicadores proceso'!A:AT,36,FALSE))</f>
        <v xml:space="preserve">Durante el segundo (2) trimestre: se expidieron 5037 certificados de existencia y representación legal así: abril 1727, mayo 1744 y junio 1566 para un total de 5037 certificados expedidos </v>
      </c>
      <c r="Z59" s="428" t="s">
        <v>1129</v>
      </c>
      <c r="AA59" s="129" t="str">
        <f>IF(VLOOKUP(A59,'Bateria indicadores proceso'!A:AT,37,FALSE)="","No reportó Evidencia",VLOOKUP(A59,'Bateria indicadores proceso'!A:AT,37,FALSE))</f>
        <v>https://mininteriorgovco.sharepoint.com/:f:/r/sites/EvidenciasOAP/Documentos%20compartidos/Evidencias%20Indicadores%20de%20Proceso%202026/05.%20Gesti%C3%B3n%20para%20la%20Protecci%C3%B3n%20de%20los%20derechos/Direcci%C3%B3n%20de%20Asuntos%20Religiosos/II%20Trimestre/Ind055?csf=1&amp;web=1&amp;e=xA23PQ&amp;xsdata=MDV8MDJ8bHVpcy5wdWxpZG9AbWluaW50ZXJpb3IuZ292LmNvfDkxNGQ2MDJlYWFmMzRlNTUxODgyMDhkZWQxNDJmNjIxfGM0Zjc4NzBjZWIwODRkMDFiMDIzYTcxZGQ5NGU4ODNifDB8MHw2MzkxNzgyODMxOTg3MzA3NDF8VW5rbm93bnxUV0ZwYkdac2IzZDhleUpGYlhCMGVVMWhjR2tpT25SeWRXVXNJbFlpT2lJd0xqQXVNREF3TUNJc0lsQWlPaUpYYVc0ek1pSXNJa0ZPSWpvaVRXRnBiQ0lzSWxkVUlqb3lmUT09fDB8fHw%3d&amp;sdata=UmgrLytOS2szaVJzalZxVWh3bC9hVUZRVXpXSVNkcXAzSDZaVkhTTlhtbz0%3d</v>
      </c>
      <c r="AB59" s="425" t="s">
        <v>1130</v>
      </c>
    </row>
    <row r="60" spans="1:28" s="4" customFormat="1" ht="202.5" customHeight="1">
      <c r="A60" s="92" t="s">
        <v>200</v>
      </c>
      <c r="B60" s="112" t="str">
        <f>VLOOKUP(A60,'Bateria indicadores proceso'!A:X,2,FALSE)</f>
        <v>MISIONAL</v>
      </c>
      <c r="C60" s="113" t="str">
        <f>VLOOKUP(A60,'Bateria indicadores proceso'!A:X,3,FALSE)</f>
        <v>GESTIÓN PARA LA PROTECCIÓN DE LOS DERECHOS</v>
      </c>
      <c r="D60" s="113" t="str">
        <f>VLOOKUP(A60,'Bateria indicadores proceso'!A:X,7,FALSE)</f>
        <v>Subdirección de Proyectos para la Seguridad y la Convivencia Ciudadana</v>
      </c>
      <c r="E60" s="114">
        <f>VLOOKUP(A60,'Bateria indicadores proceso'!A:X,4,FALSE)</f>
        <v>0.11</v>
      </c>
      <c r="F60" s="114">
        <f>VLOOKUP(A60,'Bateria indicadores proceso'!A:X,6,FALSE)</f>
        <v>0.05</v>
      </c>
      <c r="G60" s="114" t="str">
        <f>VLOOKUP(A60,'Bateria indicadores proceso'!A:X,12,FALSE)</f>
        <v xml:space="preserve">Jornadas integrales de fortalecimiento y socialización de la oferta institucional realizadas a entes territoriales y Fuerza Pública																</v>
      </c>
      <c r="H60" s="114" t="str">
        <f>VLOOKUP(A60,'Bateria indicadores proceso'!A:AB,10,FALSE)</f>
        <v>Eficacia</v>
      </c>
      <c r="I60" s="114" t="str">
        <f>VLOOKUP(A60,'Bateria indicadores proceso'!A:AB,16,FALSE)</f>
        <v>Número</v>
      </c>
      <c r="J60" s="127">
        <f>VLOOKUP(A60,'Bateria indicadores proceso'!A:X,20,FALSE)</f>
        <v>0</v>
      </c>
      <c r="K60" s="127">
        <f>VLOOKUP(A60,'Bateria indicadores proceso'!A:X,21,FALSE)</f>
        <v>6</v>
      </c>
      <c r="L60" s="127">
        <f>VLOOKUP(A60,'Bateria indicadores proceso'!A:X,22,FALSE)</f>
        <v>0</v>
      </c>
      <c r="M60" s="127">
        <f>VLOOKUP(A60,'Bateria indicadores proceso'!A:X,23,FALSE)</f>
        <v>6</v>
      </c>
      <c r="N60" s="127">
        <f>VLOOKUP(A60,'Bateria indicadores proceso'!A:X,24,FALSE)</f>
        <v>12</v>
      </c>
      <c r="O60" s="127" t="str">
        <f>VLOOKUP(A60,'Bateria indicadores proceso'!A:AR,28,FALSE)</f>
        <v>N/A</v>
      </c>
      <c r="P60" s="127">
        <f>VLOOKUP(A60,'Bateria indicadores proceso'!A:AR,29,FALSE)</f>
        <v>72</v>
      </c>
      <c r="Q60" s="127">
        <f>VLOOKUP(A60,'Bateria indicadores proceso'!A:AR,30,FALSE)</f>
        <v>0</v>
      </c>
      <c r="R60" s="127">
        <f>VLOOKUP(A60,'Bateria indicadores proceso'!A:AR,31,FALSE)</f>
        <v>0</v>
      </c>
      <c r="S60" s="127">
        <f>VLOOKUP(A60,'Bateria indicadores proceso'!A:AR,32,FALSE)</f>
        <v>72</v>
      </c>
      <c r="T60" s="115">
        <f>VLOOKUP(A60,'Bateria indicadores proceso'!A:AT,45,FALSE)</f>
        <v>1.0000100000000001</v>
      </c>
      <c r="U60" s="119">
        <f>VLOOKUP(A60,'Bateria indicadores proceso'!A:AT,46,FALSE)</f>
        <v>1.0000100000000001</v>
      </c>
      <c r="V60" s="116">
        <f t="shared" si="0"/>
        <v>5.0000500000000003E-2</v>
      </c>
      <c r="W60" s="116">
        <f t="shared" si="1"/>
        <v>5.0000500000000003E-2</v>
      </c>
      <c r="X60" s="98"/>
      <c r="Y60" s="128" t="str">
        <f>IF(VLOOKUP(A60,'Bateria indicadores proceso'!A:AT,36,FALSE)="","No registro avance",VLOOKUP(A60,'Bateria indicadores proceso'!A:AT,36,FALSE))</f>
        <v>Durante el período evaluado se realizaron 72 mesas de apoyo y asistencia técnica, superando ampliamente la meta programada de 6 jornadas integrales establecida para el primer semestre de 2026, lo anterior representa un cumplimiento acumulado que ubica al cumplimiento del indicador en un nivel de desempeño sobresaliente, de acuerdo con los parámetros definidos en la ficha técnica.
La ejecución alcanzada evidencia una alta capacidad de respuesta institucional frente a los requerimientos de acompañamiento técnico formulados por entidades territoriales y organismos de la Fuerza Pública. Las actividades desarrolladas permitieron fortalecer las capacidades técnicas para la formulación, estructuración y radicación de proyectos en el Sistema de Información de Proyectos Institucionales (SIPI), así como ampliar el conocimiento sobre la oferta institucional del Ministerio del Interior en materia de seguridad y convivencia ciudadana.</v>
      </c>
      <c r="Z60" s="429" t="s">
        <v>1129</v>
      </c>
      <c r="AA60" s="129" t="str">
        <f>IF(VLOOKUP(A60,'Bateria indicadores proceso'!A:AT,37,FALSE)="","No reportó Evidencia",VLOOKUP(A60,'Bateria indicadores proceso'!A:AT,37,FALSE))</f>
        <v>https://mininteriorgovco.sharepoint.com/:f:/r/sites/EvidenciasOAP/Documentos%20compartidos/Evidencias%20Indicadores%20de%20Proceso%202026/05.%20Gesti%C3%B3n%20para%20la%20Protecci%C3%B3n%20de%20los%20derechos/Subdirecci%C3%B3n%20de%20Proyectos%20para%20la%20Seguridad%20y%20la%20Convivencia%20Ciudadana/II%20Trimestre/Ind056?csf=1&amp;web=1&amp;e=16voMp</v>
      </c>
      <c r="AB60" s="425" t="s">
        <v>1130</v>
      </c>
    </row>
    <row r="61" spans="1:28" s="4" customFormat="1" ht="202.5" customHeight="1">
      <c r="A61" s="92" t="s">
        <v>201</v>
      </c>
      <c r="B61" s="112" t="str">
        <f>VLOOKUP(A61,'Bateria indicadores proceso'!A:X,2,FALSE)</f>
        <v>MISIONAL</v>
      </c>
      <c r="C61" s="113" t="str">
        <f>VLOOKUP(A61,'Bateria indicadores proceso'!A:X,3,FALSE)</f>
        <v>GESTIÓN PARA LA PROTECCIÓN DE LOS DERECHOS</v>
      </c>
      <c r="D61" s="113" t="str">
        <f>VLOOKUP(A61,'Bateria indicadores proceso'!A:X,7,FALSE)</f>
        <v>Subdirección de Proyectos para la Seguridad y la Convivencia Ciudadana</v>
      </c>
      <c r="E61" s="114">
        <f>VLOOKUP(A61,'Bateria indicadores proceso'!A:X,4,FALSE)</f>
        <v>0.11</v>
      </c>
      <c r="F61" s="114">
        <f>VLOOKUP(A61,'Bateria indicadores proceso'!A:X,6,FALSE)</f>
        <v>0.06</v>
      </c>
      <c r="G61" s="114" t="str">
        <f>VLOOKUP(A61,'Bateria indicadores proceso'!A:X,12,FALSE)</f>
        <v>Proyectos evaluados frente a proyectos radicados en la Subdirección de Proyectos para la Seguridad y la Convivencia Ciudadana.</v>
      </c>
      <c r="H61" s="114" t="str">
        <f>VLOOKUP(A61,'Bateria indicadores proceso'!A:AB,10,FALSE)</f>
        <v>Eficiencia</v>
      </c>
      <c r="I61" s="114" t="str">
        <f>VLOOKUP(A61,'Bateria indicadores proceso'!A:AB,16,FALSE)</f>
        <v>Porcentaje</v>
      </c>
      <c r="J61" s="125">
        <f>VLOOKUP(A61,'Bateria indicadores proceso'!A:X,20,FALSE)</f>
        <v>0</v>
      </c>
      <c r="K61" s="125">
        <f>VLOOKUP(A61,'Bateria indicadores proceso'!A:X,21,FALSE)</f>
        <v>0.9</v>
      </c>
      <c r="L61" s="125">
        <f>VLOOKUP(A61,'Bateria indicadores proceso'!A:X,22,FALSE)</f>
        <v>0</v>
      </c>
      <c r="M61" s="125">
        <f>VLOOKUP(A61,'Bateria indicadores proceso'!A:X,23,FALSE)</f>
        <v>0.9</v>
      </c>
      <c r="N61" s="126">
        <f>VLOOKUP(A61,'Bateria indicadores proceso'!A:X,24,FALSE)</f>
        <v>0.9</v>
      </c>
      <c r="O61" s="126" t="str">
        <f>VLOOKUP(A61,'Bateria indicadores proceso'!A:AR,28,FALSE)</f>
        <v>N/A</v>
      </c>
      <c r="P61" s="126">
        <f>VLOOKUP(A61,'Bateria indicadores proceso'!A:AR,29,FALSE)</f>
        <v>0.97</v>
      </c>
      <c r="Q61" s="126">
        <f>VLOOKUP(A61,'Bateria indicadores proceso'!A:AR,30,FALSE)</f>
        <v>0</v>
      </c>
      <c r="R61" s="126">
        <f>VLOOKUP(A61,'Bateria indicadores proceso'!A:AR,31,FALSE)</f>
        <v>0</v>
      </c>
      <c r="S61" s="126">
        <f>VLOOKUP(A61,'Bateria indicadores proceso'!A:AR,32,FALSE)</f>
        <v>0.97</v>
      </c>
      <c r="T61" s="115" t="str">
        <f>VLOOKUP(A61,'Bateria indicadores proceso'!A:AT,45,FALSE)</f>
        <v>Revisar fórmula</v>
      </c>
      <c r="U61" s="119">
        <f>VLOOKUP(A61,'Bateria indicadores proceso'!A:AT,46,FALSE)</f>
        <v>1.0000100000000001</v>
      </c>
      <c r="V61" s="116">
        <f t="shared" si="0"/>
        <v>0.06</v>
      </c>
      <c r="W61" s="116">
        <f t="shared" si="1"/>
        <v>6.0000600000000001E-2</v>
      </c>
      <c r="X61" s="98"/>
      <c r="Y61" s="128" t="str">
        <f>IF(VLOOKUP(A61,'Bateria indicadores proceso'!A:AT,36,FALSE)="","No registro avance",VLOOKUP(A61,'Bateria indicadores proceso'!A:AT,36,FALSE))</f>
        <v>Para el periodo de reporte el indicador presenta el siguiente comportamiento:
Fórmula:
(Número de proyectos evaluados / Número de proyectos radicados) × 100
Cálculo:
(265 / 273) × 100 = 97,07 %
Con un resultado de 97,07 %, el indicador presenta un desempeño superior a la meta establecida, evidenciando la eficacia del proceso de evaluación de proyectos desarrollado por la Subdirección de Proyectos para la Seguridad y la Convivencia Ciudadana. El comportamiento registrado refleja una adecuada capacidad de gestión, seguimiento y control, permitiendo atender de manera oportuna la mayor parte de los proyectos radicados durante el período. No obstante, se recomienda continuar fortaleciendo los mecanismos de monitoreo y control de los proyectos pendientes, con el propósito de optimizar los tiempos de respuesta y consolidar un desempeño sostenido en futuras mediciones.</v>
      </c>
      <c r="Z61" s="429" t="s">
        <v>1129</v>
      </c>
      <c r="AA61" s="129" t="str">
        <f>IF(VLOOKUP(A61,'Bateria indicadores proceso'!A:AT,37,FALSE)="","No reportó Evidencia",VLOOKUP(A61,'Bateria indicadores proceso'!A:AT,37,FALSE))</f>
        <v>https://mininteriorgovco.sharepoint.com/:f:/r/sites/EvidenciasOAP/Documentos%20compartidos/Evidencias%20Indicadores%20de%20Proceso%202026/05.%20Gesti%C3%B3n%20para%20la%20Protecci%C3%B3n%20de%20los%20derechos/Subdirecci%C3%B3n%20de%20Proyectos%20para%20la%20Seguridad%20y%20la%20Convivencia%20Ciudadana/II%20Trimestre/Ind057?csf=1&amp;web=1&amp;e=yrJdsS</v>
      </c>
      <c r="AB61" s="425" t="s">
        <v>1130</v>
      </c>
    </row>
    <row r="62" spans="1:28" s="93" customFormat="1" ht="202.5" customHeight="1">
      <c r="A62" s="92" t="s">
        <v>202</v>
      </c>
      <c r="B62" s="112" t="str">
        <f>VLOOKUP(A62,'Bateria indicadores proceso'!A:X,2,FALSE)</f>
        <v>DE APOYO</v>
      </c>
      <c r="C62" s="113" t="str">
        <f>VLOOKUP(A62,'Bateria indicadores proceso'!A:X,3,FALSE)</f>
        <v>GESTIÓN ADMINISTRATIVA</v>
      </c>
      <c r="D62" s="113" t="str">
        <f>VLOOKUP(A62,'Bateria indicadores proceso'!A:X,7,FALSE)</f>
        <v>Subdirección Administrativa y Financiera</v>
      </c>
      <c r="E62" s="114">
        <f>VLOOKUP(A62,'Bateria indicadores proceso'!A:X,4,FALSE)</f>
        <v>1</v>
      </c>
      <c r="F62" s="114">
        <f>VLOOKUP(A62,'Bateria indicadores proceso'!A:X,6,FALSE)</f>
        <v>0.5</v>
      </c>
      <c r="G62" s="114" t="str">
        <f>VLOOKUP(A62,'Bateria indicadores proceso'!A:X,12,FALSE)</f>
        <v xml:space="preserve">Ejecución presupuestal apropiada para el funcionamiento </v>
      </c>
      <c r="H62" s="114" t="str">
        <f>VLOOKUP(A62,'Bateria indicadores proceso'!A:AB,10,FALSE)</f>
        <v>Eficiencia</v>
      </c>
      <c r="I62" s="114" t="str">
        <f>VLOOKUP(A62,'Bateria indicadores proceso'!A:AB,16,FALSE)</f>
        <v>Porcentaje</v>
      </c>
      <c r="J62" s="125">
        <f>VLOOKUP(A62,'Bateria indicadores proceso'!A:X,20,FALSE)</f>
        <v>0.15</v>
      </c>
      <c r="K62" s="125">
        <f>VLOOKUP(A62,'Bateria indicadores proceso'!A:X,21,FALSE)</f>
        <v>0.35</v>
      </c>
      <c r="L62" s="125">
        <f>VLOOKUP(A62,'Bateria indicadores proceso'!A:X,22,FALSE)</f>
        <v>0.7</v>
      </c>
      <c r="M62" s="125">
        <f>VLOOKUP(A62,'Bateria indicadores proceso'!A:X,23,FALSE)</f>
        <v>0.85</v>
      </c>
      <c r="N62" s="126">
        <f>VLOOKUP(A62,'Bateria indicadores proceso'!A:X,24,FALSE)</f>
        <v>0.85</v>
      </c>
      <c r="O62" s="126">
        <f>VLOOKUP(A62,'Bateria indicadores proceso'!A:AR,28,FALSE)</f>
        <v>0.5701419108040785</v>
      </c>
      <c r="P62" s="126">
        <f>VLOOKUP(A62,'Bateria indicadores proceso'!A:AR,29,FALSE)</f>
        <v>0.61392392796412965</v>
      </c>
      <c r="Q62" s="126">
        <f>VLOOKUP(A62,'Bateria indicadores proceso'!A:AR,30,FALSE)</f>
        <v>0</v>
      </c>
      <c r="R62" s="126">
        <f>VLOOKUP(A62,'Bateria indicadores proceso'!A:AR,31,FALSE)</f>
        <v>0</v>
      </c>
      <c r="S62" s="126">
        <f>VLOOKUP(A62,'Bateria indicadores proceso'!A:AR,32,FALSE)</f>
        <v>0.61392392796412965</v>
      </c>
      <c r="T62" s="115">
        <f>VLOOKUP(A62,'Bateria indicadores proceso'!A:AT,45,FALSE)</f>
        <v>1.0000100000000001</v>
      </c>
      <c r="U62" s="119">
        <f>VLOOKUP(A62,'Bateria indicadores proceso'!A:AT,46,FALSE)</f>
        <v>0.72226344466368197</v>
      </c>
      <c r="V62" s="116">
        <f t="shared" si="0"/>
        <v>0.50000500000000003</v>
      </c>
      <c r="W62" s="116">
        <f t="shared" si="1"/>
        <v>0.36113172233184099</v>
      </c>
      <c r="X62" s="98"/>
      <c r="Y62" s="128" t="str">
        <f>IF(VLOOKUP(A62,'Bateria indicadores proceso'!A:AT,36,FALSE)="","No registro avance",VLOOKUP(A62,'Bateria indicadores proceso'!A:AT,36,FALSE))</f>
        <v xml:space="preserve">El porcentaje de ejecución de los recursos de funcionamiento ejecutado con corte al segundo trimestre es del 61%, fue superior al establecido en la meta desde el primer trimestre, debido a que por la ley de garantías se suscribieron nuevos contratos en el mes de enero de 2026, con el fin de garantizar la atención de las necesidades de funcionamiento en las sedes del Ministerio. </v>
      </c>
      <c r="Z62" s="429" t="s">
        <v>1129</v>
      </c>
      <c r="AA62" s="129" t="str">
        <f>IF(VLOOKUP(A62,'Bateria indicadores proceso'!A:AT,37,FALSE)="","No reportó Evidencia",VLOOKUP(A62,'Bateria indicadores proceso'!A:AT,37,FALSE))</f>
        <v>Ind058</v>
      </c>
      <c r="AB62" s="425" t="s">
        <v>1130</v>
      </c>
    </row>
    <row r="63" spans="1:28" s="4" customFormat="1" ht="202.5" customHeight="1">
      <c r="A63" s="92" t="s">
        <v>203</v>
      </c>
      <c r="B63" s="112" t="str">
        <f>VLOOKUP(A63,'Bateria indicadores proceso'!A:X,2,FALSE)</f>
        <v>DE APOYO</v>
      </c>
      <c r="C63" s="113" t="str">
        <f>VLOOKUP(A63,'Bateria indicadores proceso'!A:X,3,FALSE)</f>
        <v>GESTIÓN ADMINISTRATIVA</v>
      </c>
      <c r="D63" s="113" t="str">
        <f>VLOOKUP(A63,'Bateria indicadores proceso'!A:X,7,FALSE)</f>
        <v>Subdirección Administrativa y Financiera</v>
      </c>
      <c r="E63" s="114">
        <f>VLOOKUP(A63,'Bateria indicadores proceso'!A:X,4,FALSE)</f>
        <v>1</v>
      </c>
      <c r="F63" s="114">
        <f>VLOOKUP(A63,'Bateria indicadores proceso'!A:X,6,FALSE)</f>
        <v>0.5</v>
      </c>
      <c r="G63" s="114" t="str">
        <f>VLOOKUP(A63,'Bateria indicadores proceso'!A:X,12,FALSE)</f>
        <v xml:space="preserve">Tomas físicas realizadas anualmente a las dependencias del Ministerio del Interior </v>
      </c>
      <c r="H63" s="114" t="str">
        <f>VLOOKUP(A63,'Bateria indicadores proceso'!A:AB,10,FALSE)</f>
        <v>Eficiencia</v>
      </c>
      <c r="I63" s="114" t="str">
        <f>VLOOKUP(A63,'Bateria indicadores proceso'!A:AB,16,FALSE)</f>
        <v>Número</v>
      </c>
      <c r="J63" s="127">
        <f>VLOOKUP(A63,'Bateria indicadores proceso'!A:X,20,FALSE)</f>
        <v>0</v>
      </c>
      <c r="K63" s="127">
        <f>VLOOKUP(A63,'Bateria indicadores proceso'!A:X,21,FALSE)</f>
        <v>10</v>
      </c>
      <c r="L63" s="127">
        <f>VLOOKUP(A63,'Bateria indicadores proceso'!A:X,22,FALSE)</f>
        <v>9</v>
      </c>
      <c r="M63" s="127">
        <f>VLOOKUP(A63,'Bateria indicadores proceso'!A:X,23,FALSE)</f>
        <v>8</v>
      </c>
      <c r="N63" s="127">
        <f>VLOOKUP(A63,'Bateria indicadores proceso'!A:X,24,FALSE)</f>
        <v>27</v>
      </c>
      <c r="O63" s="127">
        <f>VLOOKUP(A63,'Bateria indicadores proceso'!A:AR,28,FALSE)</f>
        <v>0</v>
      </c>
      <c r="P63" s="127">
        <f>VLOOKUP(A63,'Bateria indicadores proceso'!A:AR,29,FALSE)</f>
        <v>10</v>
      </c>
      <c r="Q63" s="127">
        <f>VLOOKUP(A63,'Bateria indicadores proceso'!A:AR,30,FALSE)</f>
        <v>0</v>
      </c>
      <c r="R63" s="127">
        <f>VLOOKUP(A63,'Bateria indicadores proceso'!A:AR,31,FALSE)</f>
        <v>0</v>
      </c>
      <c r="S63" s="127">
        <f>VLOOKUP(A63,'Bateria indicadores proceso'!A:AR,32,FALSE)</f>
        <v>10</v>
      </c>
      <c r="T63" s="115">
        <f>VLOOKUP(A63,'Bateria indicadores proceso'!A:AT,45,FALSE)</f>
        <v>1</v>
      </c>
      <c r="U63" s="119">
        <f>VLOOKUP(A63,'Bateria indicadores proceso'!A:AT,46,FALSE)</f>
        <v>0.37037037037037035</v>
      </c>
      <c r="V63" s="116">
        <f t="shared" si="0"/>
        <v>0.5</v>
      </c>
      <c r="W63" s="116">
        <f t="shared" si="1"/>
        <v>0.18518518518518517</v>
      </c>
      <c r="X63" s="98"/>
      <c r="Y63" s="128" t="str">
        <f>IF(VLOOKUP(A63,'Bateria indicadores proceso'!A:AT,36,FALSE)="","No registro avance",VLOOKUP(A63,'Bateria indicadores proceso'!A:AT,36,FALSE))</f>
        <v>Durante el segundo trimestre de 2026 se realizaron diez (10) tomas físicas de inventario a dependencias del Ministerio del Interior, alcanzando un cumplimiento del 100% de la meta programada para el trimestre (10 tomas físicas). Las actividades desarrolladas permitieron verificar la existencia física de los bienes, su estado y la concordancia con los registros del sistema de inventarios, contribuyendo al fortalecimiento del control y seguimiento de los bienes asignados a las dependencias intervenidas.</v>
      </c>
      <c r="Z63" s="426" t="s">
        <v>1129</v>
      </c>
      <c r="AA63" s="129" t="str">
        <f>IF(VLOOKUP(A63,'Bateria indicadores proceso'!A:AT,37,FALSE)="","No reportó Evidencia",VLOOKUP(A63,'Bateria indicadores proceso'!A:AT,37,FALSE))</f>
        <v>Ind059</v>
      </c>
      <c r="AB63" s="425" t="s">
        <v>1130</v>
      </c>
    </row>
    <row r="64" spans="1:28" s="4" customFormat="1" ht="202.5" customHeight="1">
      <c r="A64" s="92" t="s">
        <v>204</v>
      </c>
      <c r="B64" s="112" t="str">
        <f>VLOOKUP(A64,'Bateria indicadores proceso'!A:X,2,FALSE)</f>
        <v>DE APOYO</v>
      </c>
      <c r="C64" s="113" t="str">
        <f>VLOOKUP(A64,'Bateria indicadores proceso'!A:X,3,FALSE)</f>
        <v>GESTIÓN FINANCIERA</v>
      </c>
      <c r="D64" s="113" t="str">
        <f>VLOOKUP(A64,'Bateria indicadores proceso'!A:X,7,FALSE)</f>
        <v>Subdirección Administrativa y Financiera</v>
      </c>
      <c r="E64" s="114">
        <f>VLOOKUP(A64,'Bateria indicadores proceso'!A:X,4,FALSE)</f>
        <v>1</v>
      </c>
      <c r="F64" s="114">
        <f>VLOOKUP(A64,'Bateria indicadores proceso'!A:X,6,FALSE)</f>
        <v>0.33</v>
      </c>
      <c r="G64" s="114" t="str">
        <f>VLOOKUP(A64,'Bateria indicadores proceso'!A:X,12,FALSE)</f>
        <v>Pagos realizados de las obligaciones de ministerio del interior</v>
      </c>
      <c r="H64" s="114" t="str">
        <f>VLOOKUP(A64,'Bateria indicadores proceso'!A:AB,10,FALSE)</f>
        <v>Eficacia</v>
      </c>
      <c r="I64" s="114" t="str">
        <f>VLOOKUP(A64,'Bateria indicadores proceso'!A:AB,16,FALSE)</f>
        <v>Porcentaje</v>
      </c>
      <c r="J64" s="125">
        <f>VLOOKUP(A64,'Bateria indicadores proceso'!A:X,20,FALSE)</f>
        <v>1</v>
      </c>
      <c r="K64" s="125">
        <f>VLOOKUP(A64,'Bateria indicadores proceso'!A:X,21,FALSE)</f>
        <v>1</v>
      </c>
      <c r="L64" s="125">
        <f>VLOOKUP(A64,'Bateria indicadores proceso'!A:X,22,FALSE)</f>
        <v>1</v>
      </c>
      <c r="M64" s="125">
        <f>VLOOKUP(A64,'Bateria indicadores proceso'!A:X,23,FALSE)</f>
        <v>1</v>
      </c>
      <c r="N64" s="126">
        <f>VLOOKUP(A64,'Bateria indicadores proceso'!A:X,24,FALSE)</f>
        <v>1</v>
      </c>
      <c r="O64" s="126">
        <f>VLOOKUP(A64,'Bateria indicadores proceso'!A:AR,28,FALSE)</f>
        <v>1</v>
      </c>
      <c r="P64" s="126">
        <f>VLOOKUP(A64,'Bateria indicadores proceso'!A:AR,29,FALSE)</f>
        <v>1</v>
      </c>
      <c r="Q64" s="126">
        <f>VLOOKUP(A64,'Bateria indicadores proceso'!A:AR,30,FALSE)</f>
        <v>0</v>
      </c>
      <c r="R64" s="126">
        <f>VLOOKUP(A64,'Bateria indicadores proceso'!A:AR,31,FALSE)</f>
        <v>0</v>
      </c>
      <c r="S64" s="126">
        <f>VLOOKUP(A64,'Bateria indicadores proceso'!A:AR,32,FALSE)</f>
        <v>1</v>
      </c>
      <c r="T64" s="115">
        <f>VLOOKUP(A64,'Bateria indicadores proceso'!A:AT,45,FALSE)</f>
        <v>1</v>
      </c>
      <c r="U64" s="119">
        <f>VLOOKUP(A64,'Bateria indicadores proceso'!A:AT,46,FALSE)</f>
        <v>1</v>
      </c>
      <c r="V64" s="116">
        <f t="shared" si="0"/>
        <v>0.33</v>
      </c>
      <c r="W64" s="116">
        <f t="shared" si="1"/>
        <v>0.33</v>
      </c>
      <c r="X64" s="98"/>
      <c r="Y64" s="128" t="str">
        <f>IF(VLOOKUP(A64,'Bateria indicadores proceso'!A:AT,36,FALSE)="","No registro avance",VLOOKUP(A64,'Bateria indicadores proceso'!A:AT,36,FALSE))</f>
        <v>Desde la Subdirección Administrativa y Financiera - Grupo de Gestión Financiera y Contable, se realizaron 8.012 pagos que corresponden a radicaciones de las áreas, por valor de $129.553.736.874; que corresponden al 100% de los pagos solicitados y aprobados.
Dando así un cumplimiento al 100% correspondiente al segundo trimestre de la vigencia 2026, con el siguiente detalle:
Abril: 2810 por valor de $38.773.540.263,43
Mayo: 2534 por valor de $53.008.270.240,75
Junio: 2668 por valor de $37.771.926.369,82</v>
      </c>
      <c r="Z64" s="428" t="s">
        <v>1129</v>
      </c>
      <c r="AA64" s="129" t="str">
        <f>IF(VLOOKUP(A64,'Bateria indicadores proceso'!A:AT,37,FALSE)="","No reportó Evidencia",VLOOKUP(A64,'Bateria indicadores proceso'!A:AT,37,FALSE))</f>
        <v>Ind060</v>
      </c>
      <c r="AB64" s="425" t="s">
        <v>1130</v>
      </c>
    </row>
    <row r="65" spans="1:28" s="4" customFormat="1" ht="202.5" customHeight="1">
      <c r="A65" s="92" t="s">
        <v>205</v>
      </c>
      <c r="B65" s="112" t="str">
        <f>VLOOKUP(A65,'Bateria indicadores proceso'!A:X,2,FALSE)</f>
        <v>DE APOYO</v>
      </c>
      <c r="C65" s="113" t="str">
        <f>VLOOKUP(A65,'Bateria indicadores proceso'!A:X,3,FALSE)</f>
        <v>GESTIÓN FINANCIERA</v>
      </c>
      <c r="D65" s="113" t="str">
        <f>VLOOKUP(A65,'Bateria indicadores proceso'!A:X,7,FALSE)</f>
        <v>Subdirección Administrativa y Financiera</v>
      </c>
      <c r="E65" s="114">
        <f>VLOOKUP(A65,'Bateria indicadores proceso'!A:X,4,FALSE)</f>
        <v>1</v>
      </c>
      <c r="F65" s="114">
        <f>VLOOKUP(A65,'Bateria indicadores proceso'!A:X,6,FALSE)</f>
        <v>0.33</v>
      </c>
      <c r="G65" s="114" t="str">
        <f>VLOOKUP(A65,'Bateria indicadores proceso'!A:X,12,FALSE)</f>
        <v>CDP y RP expedidos por el Grupo de Gestión Financiera y Contable del Ministerio</v>
      </c>
      <c r="H65" s="114" t="str">
        <f>VLOOKUP(A65,'Bateria indicadores proceso'!A:AB,10,FALSE)</f>
        <v>Eficiencia</v>
      </c>
      <c r="I65" s="114" t="str">
        <f>VLOOKUP(A65,'Bateria indicadores proceso'!A:AB,16,FALSE)</f>
        <v>Porcentaje</v>
      </c>
      <c r="J65" s="125">
        <f>VLOOKUP(A65,'Bateria indicadores proceso'!A:X,20,FALSE)</f>
        <v>1</v>
      </c>
      <c r="K65" s="125">
        <f>VLOOKUP(A65,'Bateria indicadores proceso'!A:X,21,FALSE)</f>
        <v>1</v>
      </c>
      <c r="L65" s="125">
        <f>VLOOKUP(A65,'Bateria indicadores proceso'!A:X,22,FALSE)</f>
        <v>1</v>
      </c>
      <c r="M65" s="125">
        <f>VLOOKUP(A65,'Bateria indicadores proceso'!A:X,23,FALSE)</f>
        <v>1</v>
      </c>
      <c r="N65" s="126">
        <f>VLOOKUP(A65,'Bateria indicadores proceso'!A:X,24,FALSE)</f>
        <v>1</v>
      </c>
      <c r="O65" s="126">
        <f>VLOOKUP(A65,'Bateria indicadores proceso'!A:AR,28,FALSE)</f>
        <v>1</v>
      </c>
      <c r="P65" s="126">
        <f>VLOOKUP(A65,'Bateria indicadores proceso'!A:AR,29,FALSE)</f>
        <v>1</v>
      </c>
      <c r="Q65" s="126">
        <f>VLOOKUP(A65,'Bateria indicadores proceso'!A:AR,30,FALSE)</f>
        <v>0</v>
      </c>
      <c r="R65" s="126">
        <f>VLOOKUP(A65,'Bateria indicadores proceso'!A:AR,31,FALSE)</f>
        <v>0</v>
      </c>
      <c r="S65" s="126">
        <f>VLOOKUP(A65,'Bateria indicadores proceso'!A:AR,32,FALSE)</f>
        <v>1</v>
      </c>
      <c r="T65" s="115">
        <f>VLOOKUP(A65,'Bateria indicadores proceso'!A:AT,45,FALSE)</f>
        <v>1</v>
      </c>
      <c r="U65" s="119">
        <f>VLOOKUP(A65,'Bateria indicadores proceso'!A:AT,46,FALSE)</f>
        <v>1</v>
      </c>
      <c r="V65" s="116">
        <f t="shared" si="0"/>
        <v>0.33</v>
      </c>
      <c r="W65" s="116">
        <f t="shared" si="1"/>
        <v>0.33</v>
      </c>
      <c r="X65" s="98"/>
      <c r="Y65" s="128" t="str">
        <f>IF(VLOOKUP(A65,'Bateria indicadores proceso'!A:AT,36,FALSE)="","No registro avance",VLOOKUP(A65,'Bateria indicadores proceso'!A:AT,36,FALSE))</f>
        <v>El Grupo de Gestión Financiera y Contable de la SAF, en el segundo trimestre realizo seguimiento y control periódico mensual al PAA, en lo que respecta a su competencia, gestiono las solicitudes de ajuste al PAA, así como el cumplimiento de lo registrado en el mismo.
Así mismo atendió el 100% de las solicitudes de registro, adicion y reducción por parte de las dependencias. En  CDPs se atendieron 76 nuevos registros y RPs 5.116 registros.
También realizo 4.510 pagos correspondientes a radicaciones de las áreas, por valor de $46.679.333.484,52; que corresponden al 100% de los pagos solicitados y aprobados.
Adicionalmente recibió 5.397cuentas para trámite de revisión, aprobación y pago, de las cuales 4.443 fueron aprobadas y dieron continuidad al trámite de la cadena presupuestal, cumpliendo el 100% de la meta de la actividad.</v>
      </c>
      <c r="Z65" s="428" t="s">
        <v>1129</v>
      </c>
      <c r="AA65" s="129" t="str">
        <f>IF(VLOOKUP(A65,'Bateria indicadores proceso'!A:AT,37,FALSE)="","No reportó Evidencia",VLOOKUP(A65,'Bateria indicadores proceso'!A:AT,37,FALSE))</f>
        <v>Ind061</v>
      </c>
      <c r="AB65" s="425" t="s">
        <v>1130</v>
      </c>
    </row>
    <row r="66" spans="1:28" s="93" customFormat="1" ht="202.5" customHeight="1">
      <c r="A66" s="92" t="s">
        <v>206</v>
      </c>
      <c r="B66" s="112" t="str">
        <f>VLOOKUP(A66,'Bateria indicadores proceso'!A:X,2,FALSE)</f>
        <v>DE APOYO</v>
      </c>
      <c r="C66" s="113" t="str">
        <f>VLOOKUP(A66,'Bateria indicadores proceso'!A:X,3,FALSE)</f>
        <v>GESTIÓN FINANCIERA</v>
      </c>
      <c r="D66" s="113" t="str">
        <f>VLOOKUP(A66,'Bateria indicadores proceso'!A:X,7,FALSE)</f>
        <v>Subdirección Administrativa y Financiera</v>
      </c>
      <c r="E66" s="114">
        <f>VLOOKUP(A66,'Bateria indicadores proceso'!A:X,4,FALSE)</f>
        <v>1</v>
      </c>
      <c r="F66" s="114">
        <f>VLOOKUP(A66,'Bateria indicadores proceso'!A:X,6,FALSE)</f>
        <v>0.34</v>
      </c>
      <c r="G66" s="114" t="str">
        <f>VLOOKUP(A66,'Bateria indicadores proceso'!A:X,12,FALSE)</f>
        <v>Cuentas aprobadas por el Grupo de Gestión Financiera y Contable del Ministerio</v>
      </c>
      <c r="H66" s="114" t="str">
        <f>VLOOKUP(A66,'Bateria indicadores proceso'!A:AB,10,FALSE)</f>
        <v>Efectividad</v>
      </c>
      <c r="I66" s="114" t="str">
        <f>VLOOKUP(A66,'Bateria indicadores proceso'!A:AB,16,FALSE)</f>
        <v>Porcentaje</v>
      </c>
      <c r="J66" s="125">
        <f>VLOOKUP(A66,'Bateria indicadores proceso'!A:X,20,FALSE)</f>
        <v>1</v>
      </c>
      <c r="K66" s="125">
        <f>VLOOKUP(A66,'Bateria indicadores proceso'!A:X,21,FALSE)</f>
        <v>1</v>
      </c>
      <c r="L66" s="125">
        <f>VLOOKUP(A66,'Bateria indicadores proceso'!A:X,22,FALSE)</f>
        <v>1</v>
      </c>
      <c r="M66" s="125">
        <f>VLOOKUP(A66,'Bateria indicadores proceso'!A:X,23,FALSE)</f>
        <v>1</v>
      </c>
      <c r="N66" s="126">
        <f>VLOOKUP(A66,'Bateria indicadores proceso'!A:X,24,FALSE)</f>
        <v>1</v>
      </c>
      <c r="O66" s="126">
        <f>VLOOKUP(A66,'Bateria indicadores proceso'!A:AR,28,FALSE)</f>
        <v>1</v>
      </c>
      <c r="P66" s="126">
        <f>VLOOKUP(A66,'Bateria indicadores proceso'!A:AR,29,FALSE)</f>
        <v>1</v>
      </c>
      <c r="Q66" s="126">
        <f>VLOOKUP(A66,'Bateria indicadores proceso'!A:AR,30,FALSE)</f>
        <v>0</v>
      </c>
      <c r="R66" s="126">
        <f>VLOOKUP(A66,'Bateria indicadores proceso'!A:AR,31,FALSE)</f>
        <v>0</v>
      </c>
      <c r="S66" s="126">
        <f>VLOOKUP(A66,'Bateria indicadores proceso'!A:AR,32,FALSE)</f>
        <v>1</v>
      </c>
      <c r="T66" s="115">
        <f>VLOOKUP(A66,'Bateria indicadores proceso'!A:AT,45,FALSE)</f>
        <v>1</v>
      </c>
      <c r="U66" s="119">
        <f>VLOOKUP(A66,'Bateria indicadores proceso'!A:AT,46,FALSE)</f>
        <v>1</v>
      </c>
      <c r="V66" s="116">
        <f t="shared" si="0"/>
        <v>0.34</v>
      </c>
      <c r="W66" s="116">
        <f t="shared" si="1"/>
        <v>0.34</v>
      </c>
      <c r="X66" s="98"/>
      <c r="Y66" s="128" t="str">
        <f>IF(VLOOKUP(A66,'Bateria indicadores proceso'!A:AT,36,FALSE)="","No registro avance",VLOOKUP(A66,'Bateria indicadores proceso'!A:AT,36,FALSE))</f>
        <v>Desde la Subdirección Administrativa y Financiera - Grupo de Gestión Financiera y Contable, se recepcionaron 8.059 cuentas para trámite de revisión, aprobación y pago, y de las cuales 8.012 fueron aprobadas y dieron continuidad al trámite de la cadena presupuestal, dando así cumplimientl al 100% de la actividad.
Con el Siguiente detalle correspondiente al primer trimestre de la Vigencia 2026, así:
Abril: 2522 +954 cuentas de meses anteriores radicadas corregidas.
Febrero: 2676
Marzo: 1907
Presentando una diferencia entre cuentas radicadas y aprobadas de 47, lo que obedece a las devoluciones realizadas.
Por lo anterior desde la Subdirección Administrativa y Financiera - Grupo de Gestión Financiera y Contable, se mantiene el apoyo a los áreas, así como la constante comunicación con los enlaces a fin de disminuir el índice de error, que conlleva a estás devoluciones.</v>
      </c>
      <c r="Z66" s="428" t="s">
        <v>1129</v>
      </c>
      <c r="AA66" s="129" t="str">
        <f>IF(VLOOKUP(A66,'Bateria indicadores proceso'!A:AT,37,FALSE)="","No reportó Evidencia",VLOOKUP(A66,'Bateria indicadores proceso'!A:AT,37,FALSE))</f>
        <v>Ind062</v>
      </c>
      <c r="AB66" s="425" t="s">
        <v>1130</v>
      </c>
    </row>
    <row r="67" spans="1:28" s="93" customFormat="1" ht="202.5" customHeight="1">
      <c r="A67" s="92" t="s">
        <v>207</v>
      </c>
      <c r="B67" s="112" t="str">
        <f>VLOOKUP(A67,'Bateria indicadores proceso'!A:X,2,FALSE)</f>
        <v>DE APOYO</v>
      </c>
      <c r="C67" s="113" t="str">
        <f>VLOOKUP(A67,'Bateria indicadores proceso'!A:X,3,FALSE)</f>
        <v>GESTIÓN DE BIENES Y SERVICIOS</v>
      </c>
      <c r="D67" s="113" t="str">
        <f>VLOOKUP(A67,'Bateria indicadores proceso'!A:X,7,FALSE)</f>
        <v xml:space="preserve">Subdirección de Gestión Contractual </v>
      </c>
      <c r="E67" s="114">
        <f>VLOOKUP(A67,'Bateria indicadores proceso'!A:X,4,FALSE)</f>
        <v>1</v>
      </c>
      <c r="F67" s="114">
        <f>VLOOKUP(A67,'Bateria indicadores proceso'!A:X,6,FALSE)</f>
        <v>0.25</v>
      </c>
      <c r="G67" s="114" t="str">
        <f>VLOOKUP(A67,'Bateria indicadores proceso'!A:X,12,FALSE)</f>
        <v xml:space="preserve">Certificaciones expedidas en el aplicativo Sistema de Rendición Electrónica de la Cuenta e Informes - SIRECI </v>
      </c>
      <c r="H67" s="114" t="str">
        <f>VLOOKUP(A67,'Bateria indicadores proceso'!A:AB,10,FALSE)</f>
        <v>Eficacia</v>
      </c>
      <c r="I67" s="114" t="str">
        <f>VLOOKUP(A67,'Bateria indicadores proceso'!A:AB,16,FALSE)</f>
        <v>Número</v>
      </c>
      <c r="J67" s="127">
        <f>VLOOKUP(A67,'Bateria indicadores proceso'!A:X,20,FALSE)</f>
        <v>3</v>
      </c>
      <c r="K67" s="127">
        <f>VLOOKUP(A67,'Bateria indicadores proceso'!A:X,21,FALSE)</f>
        <v>3</v>
      </c>
      <c r="L67" s="127">
        <f>VLOOKUP(A67,'Bateria indicadores proceso'!A:X,22,FALSE)</f>
        <v>3</v>
      </c>
      <c r="M67" s="127">
        <f>VLOOKUP(A67,'Bateria indicadores proceso'!A:X,23,FALSE)</f>
        <v>3</v>
      </c>
      <c r="N67" s="127">
        <f>VLOOKUP(A67,'Bateria indicadores proceso'!A:X,24,FALSE)</f>
        <v>12</v>
      </c>
      <c r="O67" s="127">
        <f>VLOOKUP(A67,'Bateria indicadores proceso'!A:AR,28,FALSE)</f>
        <v>3</v>
      </c>
      <c r="P67" s="127">
        <f>VLOOKUP(A67,'Bateria indicadores proceso'!A:AR,29,FALSE)</f>
        <v>3</v>
      </c>
      <c r="Q67" s="127">
        <f>VLOOKUP(A67,'Bateria indicadores proceso'!A:AR,30,FALSE)</f>
        <v>0</v>
      </c>
      <c r="R67" s="127">
        <f>VLOOKUP(A67,'Bateria indicadores proceso'!A:AR,31,FALSE)</f>
        <v>0</v>
      </c>
      <c r="S67" s="127">
        <f>VLOOKUP(A67,'Bateria indicadores proceso'!A:AR,32,FALSE)</f>
        <v>6</v>
      </c>
      <c r="T67" s="115">
        <f>VLOOKUP(A67,'Bateria indicadores proceso'!A:AT,45,FALSE)</f>
        <v>1</v>
      </c>
      <c r="U67" s="119">
        <f>VLOOKUP(A67,'Bateria indicadores proceso'!A:AT,46,FALSE)</f>
        <v>0.5</v>
      </c>
      <c r="V67" s="116">
        <f t="shared" si="0"/>
        <v>0.25</v>
      </c>
      <c r="W67" s="116">
        <f t="shared" si="1"/>
        <v>0.125</v>
      </c>
      <c r="X67" s="98"/>
      <c r="Y67" s="128" t="str">
        <f>IF(VLOOKUP(A67,'Bateria indicadores proceso'!A:AT,36,FALSE)="","No registro avance",VLOOKUP(A67,'Bateria indicadores proceso'!A:AT,36,FALSE))</f>
        <v>Durante el segundo trimestre del año 2026, la Subdirección de Gestión Contractual reportó mensualmente a la Contraloría General de la República, a través de la plataforma SIRECI, los contratos y/o convenios suscritos por el Ministerio del interior, reportes realizados durante los meses de abril, mayo y junio de 2026.</v>
      </c>
      <c r="Z67" s="429" t="s">
        <v>1129</v>
      </c>
      <c r="AA67" s="129" t="str">
        <f>IF(VLOOKUP(A67,'Bateria indicadores proceso'!A:AT,37,FALSE)="","No reportó Evidencia",VLOOKUP(A67,'Bateria indicadores proceso'!A:AT,37,FALSE))</f>
        <v>https://mininteriorgovco.sharepoint.com/:f:/r/sites/EvidenciasOAP/Documentos%20compartidos/Evidencias%20Indicadores%20de%20Proceso%202026/08.%20Gesti%C3%B3n%20de%20Bienes%20y%20Servicios/II%20Trimestre/Ind.%20063?csf=1&amp;web=1&amp;e=aVvhnw</v>
      </c>
      <c r="AB67" s="425" t="s">
        <v>1136</v>
      </c>
    </row>
    <row r="68" spans="1:28" s="93" customFormat="1" ht="202.5" customHeight="1">
      <c r="A68" s="92" t="s">
        <v>208</v>
      </c>
      <c r="B68" s="112" t="str">
        <f>VLOOKUP(A68,'Bateria indicadores proceso'!A:X,2,FALSE)</f>
        <v>DE APOYO</v>
      </c>
      <c r="C68" s="113" t="str">
        <f>VLOOKUP(A68,'Bateria indicadores proceso'!A:X,3,FALSE)</f>
        <v>GESTIÓN DE BIENES Y SERVICIOS</v>
      </c>
      <c r="D68" s="113" t="str">
        <f>VLOOKUP(A68,'Bateria indicadores proceso'!A:X,7,FALSE)</f>
        <v xml:space="preserve">Subdirección de Gestión Contractual </v>
      </c>
      <c r="E68" s="114">
        <f>VLOOKUP(A68,'Bateria indicadores proceso'!A:X,4,FALSE)</f>
        <v>1</v>
      </c>
      <c r="F68" s="114">
        <f>VLOOKUP(A68,'Bateria indicadores proceso'!A:X,6,FALSE)</f>
        <v>0.25</v>
      </c>
      <c r="G68" s="114" t="str">
        <f>VLOOKUP(A68,'Bateria indicadores proceso'!A:X,12,FALSE)</f>
        <v xml:space="preserve">Modificaciones al Plan Anual de Adquisiciones revisadas por la Subdirección de Gestión Contractual </v>
      </c>
      <c r="H68" s="114" t="str">
        <f>VLOOKUP(A68,'Bateria indicadores proceso'!A:AB,10,FALSE)</f>
        <v>Eficiencia</v>
      </c>
      <c r="I68" s="114" t="str">
        <f>VLOOKUP(A68,'Bateria indicadores proceso'!A:AB,16,FALSE)</f>
        <v>Porcentaje</v>
      </c>
      <c r="J68" s="125">
        <f>VLOOKUP(A68,'Bateria indicadores proceso'!A:X,20,FALSE)</f>
        <v>1</v>
      </c>
      <c r="K68" s="125">
        <f>VLOOKUP(A68,'Bateria indicadores proceso'!A:X,21,FALSE)</f>
        <v>1</v>
      </c>
      <c r="L68" s="125">
        <f>VLOOKUP(A68,'Bateria indicadores proceso'!A:X,22,FALSE)</f>
        <v>1</v>
      </c>
      <c r="M68" s="125">
        <f>VLOOKUP(A68,'Bateria indicadores proceso'!A:X,23,FALSE)</f>
        <v>1</v>
      </c>
      <c r="N68" s="126">
        <f>VLOOKUP(A68,'Bateria indicadores proceso'!A:X,24,FALSE)</f>
        <v>1</v>
      </c>
      <c r="O68" s="126">
        <f>VLOOKUP(A68,'Bateria indicadores proceso'!A:AR,28,FALSE)</f>
        <v>1</v>
      </c>
      <c r="P68" s="126">
        <f>VLOOKUP(A68,'Bateria indicadores proceso'!A:AR,29,FALSE)</f>
        <v>1</v>
      </c>
      <c r="Q68" s="126">
        <f>VLOOKUP(A68,'Bateria indicadores proceso'!A:AR,30,FALSE)</f>
        <v>0</v>
      </c>
      <c r="R68" s="126">
        <f>VLOOKUP(A68,'Bateria indicadores proceso'!A:AR,31,FALSE)</f>
        <v>0</v>
      </c>
      <c r="S68" s="126">
        <f>VLOOKUP(A68,'Bateria indicadores proceso'!A:AR,32,FALSE)</f>
        <v>100</v>
      </c>
      <c r="T68" s="115">
        <f>VLOOKUP(A68,'Bateria indicadores proceso'!A:AT,45,FALSE)</f>
        <v>1</v>
      </c>
      <c r="U68" s="119">
        <f>VLOOKUP(A68,'Bateria indicadores proceso'!A:AT,46,FALSE)</f>
        <v>1.0000100000000001</v>
      </c>
      <c r="V68" s="116">
        <f t="shared" si="0"/>
        <v>0.25</v>
      </c>
      <c r="W68" s="116">
        <f t="shared" si="1"/>
        <v>0.25000250000000002</v>
      </c>
      <c r="X68" s="98"/>
      <c r="Y68" s="128" t="str">
        <f>IF(VLOOKUP(A68,'Bateria indicadores proceso'!A:AT,36,FALSE)="","No registro avance",VLOOKUP(A68,'Bateria indicadores proceso'!A:AT,36,FALSE))</f>
        <v>Previo a la publicación de las diferentes versiones del Plan Anual de Adquisiciones, la Subdirección de Gestión Contractual realizó durante los meses de abril a junio de 2026, la revisión de 5 modificaciones al PAA (V7 a V11).</v>
      </c>
      <c r="Z68" s="429" t="s">
        <v>1129</v>
      </c>
      <c r="AA68" s="129" t="str">
        <f>IF(VLOOKUP(A68,'Bateria indicadores proceso'!A:AT,37,FALSE)="","No reportó Evidencia",VLOOKUP(A68,'Bateria indicadores proceso'!A:AT,37,FALSE))</f>
        <v>https://mininteriorgovco.sharepoint.com/:f:/r/sites/EvidenciasOAP/Documentos%20compartidos/Evidencias%20Indicadores%20de%20Proceso%202026/08.%20Gesti%C3%B3n%20de%20Bienes%20y%20Servicios/II%20Trimestre/Ind.%20064?csf=1&amp;web=1&amp;e=cFehla</v>
      </c>
      <c r="AB68" s="425" t="s">
        <v>1136</v>
      </c>
    </row>
    <row r="69" spans="1:28" s="93" customFormat="1" ht="202.5" customHeight="1">
      <c r="A69" s="92" t="s">
        <v>209</v>
      </c>
      <c r="B69" s="112" t="str">
        <f>VLOOKUP(A69,'Bateria indicadores proceso'!A:X,2,FALSE)</f>
        <v>DE APOYO</v>
      </c>
      <c r="C69" s="113" t="str">
        <f>VLOOKUP(A69,'Bateria indicadores proceso'!A:X,3,FALSE)</f>
        <v>GESTIÓN DE BIENES Y SERVICIOS</v>
      </c>
      <c r="D69" s="113" t="str">
        <f>VLOOKUP(A69,'Bateria indicadores proceso'!A:X,7,FALSE)</f>
        <v xml:space="preserve">Subdirección de Gestión Contractual </v>
      </c>
      <c r="E69" s="114">
        <f>VLOOKUP(A69,'Bateria indicadores proceso'!A:X,4,FALSE)</f>
        <v>1</v>
      </c>
      <c r="F69" s="114">
        <f>VLOOKUP(A69,'Bateria indicadores proceso'!A:X,6,FALSE)</f>
        <v>0.25</v>
      </c>
      <c r="G69" s="114" t="str">
        <f>VLOOKUP(A69,'Bateria indicadores proceso'!A:X,12,FALSE)</f>
        <v xml:space="preserve">Capacitaciones adelantadas a los Supervisores por la Subdirección de Gestión Contractual </v>
      </c>
      <c r="H69" s="114" t="str">
        <f>VLOOKUP(A69,'Bateria indicadores proceso'!A:AB,10,FALSE)</f>
        <v>Eficiencia</v>
      </c>
      <c r="I69" s="114" t="str">
        <f>VLOOKUP(A69,'Bateria indicadores proceso'!A:AB,16,FALSE)</f>
        <v>Número</v>
      </c>
      <c r="J69" s="127">
        <f>VLOOKUP(A69,'Bateria indicadores proceso'!A:X,20,FALSE)</f>
        <v>1</v>
      </c>
      <c r="K69" s="127">
        <f>VLOOKUP(A69,'Bateria indicadores proceso'!A:X,21,FALSE)</f>
        <v>1</v>
      </c>
      <c r="L69" s="127">
        <f>VLOOKUP(A69,'Bateria indicadores proceso'!A:X,22,FALSE)</f>
        <v>1</v>
      </c>
      <c r="M69" s="127">
        <f>VLOOKUP(A69,'Bateria indicadores proceso'!A:X,23,FALSE)</f>
        <v>1</v>
      </c>
      <c r="N69" s="127">
        <f>VLOOKUP(A69,'Bateria indicadores proceso'!A:X,24,FALSE)</f>
        <v>4</v>
      </c>
      <c r="O69" s="127">
        <f>VLOOKUP(A69,'Bateria indicadores proceso'!A:AR,28,FALSE)</f>
        <v>1</v>
      </c>
      <c r="P69" s="127">
        <f>VLOOKUP(A69,'Bateria indicadores proceso'!A:AR,29,FALSE)</f>
        <v>1</v>
      </c>
      <c r="Q69" s="127">
        <f>VLOOKUP(A69,'Bateria indicadores proceso'!A:AR,30,FALSE)</f>
        <v>0</v>
      </c>
      <c r="R69" s="127">
        <f>VLOOKUP(A69,'Bateria indicadores proceso'!A:AR,31,FALSE)</f>
        <v>0</v>
      </c>
      <c r="S69" s="127">
        <f>VLOOKUP(A69,'Bateria indicadores proceso'!A:AR,32,FALSE)</f>
        <v>2</v>
      </c>
      <c r="T69" s="115">
        <f>VLOOKUP(A69,'Bateria indicadores proceso'!A:AT,45,FALSE)</f>
        <v>1</v>
      </c>
      <c r="U69" s="119">
        <f>VLOOKUP(A69,'Bateria indicadores proceso'!A:AT,46,FALSE)</f>
        <v>0.5</v>
      </c>
      <c r="V69" s="116">
        <f t="shared" si="0"/>
        <v>0.25</v>
      </c>
      <c r="W69" s="116">
        <f t="shared" si="1"/>
        <v>0.125</v>
      </c>
      <c r="X69" s="98"/>
      <c r="Y69" s="128" t="str">
        <f>IF(VLOOKUP(A69,'Bateria indicadores proceso'!A:AT,36,FALSE)="","No registro avance",VLOOKUP(A69,'Bateria indicadores proceso'!A:AT,36,FALSE))</f>
        <v>Durante los meses de abril a junio de 2026, la Subdirección de Gestión Contractual realizó una (1) capacitación a supervisores y demás colaboradores, sobre el proceso sancionatorio contractual para el fortalecimiento de la supervisón.</v>
      </c>
      <c r="Z69" s="429" t="s">
        <v>1129</v>
      </c>
      <c r="AA69" s="129" t="str">
        <f>IF(VLOOKUP(A69,'Bateria indicadores proceso'!A:AT,37,FALSE)="","No reportó Evidencia",VLOOKUP(A69,'Bateria indicadores proceso'!A:AT,37,FALSE))</f>
        <v>https://mininteriorgovco.sharepoint.com/:f:/r/sites/EvidenciasOAP/Documentos%20compartidos/Evidencias%20Indicadores%20de%20Proceso%202026/08.%20Gesti%C3%B3n%20de%20Bienes%20y%20Servicios/II%20Trimestre/Ind.%20065?csf=1&amp;web=1&amp;e=6ftahh</v>
      </c>
      <c r="AB69" s="425" t="s">
        <v>1136</v>
      </c>
    </row>
    <row r="70" spans="1:28" s="93" customFormat="1" ht="202.5" customHeight="1">
      <c r="A70" s="92" t="s">
        <v>210</v>
      </c>
      <c r="B70" s="112" t="str">
        <f>VLOOKUP(A70,'Bateria indicadores proceso'!A:X,2,FALSE)</f>
        <v>DE APOYO</v>
      </c>
      <c r="C70" s="113" t="str">
        <f>VLOOKUP(A70,'Bateria indicadores proceso'!A:X,3,FALSE)</f>
        <v>GESTIÓN DE BIENES Y SERVICIOS</v>
      </c>
      <c r="D70" s="113" t="str">
        <f>VLOOKUP(A70,'Bateria indicadores proceso'!A:X,7,FALSE)</f>
        <v xml:space="preserve">Subdirección de Gestión Contractual </v>
      </c>
      <c r="E70" s="114">
        <f>VLOOKUP(A70,'Bateria indicadores proceso'!A:X,4,FALSE)</f>
        <v>1</v>
      </c>
      <c r="F70" s="114">
        <f>VLOOKUP(A70,'Bateria indicadores proceso'!A:X,6,FALSE)</f>
        <v>0.25</v>
      </c>
      <c r="G70" s="114" t="str">
        <f>VLOOKUP(A70,'Bateria indicadores proceso'!A:X,12,FALSE)</f>
        <v xml:space="preserve">Contratos y/o convenios publicados por la Subdirección de Gestión Contractual  en la plataforma establecida por  "Colombia Compra Eficiente" </v>
      </c>
      <c r="H70" s="114" t="str">
        <f>VLOOKUP(A70,'Bateria indicadores proceso'!A:AB,10,FALSE)</f>
        <v>Eficacia</v>
      </c>
      <c r="I70" s="114" t="str">
        <f>VLOOKUP(A70,'Bateria indicadores proceso'!A:AB,16,FALSE)</f>
        <v>Porcentaje</v>
      </c>
      <c r="J70" s="125">
        <f>VLOOKUP(A70,'Bateria indicadores proceso'!A:X,20,FALSE)</f>
        <v>1</v>
      </c>
      <c r="K70" s="125">
        <f>VLOOKUP(A70,'Bateria indicadores proceso'!A:X,21,FALSE)</f>
        <v>1</v>
      </c>
      <c r="L70" s="125">
        <f>VLOOKUP(A70,'Bateria indicadores proceso'!A:X,22,FALSE)</f>
        <v>1</v>
      </c>
      <c r="M70" s="125">
        <f>VLOOKUP(A70,'Bateria indicadores proceso'!A:X,23,FALSE)</f>
        <v>1</v>
      </c>
      <c r="N70" s="126">
        <f>VLOOKUP(A70,'Bateria indicadores proceso'!A:X,24,FALSE)</f>
        <v>1</v>
      </c>
      <c r="O70" s="126">
        <f>VLOOKUP(A70,'Bateria indicadores proceso'!A:AR,28,FALSE)</f>
        <v>100</v>
      </c>
      <c r="P70" s="126">
        <f>VLOOKUP(A70,'Bateria indicadores proceso'!A:AR,29,FALSE)</f>
        <v>1</v>
      </c>
      <c r="Q70" s="126">
        <f>VLOOKUP(A70,'Bateria indicadores proceso'!A:AR,30,FALSE)</f>
        <v>0</v>
      </c>
      <c r="R70" s="126">
        <f>VLOOKUP(A70,'Bateria indicadores proceso'!A:AR,31,FALSE)</f>
        <v>0</v>
      </c>
      <c r="S70" s="126">
        <f>VLOOKUP(A70,'Bateria indicadores proceso'!A:AR,32,FALSE)</f>
        <v>100</v>
      </c>
      <c r="T70" s="115">
        <f>VLOOKUP(A70,'Bateria indicadores proceso'!A:AT,45,FALSE)</f>
        <v>1</v>
      </c>
      <c r="U70" s="119">
        <f>VLOOKUP(A70,'Bateria indicadores proceso'!A:AT,46,FALSE)</f>
        <v>1.0000100000000001</v>
      </c>
      <c r="V70" s="116">
        <f t="shared" ref="V70:V87" si="2">IF(T70="No se reportó avance",0,IFERROR(F70*T70,F70))</f>
        <v>0.25</v>
      </c>
      <c r="W70" s="116">
        <f t="shared" ref="W70:W87" si="3">IF(U70="No se reportó avance",0,IFERROR(U70*F70,F70))</f>
        <v>0.25000250000000002</v>
      </c>
      <c r="X70" s="98"/>
      <c r="Y70" s="128" t="str">
        <f>IF(VLOOKUP(A70,'Bateria indicadores proceso'!A:AT,36,FALSE)="","No registro avance",VLOOKUP(A70,'Bateria indicadores proceso'!A:AT,36,FALSE))</f>
        <v>Previa la publicación de cada uno de los procesos de contratación, la subdirección de gestión contractual realizó la verificación de la coherencia de los 6 procesos de contratación celebrados en el segundo trimestre de 2026 con el PAA. En abril se suscribió 1 contrato, en mayo 1 y en junio 4 contratos, para un total de 6.</v>
      </c>
      <c r="Z70" s="429" t="s">
        <v>1129</v>
      </c>
      <c r="AA70" s="129" t="str">
        <f>IF(VLOOKUP(A70,'Bateria indicadores proceso'!A:AT,37,FALSE)="","No reportó Evidencia",VLOOKUP(A70,'Bateria indicadores proceso'!A:AT,37,FALSE))</f>
        <v>https://mininteriorgovco.sharepoint.com/:f:/r/sites/EvidenciasOAP/Documentos%20compartidos/Evidencias%20Indicadores%20de%20Proceso%202026/08.%20Gesti%C3%B3n%20de%20Bienes%20y%20Servicios/II%20Trimestre/Ind.%20066?csf=1&amp;web=1&amp;e=uy9IMV</v>
      </c>
      <c r="AB70" s="425" t="s">
        <v>1136</v>
      </c>
    </row>
    <row r="71" spans="1:28" s="93" customFormat="1" ht="202.5" customHeight="1">
      <c r="A71" s="92" t="s">
        <v>211</v>
      </c>
      <c r="B71" s="112" t="str">
        <f>VLOOKUP(A71,'Bateria indicadores proceso'!A:X,2,FALSE)</f>
        <v>DE APOYO</v>
      </c>
      <c r="C71" s="113" t="str">
        <f>VLOOKUP(A71,'Bateria indicadores proceso'!A:X,3,FALSE)</f>
        <v>GESTIÓN JURÍDICA</v>
      </c>
      <c r="D71" s="113" t="str">
        <f>VLOOKUP(A71,'Bateria indicadores proceso'!A:X,7,FALSE)</f>
        <v>Dirección Jurídica</v>
      </c>
      <c r="E71" s="114">
        <f>VLOOKUP(A71,'Bateria indicadores proceso'!A:X,4,FALSE)</f>
        <v>1</v>
      </c>
      <c r="F71" s="114">
        <f>VLOOKUP(A71,'Bateria indicadores proceso'!A:X,6,FALSE)</f>
        <v>0.22</v>
      </c>
      <c r="G71" s="114" t="str">
        <f>VLOOKUP(A71,'Bateria indicadores proceso'!A:X,12,FALSE)</f>
        <v>Audiencias judiciales atendidas en los procesos en los que el Ministerio del Interior sea convocado.</v>
      </c>
      <c r="H71" s="114" t="str">
        <f>VLOOKUP(A71,'Bateria indicadores proceso'!A:AB,10,FALSE)</f>
        <v>Eficacia</v>
      </c>
      <c r="I71" s="114" t="str">
        <f>VLOOKUP(A71,'Bateria indicadores proceso'!A:AB,16,FALSE)</f>
        <v>Porcentaje</v>
      </c>
      <c r="J71" s="125">
        <f>VLOOKUP(A71,'Bateria indicadores proceso'!A:X,20,FALSE)</f>
        <v>0</v>
      </c>
      <c r="K71" s="125">
        <f>VLOOKUP(A71,'Bateria indicadores proceso'!A:X,21,FALSE)</f>
        <v>1</v>
      </c>
      <c r="L71" s="125">
        <f>VLOOKUP(A71,'Bateria indicadores proceso'!A:X,22,FALSE)</f>
        <v>0</v>
      </c>
      <c r="M71" s="125">
        <f>VLOOKUP(A71,'Bateria indicadores proceso'!A:X,23,FALSE)</f>
        <v>1</v>
      </c>
      <c r="N71" s="126">
        <f>VLOOKUP(A71,'Bateria indicadores proceso'!A:X,24,FALSE)</f>
        <v>1</v>
      </c>
      <c r="O71" s="126" t="str">
        <f>VLOOKUP(A71,'Bateria indicadores proceso'!A:AR,28,FALSE)</f>
        <v>N/A</v>
      </c>
      <c r="P71" s="126">
        <f>VLOOKUP(A71,'Bateria indicadores proceso'!A:AR,29,FALSE)</f>
        <v>1</v>
      </c>
      <c r="Q71" s="126">
        <f>VLOOKUP(A71,'Bateria indicadores proceso'!A:AR,30,FALSE)</f>
        <v>0</v>
      </c>
      <c r="R71" s="126">
        <f>VLOOKUP(A71,'Bateria indicadores proceso'!A:AR,31,FALSE)</f>
        <v>0</v>
      </c>
      <c r="S71" s="126">
        <f>VLOOKUP(A71,'Bateria indicadores proceso'!A:AR,32,FALSE)</f>
        <v>1</v>
      </c>
      <c r="T71" s="115">
        <f>VLOOKUP(A71,'Bateria indicadores proceso'!A:AT,45,FALSE)</f>
        <v>1</v>
      </c>
      <c r="U71" s="119">
        <f>VLOOKUP(A71,'Bateria indicadores proceso'!A:AT,46,FALSE)</f>
        <v>1</v>
      </c>
      <c r="V71" s="116">
        <f t="shared" si="2"/>
        <v>0.22</v>
      </c>
      <c r="W71" s="116">
        <f t="shared" si="3"/>
        <v>0.22</v>
      </c>
      <c r="X71" s="98"/>
      <c r="Y71" s="128" t="str">
        <f>IF(VLOOKUP(A71,'Bateria indicadores proceso'!A:AT,36,FALSE)="","No registro avance",VLOOKUP(A71,'Bateria indicadores proceso'!A:AT,36,FALSE))</f>
        <v>Durante el segundo trimestre de 2026, se atendieron 76 audiencias judiciales programadas así: 43 en abril, 5 en mayo y 28  en junio.</v>
      </c>
      <c r="Z71" s="428" t="s">
        <v>1129</v>
      </c>
      <c r="AA71" s="129" t="str">
        <f>IF(VLOOKUP(A71,'Bateria indicadores proceso'!A:AT,37,FALSE)="","No reportó Evidencia",VLOOKUP(A71,'Bateria indicadores proceso'!A:AT,37,FALSE))</f>
        <v>https://mininteriorgovco.sharepoint.com/:f:/r/sites/EvidenciasOAP/Documentos%20compartidos/Evidencias%20Indicadores%20de%20Proceso%202026/09.%20Gesti%C3%B3n%20Jur%C3%ADdica/II%20Trimestre/Ind067?csf=1&amp;web=1&amp;e=CtzmpS</v>
      </c>
      <c r="AB71" s="425" t="s">
        <v>1130</v>
      </c>
    </row>
    <row r="72" spans="1:28" s="93" customFormat="1" ht="202.5" customHeight="1">
      <c r="A72" s="92" t="s">
        <v>212</v>
      </c>
      <c r="B72" s="112" t="str">
        <f>VLOOKUP(A72,'Bateria indicadores proceso'!A:X,2,FALSE)</f>
        <v>DE APOYO</v>
      </c>
      <c r="C72" s="113" t="str">
        <f>VLOOKUP(A72,'Bateria indicadores proceso'!A:X,3,FALSE)</f>
        <v>GESTIÓN JURÍDICA</v>
      </c>
      <c r="D72" s="113" t="str">
        <f>VLOOKUP(A72,'Bateria indicadores proceso'!A:X,7,FALSE)</f>
        <v>Dirección Jurídica</v>
      </c>
      <c r="E72" s="114">
        <f>VLOOKUP(A72,'Bateria indicadores proceso'!A:X,4,FALSE)</f>
        <v>1</v>
      </c>
      <c r="F72" s="114">
        <f>VLOOKUP(A72,'Bateria indicadores proceso'!A:X,6,FALSE)</f>
        <v>0.22</v>
      </c>
      <c r="G72" s="114" t="str">
        <f>VLOOKUP(A72,'Bateria indicadores proceso'!A:X,12,FALSE)</f>
        <v xml:space="preserve">Conciliaciones extrajudiciales atendidas								</v>
      </c>
      <c r="H72" s="114" t="str">
        <f>VLOOKUP(A72,'Bateria indicadores proceso'!A:AB,10,FALSE)</f>
        <v>Eficacia</v>
      </c>
      <c r="I72" s="114" t="str">
        <f>VLOOKUP(A72,'Bateria indicadores proceso'!A:AB,16,FALSE)</f>
        <v>Porcentaje</v>
      </c>
      <c r="J72" s="125">
        <f>VLOOKUP(A72,'Bateria indicadores proceso'!A:X,20,FALSE)</f>
        <v>0</v>
      </c>
      <c r="K72" s="125">
        <f>VLOOKUP(A72,'Bateria indicadores proceso'!A:X,21,FALSE)</f>
        <v>1</v>
      </c>
      <c r="L72" s="125">
        <f>VLOOKUP(A72,'Bateria indicadores proceso'!A:X,22,FALSE)</f>
        <v>0</v>
      </c>
      <c r="M72" s="125">
        <f>VLOOKUP(A72,'Bateria indicadores proceso'!A:X,23,FALSE)</f>
        <v>1</v>
      </c>
      <c r="N72" s="126">
        <f>VLOOKUP(A72,'Bateria indicadores proceso'!A:X,24,FALSE)</f>
        <v>1</v>
      </c>
      <c r="O72" s="126" t="str">
        <f>VLOOKUP(A72,'Bateria indicadores proceso'!A:AR,28,FALSE)</f>
        <v>N/A</v>
      </c>
      <c r="P72" s="126">
        <f>VLOOKUP(A72,'Bateria indicadores proceso'!A:AR,29,FALSE)</f>
        <v>1</v>
      </c>
      <c r="Q72" s="126">
        <f>VLOOKUP(A72,'Bateria indicadores proceso'!A:AR,30,FALSE)</f>
        <v>0</v>
      </c>
      <c r="R72" s="126">
        <f>VLOOKUP(A72,'Bateria indicadores proceso'!A:AR,31,FALSE)</f>
        <v>0</v>
      </c>
      <c r="S72" s="126">
        <f>VLOOKUP(A72,'Bateria indicadores proceso'!A:AR,32,FALSE)</f>
        <v>1</v>
      </c>
      <c r="T72" s="115">
        <f>VLOOKUP(A72,'Bateria indicadores proceso'!A:AT,45,FALSE)</f>
        <v>1</v>
      </c>
      <c r="U72" s="119">
        <f>VLOOKUP(A72,'Bateria indicadores proceso'!A:AT,46,FALSE)</f>
        <v>1</v>
      </c>
      <c r="V72" s="116">
        <f t="shared" si="2"/>
        <v>0.22</v>
      </c>
      <c r="W72" s="116">
        <f t="shared" si="3"/>
        <v>0.22</v>
      </c>
      <c r="X72" s="98"/>
      <c r="Y72" s="128" t="str">
        <f>IF(VLOOKUP(A72,'Bateria indicadores proceso'!A:AT,36,FALSE)="","No registro avance",VLOOKUP(A72,'Bateria indicadores proceso'!A:AT,36,FALSE))</f>
        <v>Durante el segundo trimestre de 2026, se atendieron 70 audiencias extrajudiciales programadas así: 10 en abril, 17 en mayo y 43  en junio.</v>
      </c>
      <c r="Z72" s="428" t="s">
        <v>1129</v>
      </c>
      <c r="AA72" s="129" t="str">
        <f>IF(VLOOKUP(A72,'Bateria indicadores proceso'!A:AT,37,FALSE)="","No reportó Evidencia",VLOOKUP(A72,'Bateria indicadores proceso'!A:AT,37,FALSE))</f>
        <v>https://mininteriorgovco.sharepoint.com/:f:/r/sites/EvidenciasOAP/Documentos%20compartidos/Evidencias%20Indicadores%20de%20Proceso%202026/09.%20Gesti%C3%B3n%20Jur%C3%ADdica/II%20Trimestre/Ind068?csf=1&amp;web=1&amp;e=G4ddAt</v>
      </c>
      <c r="AB72" s="425" t="s">
        <v>1130</v>
      </c>
    </row>
    <row r="73" spans="1:28" s="93" customFormat="1" ht="202.5" customHeight="1">
      <c r="A73" s="92" t="s">
        <v>213</v>
      </c>
      <c r="B73" s="112" t="str">
        <f>VLOOKUP(A73,'Bateria indicadores proceso'!A:X,2,FALSE)</f>
        <v>DE APOYO</v>
      </c>
      <c r="C73" s="113" t="str">
        <f>VLOOKUP(A73,'Bateria indicadores proceso'!A:X,3,FALSE)</f>
        <v>GESTIÓN JURÍDICA</v>
      </c>
      <c r="D73" s="113" t="str">
        <f>VLOOKUP(A73,'Bateria indicadores proceso'!A:X,7,FALSE)</f>
        <v>Dirección Jurídica</v>
      </c>
      <c r="E73" s="114">
        <f>VLOOKUP(A73,'Bateria indicadores proceso'!A:X,4,FALSE)</f>
        <v>1</v>
      </c>
      <c r="F73" s="114">
        <f>VLOOKUP(A73,'Bateria indicadores proceso'!A:X,6,FALSE)</f>
        <v>0.22</v>
      </c>
      <c r="G73" s="114" t="str">
        <f>VLOOKUP(A73,'Bateria indicadores proceso'!A:X,12,FALSE)</f>
        <v xml:space="preserve">Expedientes de solicitudes de pago de sentencias revisados									</v>
      </c>
      <c r="H73" s="114" t="str">
        <f>VLOOKUP(A73,'Bateria indicadores proceso'!A:AB,10,FALSE)</f>
        <v>Eficacia</v>
      </c>
      <c r="I73" s="114" t="str">
        <f>VLOOKUP(A73,'Bateria indicadores proceso'!A:AB,16,FALSE)</f>
        <v>Porcentaje</v>
      </c>
      <c r="J73" s="125">
        <f>VLOOKUP(A73,'Bateria indicadores proceso'!A:X,20,FALSE)</f>
        <v>1</v>
      </c>
      <c r="K73" s="125">
        <f>VLOOKUP(A73,'Bateria indicadores proceso'!A:X,21,FALSE)</f>
        <v>1</v>
      </c>
      <c r="L73" s="125">
        <f>VLOOKUP(A73,'Bateria indicadores proceso'!A:X,22,FALSE)</f>
        <v>1</v>
      </c>
      <c r="M73" s="125">
        <f>VLOOKUP(A73,'Bateria indicadores proceso'!A:X,23,FALSE)</f>
        <v>1</v>
      </c>
      <c r="N73" s="126">
        <f>VLOOKUP(A73,'Bateria indicadores proceso'!A:X,24,FALSE)</f>
        <v>1</v>
      </c>
      <c r="O73" s="126">
        <f>VLOOKUP(A73,'Bateria indicadores proceso'!A:AR,28,FALSE)</f>
        <v>0.88</v>
      </c>
      <c r="P73" s="126">
        <f>VLOOKUP(A73,'Bateria indicadores proceso'!A:AR,29,FALSE)</f>
        <v>1</v>
      </c>
      <c r="Q73" s="126">
        <f>VLOOKUP(A73,'Bateria indicadores proceso'!A:AR,30,FALSE)</f>
        <v>0</v>
      </c>
      <c r="R73" s="126">
        <f>VLOOKUP(A73,'Bateria indicadores proceso'!A:AR,31,FALSE)</f>
        <v>0</v>
      </c>
      <c r="S73" s="126">
        <f>VLOOKUP(A73,'Bateria indicadores proceso'!A:AR,32,FALSE)</f>
        <v>0.92307692307692313</v>
      </c>
      <c r="T73" s="115">
        <f>VLOOKUP(A73,'Bateria indicadores proceso'!A:AT,45,FALSE)</f>
        <v>1</v>
      </c>
      <c r="U73" s="119">
        <f>VLOOKUP(A73,'Bateria indicadores proceso'!A:AT,46,FALSE)</f>
        <v>0.92307692307692313</v>
      </c>
      <c r="V73" s="116">
        <f t="shared" si="2"/>
        <v>0.22</v>
      </c>
      <c r="W73" s="116">
        <f t="shared" si="3"/>
        <v>0.2030769230769231</v>
      </c>
      <c r="X73" s="98"/>
      <c r="Y73" s="128" t="str">
        <f>IF(VLOOKUP(A73,'Bateria indicadores proceso'!A:AT,36,FALSE)="","No registro avance",VLOOKUP(A73,'Bateria indicadores proceso'!A:AT,36,FALSE))</f>
        <v>Durante el segundo trimestre se realizó la revisión de 5 solicitudes de pago así: 3 se encuentran en trámite de pago conforme a la expedición de las Resoluciones 867, 869 y 1000 y 2 solicitudes de pago en turno en turno.</v>
      </c>
      <c r="Z73" s="428" t="s">
        <v>1129</v>
      </c>
      <c r="AA73" s="129" t="str">
        <f>IF(VLOOKUP(A73,'Bateria indicadores proceso'!A:AT,37,FALSE)="","No reportó Evidencia",VLOOKUP(A73,'Bateria indicadores proceso'!A:AT,37,FALSE))</f>
        <v>https://mininteriorgovco.sharepoint.com/:f:/r/sites/EvidenciasOAP/Documentos%20compartidos/Evidencias%20Indicadores%20de%20Proceso%202026/09.%20Gesti%C3%B3n%20Jur%C3%ADdica/II%20Trimestre/Ind069?csf=1&amp;web=1&amp;e=AYztW7</v>
      </c>
      <c r="AB73" s="425" t="s">
        <v>1130</v>
      </c>
    </row>
    <row r="74" spans="1:28" s="93" customFormat="1" ht="202.5" customHeight="1">
      <c r="A74" s="92" t="s">
        <v>214</v>
      </c>
      <c r="B74" s="112" t="str">
        <f>VLOOKUP(A74,'Bateria indicadores proceso'!A:X,2,FALSE)</f>
        <v>DE APOYO</v>
      </c>
      <c r="C74" s="113" t="str">
        <f>VLOOKUP(A74,'Bateria indicadores proceso'!A:X,3,FALSE)</f>
        <v>GESTIÓN JURÍDICA</v>
      </c>
      <c r="D74" s="113" t="str">
        <f>VLOOKUP(A74,'Bateria indicadores proceso'!A:X,7,FALSE)</f>
        <v>Dirección Jurídica</v>
      </c>
      <c r="E74" s="114">
        <f>VLOOKUP(A74,'Bateria indicadores proceso'!A:X,4,FALSE)</f>
        <v>1</v>
      </c>
      <c r="F74" s="114">
        <f>VLOOKUP(A74,'Bateria indicadores proceso'!A:X,6,FALSE)</f>
        <v>0.22</v>
      </c>
      <c r="G74" s="114" t="str">
        <f>VLOOKUP(A74,'Bateria indicadores proceso'!A:X,12,FALSE)</f>
        <v>Proyectos de actos administrativos gestionados en el marco de las funciones a cargo de la Dirección Jurídica.</v>
      </c>
      <c r="H74" s="114" t="str">
        <f>VLOOKUP(A74,'Bateria indicadores proceso'!A:AB,10,FALSE)</f>
        <v>Eficacia</v>
      </c>
      <c r="I74" s="114" t="str">
        <f>VLOOKUP(A74,'Bateria indicadores proceso'!A:AB,16,FALSE)</f>
        <v>Porcentaje</v>
      </c>
      <c r="J74" s="125">
        <f>VLOOKUP(A74,'Bateria indicadores proceso'!A:X,20,FALSE)</f>
        <v>1</v>
      </c>
      <c r="K74" s="125">
        <f>VLOOKUP(A74,'Bateria indicadores proceso'!A:X,21,FALSE)</f>
        <v>1</v>
      </c>
      <c r="L74" s="125">
        <f>VLOOKUP(A74,'Bateria indicadores proceso'!A:X,22,FALSE)</f>
        <v>1</v>
      </c>
      <c r="M74" s="125">
        <f>VLOOKUP(A74,'Bateria indicadores proceso'!A:X,23,FALSE)</f>
        <v>1</v>
      </c>
      <c r="N74" s="126">
        <f>VLOOKUP(A74,'Bateria indicadores proceso'!A:X,24,FALSE)</f>
        <v>1</v>
      </c>
      <c r="O74" s="126">
        <f>VLOOKUP(A74,'Bateria indicadores proceso'!A:AR,28,FALSE)</f>
        <v>1.0145985401459854</v>
      </c>
      <c r="P74" s="126">
        <f>VLOOKUP(A74,'Bateria indicadores proceso'!A:AR,29,FALSE)</f>
        <v>1</v>
      </c>
      <c r="Q74" s="126">
        <f>VLOOKUP(A74,'Bateria indicadores proceso'!A:AR,30,FALSE)</f>
        <v>0</v>
      </c>
      <c r="R74" s="126">
        <f>VLOOKUP(A74,'Bateria indicadores proceso'!A:AR,31,FALSE)</f>
        <v>0</v>
      </c>
      <c r="S74" s="126">
        <f>VLOOKUP(A74,'Bateria indicadores proceso'!A:AR,32,FALSE)</f>
        <v>1.0067567567567568</v>
      </c>
      <c r="T74" s="115">
        <f>VLOOKUP(A74,'Bateria indicadores proceso'!A:AT,45,FALSE)</f>
        <v>1</v>
      </c>
      <c r="U74" s="119">
        <f>VLOOKUP(A74,'Bateria indicadores proceso'!A:AT,46,FALSE)</f>
        <v>1.0000100000000001</v>
      </c>
      <c r="V74" s="116">
        <f t="shared" si="2"/>
        <v>0.22</v>
      </c>
      <c r="W74" s="116">
        <f t="shared" si="3"/>
        <v>0.22000220000000001</v>
      </c>
      <c r="X74" s="98"/>
      <c r="Y74" s="128" t="str">
        <f>IF(VLOOKUP(A74,'Bateria indicadores proceso'!A:AT,36,FALSE)="","No registro avance",VLOOKUP(A74,'Bateria indicadores proceso'!A:AT,36,FALSE))</f>
        <v>La Dirección Jurídica elaboró 159 actos administrativos de los 159 solicitados durante el segundo trimestre de 2026</v>
      </c>
      <c r="Z74" s="428" t="s">
        <v>1129</v>
      </c>
      <c r="AA74" s="129" t="str">
        <f>IF(VLOOKUP(A74,'Bateria indicadores proceso'!A:AT,37,FALSE)="","No reportó Evidencia",VLOOKUP(A74,'Bateria indicadores proceso'!A:AT,37,FALSE))</f>
        <v>https://mininteriorgovco.sharepoint.com/:x:/r/sites/EvidenciasOAP/Documentos%20compartidos/Evidencias%20Indicadores%20de%20Proceso%202026/09.%20Gesti%C3%B3n%20Jur%C3%ADdica/II%20Trimestre/Ind070/Ind070_IISemestre_Matriz_Actuaciones_Administrativas.xlsm?d=wc11c0487cb6b4c78afb2a1285bc73a13&amp;csf=1&amp;web=1&amp;e=PpMJkX</v>
      </c>
      <c r="AB74" s="425" t="s">
        <v>1130</v>
      </c>
    </row>
    <row r="75" spans="1:28" s="93" customFormat="1" ht="202.5" customHeight="1">
      <c r="A75" s="92" t="s">
        <v>215</v>
      </c>
      <c r="B75" s="112" t="str">
        <f>VLOOKUP(A75,'Bateria indicadores proceso'!A:X,2,FALSE)</f>
        <v>DE APOYO</v>
      </c>
      <c r="C75" s="113" t="str">
        <f>VLOOKUP(A75,'Bateria indicadores proceso'!A:X,3,FALSE)</f>
        <v>GESTIÓN JURÍDICA</v>
      </c>
      <c r="D75" s="113" t="str">
        <f>VLOOKUP(A75,'Bateria indicadores proceso'!A:X,7,FALSE)</f>
        <v>Dirección Jurídica</v>
      </c>
      <c r="E75" s="114">
        <f>VLOOKUP(A75,'Bateria indicadores proceso'!A:X,4,FALSE)</f>
        <v>1</v>
      </c>
      <c r="F75" s="114">
        <f>VLOOKUP(A75,'Bateria indicadores proceso'!A:X,6,FALSE)</f>
        <v>0.12</v>
      </c>
      <c r="G75" s="114" t="str">
        <f>VLOOKUP(A75,'Bateria indicadores proceso'!A:X,12,FALSE)</f>
        <v>Informes enviados a los clientes internos y externos conforme a las funciones de la Dirección Jurídica</v>
      </c>
      <c r="H75" s="114" t="str">
        <f>VLOOKUP(A75,'Bateria indicadores proceso'!A:AB,10,FALSE)</f>
        <v>Eficacia</v>
      </c>
      <c r="I75" s="114" t="str">
        <f>VLOOKUP(A75,'Bateria indicadores proceso'!A:AB,16,FALSE)</f>
        <v>Porcentaje</v>
      </c>
      <c r="J75" s="125">
        <f>VLOOKUP(A75,'Bateria indicadores proceso'!A:X,20,FALSE)</f>
        <v>1</v>
      </c>
      <c r="K75" s="125">
        <f>VLOOKUP(A75,'Bateria indicadores proceso'!A:X,21,FALSE)</f>
        <v>1</v>
      </c>
      <c r="L75" s="125">
        <f>VLOOKUP(A75,'Bateria indicadores proceso'!A:X,22,FALSE)</f>
        <v>1</v>
      </c>
      <c r="M75" s="125">
        <f>VLOOKUP(A75,'Bateria indicadores proceso'!A:X,23,FALSE)</f>
        <v>1</v>
      </c>
      <c r="N75" s="126">
        <f>VLOOKUP(A75,'Bateria indicadores proceso'!A:X,24,FALSE)</f>
        <v>1</v>
      </c>
      <c r="O75" s="126" t="str">
        <f>VLOOKUP(A75,'Bateria indicadores proceso'!A:AR,28,FALSE)</f>
        <v xml:space="preserve">100%
</v>
      </c>
      <c r="P75" s="126">
        <f>VLOOKUP(A75,'Bateria indicadores proceso'!A:AR,29,FALSE)</f>
        <v>1</v>
      </c>
      <c r="Q75" s="126">
        <f>VLOOKUP(A75,'Bateria indicadores proceso'!A:AR,30,FALSE)</f>
        <v>0</v>
      </c>
      <c r="R75" s="126">
        <f>VLOOKUP(A75,'Bateria indicadores proceso'!A:AR,31,FALSE)</f>
        <v>0</v>
      </c>
      <c r="S75" s="126">
        <f>VLOOKUP(A75,'Bateria indicadores proceso'!A:AR,32,FALSE)</f>
        <v>1</v>
      </c>
      <c r="T75" s="115">
        <f>VLOOKUP(A75,'Bateria indicadores proceso'!A:AT,45,FALSE)</f>
        <v>1</v>
      </c>
      <c r="U75" s="119">
        <f>VLOOKUP(A75,'Bateria indicadores proceso'!A:AT,46,FALSE)</f>
        <v>1</v>
      </c>
      <c r="V75" s="116">
        <f t="shared" si="2"/>
        <v>0.12</v>
      </c>
      <c r="W75" s="116">
        <f t="shared" si="3"/>
        <v>0.12</v>
      </c>
      <c r="X75" s="98"/>
      <c r="Y75" s="128" t="str">
        <f>IF(VLOOKUP(A75,'Bateria indicadores proceso'!A:AT,36,FALSE)="","No registro avance",VLOOKUP(A75,'Bateria indicadores proceso'!A:AT,36,FALSE))</f>
        <v>Durante el segundo trimestre la Dirección Jurídica atendió el informe ministerial de gestión</v>
      </c>
      <c r="Z75" s="428" t="s">
        <v>1129</v>
      </c>
      <c r="AA75" s="129" t="str">
        <f>IF(VLOOKUP(A75,'Bateria indicadores proceso'!A:AT,37,FALSE)="","No reportó Evidencia",VLOOKUP(A75,'Bateria indicadores proceso'!A:AT,37,FALSE))</f>
        <v>https://mininteriorgovco.sharepoint.com/sites/EvidenciasOAP/Documentos%20compartidos/Forms/AllItems.aspx?id=%2Fsites%2FEvidenciasOAP%2FDocumentos%20compartidos%2FEvidencias%20Indicadores%20de%20Proceso%202026%2F09%2E%20Gesti%C3%B3n%20Jur%C3%ADdica%2FII%20Trimestre%2FInd071&amp;viewid=f06b705c%2D1d5c%2D4fc5%2Db2b2%2D6247424e1781&amp;csf=1&amp;CT=1783720794664&amp;OR=OWA%2DNT%2DMail&amp;CID=fd79497e%2D18e1%2D30e0%2D4bf3%2Dcd98f5082a52&amp;SI=NonSentItems&amp;SLSync=F&amp;cidOR=Client&amp;FolderCTID=0x01200071BA4BEEC5A4884E88FD3CFB2470F298</v>
      </c>
      <c r="AB75" s="425" t="s">
        <v>1130</v>
      </c>
    </row>
    <row r="76" spans="1:28" s="93" customFormat="1" ht="202.5" customHeight="1">
      <c r="A76" s="92" t="s">
        <v>216</v>
      </c>
      <c r="B76" s="112" t="str">
        <f>VLOOKUP(A76,'Bateria indicadores proceso'!A:X,2,FALSE)</f>
        <v>DE APOYO</v>
      </c>
      <c r="C76" s="113" t="str">
        <f>VLOOKUP(A76,'Bateria indicadores proceso'!A:X,3,FALSE)</f>
        <v>SERVICIO AL CIUDADANO</v>
      </c>
      <c r="D76" s="113" t="str">
        <f>VLOOKUP(A76,'Bateria indicadores proceso'!A:X,7,FALSE)</f>
        <v>Oficina de Información Pública del Interior</v>
      </c>
      <c r="E76" s="114">
        <f>VLOOKUP(A76,'Bateria indicadores proceso'!A:X,4,FALSE)</f>
        <v>1</v>
      </c>
      <c r="F76" s="114">
        <f>VLOOKUP(A76,'Bateria indicadores proceso'!A:X,6,FALSE)</f>
        <v>1</v>
      </c>
      <c r="G76" s="114" t="str">
        <f>VLOOKUP(A76,'Bateria indicadores proceso'!A:X,12,FALSE)</f>
        <v xml:space="preserve">PQRSDF ATENDIDAS DENTRO DE LOS TERMINOS DE LEY											</v>
      </c>
      <c r="H76" s="114" t="str">
        <f>VLOOKUP(A76,'Bateria indicadores proceso'!A:AB,10,FALSE)</f>
        <v>Eficiencia</v>
      </c>
      <c r="I76" s="114" t="str">
        <f>VLOOKUP(A76,'Bateria indicadores proceso'!A:AB,16,FALSE)</f>
        <v>Porcentaje</v>
      </c>
      <c r="J76" s="125">
        <f>VLOOKUP(A76,'Bateria indicadores proceso'!A:X,20,FALSE)</f>
        <v>0.37</v>
      </c>
      <c r="K76" s="125">
        <f>VLOOKUP(A76,'Bateria indicadores proceso'!A:X,21,FALSE)</f>
        <v>0.38</v>
      </c>
      <c r="L76" s="125">
        <f>VLOOKUP(A76,'Bateria indicadores proceso'!A:X,22,FALSE)</f>
        <v>0.39</v>
      </c>
      <c r="M76" s="125">
        <f>VLOOKUP(A76,'Bateria indicadores proceso'!A:X,23,FALSE)</f>
        <v>0.4</v>
      </c>
      <c r="N76" s="126">
        <f>VLOOKUP(A76,'Bateria indicadores proceso'!A:X,24,FALSE)</f>
        <v>0.4</v>
      </c>
      <c r="O76" s="126">
        <f>VLOOKUP(A76,'Bateria indicadores proceso'!A:AR,28,FALSE)</f>
        <v>0.41674282580881011</v>
      </c>
      <c r="P76" s="126">
        <f>VLOOKUP(A76,'Bateria indicadores proceso'!A:AR,29,FALSE)</f>
        <v>0.48</v>
      </c>
      <c r="Q76" s="126">
        <f>VLOOKUP(A76,'Bateria indicadores proceso'!A:AR,30,FALSE)</f>
        <v>0</v>
      </c>
      <c r="R76" s="126">
        <f>VLOOKUP(A76,'Bateria indicadores proceso'!A:AR,31,FALSE)</f>
        <v>0</v>
      </c>
      <c r="S76" s="126">
        <f>VLOOKUP(A76,'Bateria indicadores proceso'!A:AR,32,FALSE)</f>
        <v>0.47567993215821675</v>
      </c>
      <c r="T76" s="115">
        <f>VLOOKUP(A76,'Bateria indicadores proceso'!A:AT,45,FALSE)</f>
        <v>1.0000100000000001</v>
      </c>
      <c r="U76" s="119">
        <f>VLOOKUP(A76,'Bateria indicadores proceso'!A:AT,46,FALSE)</f>
        <v>1.0000100000000001</v>
      </c>
      <c r="V76" s="116">
        <f t="shared" si="2"/>
        <v>1.0000100000000001</v>
      </c>
      <c r="W76" s="116">
        <f t="shared" si="3"/>
        <v>1.0000100000000001</v>
      </c>
      <c r="X76" s="98"/>
      <c r="Y76" s="128" t="str">
        <f>IF(VLOOKUP(A76,'Bateria indicadores proceso'!A:AT,36,FALSE)="","No registro avance",VLOOKUP(A76,'Bateria indicadores proceso'!A:AT,36,FALSE))</f>
        <v>El indicador de oportunidad en la respuesta de PQRSDF se calcula mediante la fórmula: (Número de PQRSDF respondidas dentro de tiempo / Total de PQRSDF recibidas en el periodo) × 100. Para el segundo trimestre de 2026, el cálculo se realizó con 7.853 PQRSDF respondidas dentro de los términos establecidos, de un total de 16.509 PQRSDF recibidas, lo que da como resultado: 7.853 / 16.509 × 100 = 48%.
Este resultado evidencia un cumplimiento del 48%, reflejando un incremento de 6 puntos porcentuales frente al primer trimestre, como resultado de las acciones implementadas para fortalecer el seguimiento a la gestión de las PQRSDF, reducir el rezago de solicitudes pendientes y mejorar el monitoreo de los tiempos de respuesta por parte de las dependencias responsables.</v>
      </c>
      <c r="Z76" s="429" t="s">
        <v>1129</v>
      </c>
      <c r="AA76" s="129" t="str">
        <f>IF(VLOOKUP(A76,'Bateria indicadores proceso'!A:AT,37,FALSE)="","No reportó Evidencia",VLOOKUP(A76,'Bateria indicadores proceso'!A:AT,37,FALSE))</f>
        <v>https://mininteriorgovco.sharepoint.com/:f:/r/sites/EvidenciasOAP/Documentos%20compartidos/Evidencias%20Indicadores%20de%20Proceso%202026/01.%20Planeaci%C3%B3n,%20Direccionamiento%20Estrat%C3%A9gico%20y%20Comunicaciones/I%20Trimestre/Oficina%20de%20Informaci%C3%B3n%20P%C3%BAblica%20del%20Interior/Grupo%20Servicio%20al%20Ciudadano-%20Oficina%20de%20Informaci%C3%B3n%20P%C3%BAblica%20del%20Interior/Id0072?csf=1&amp;web=1&amp;e=3kMgVu</v>
      </c>
      <c r="AB76" s="425" t="s">
        <v>1130</v>
      </c>
    </row>
    <row r="77" spans="1:28" s="93" customFormat="1" ht="202.5" customHeight="1">
      <c r="A77" s="92" t="s">
        <v>217</v>
      </c>
      <c r="B77" s="112" t="str">
        <f>VLOOKUP(A77,'Bateria indicadores proceso'!A:X,2,FALSE)</f>
        <v>DE APOYO</v>
      </c>
      <c r="C77" s="113" t="str">
        <f>VLOOKUP(A77,'Bateria indicadores proceso'!A:X,3,FALSE)</f>
        <v>GESTIÓN TECNOLÓGICA</v>
      </c>
      <c r="D77" s="113" t="str">
        <f>VLOOKUP(A77,'Bateria indicadores proceso'!A:X,7,FALSE)</f>
        <v>Oficina de Información Pública del Interior</v>
      </c>
      <c r="E77" s="114">
        <f>VLOOKUP(A77,'Bateria indicadores proceso'!A:X,4,FALSE)</f>
        <v>1</v>
      </c>
      <c r="F77" s="114">
        <f>VLOOKUP(A77,'Bateria indicadores proceso'!A:X,6,FALSE)</f>
        <v>0.25</v>
      </c>
      <c r="G77" s="114" t="str">
        <f>VLOOKUP(A77,'Bateria indicadores proceso'!A:X,12,FALSE)</f>
        <v xml:space="preserve">Acciones de políticas de Gobierno Digital gestionadas									</v>
      </c>
      <c r="H77" s="114" t="str">
        <f>VLOOKUP(A77,'Bateria indicadores proceso'!A:AB,10,FALSE)</f>
        <v>Eficiencia</v>
      </c>
      <c r="I77" s="114" t="str">
        <f>VLOOKUP(A77,'Bateria indicadores proceso'!A:AB,16,FALSE)</f>
        <v>Porcentaje</v>
      </c>
      <c r="J77" s="125">
        <f>VLOOKUP(A77,'Bateria indicadores proceso'!A:X,20,FALSE)</f>
        <v>1</v>
      </c>
      <c r="K77" s="125">
        <f>VLOOKUP(A77,'Bateria indicadores proceso'!A:X,21,FALSE)</f>
        <v>1</v>
      </c>
      <c r="L77" s="125">
        <f>VLOOKUP(A77,'Bateria indicadores proceso'!A:X,22,FALSE)</f>
        <v>1</v>
      </c>
      <c r="M77" s="125">
        <f>VLOOKUP(A77,'Bateria indicadores proceso'!A:X,23,FALSE)</f>
        <v>1</v>
      </c>
      <c r="N77" s="126">
        <f>VLOOKUP(A77,'Bateria indicadores proceso'!A:X,24,FALSE)</f>
        <v>1</v>
      </c>
      <c r="O77" s="126">
        <f>VLOOKUP(A77,'Bateria indicadores proceso'!A:AR,28,FALSE)</f>
        <v>1</v>
      </c>
      <c r="P77" s="126">
        <f>VLOOKUP(A77,'Bateria indicadores proceso'!A:AR,29,FALSE)</f>
        <v>1</v>
      </c>
      <c r="Q77" s="126">
        <f>VLOOKUP(A77,'Bateria indicadores proceso'!A:AR,30,FALSE)</f>
        <v>0</v>
      </c>
      <c r="R77" s="126">
        <f>VLOOKUP(A77,'Bateria indicadores proceso'!A:AR,31,FALSE)</f>
        <v>0</v>
      </c>
      <c r="S77" s="126">
        <f>VLOOKUP(A77,'Bateria indicadores proceso'!A:AR,32,FALSE)</f>
        <v>1</v>
      </c>
      <c r="T77" s="115">
        <f>VLOOKUP(A77,'Bateria indicadores proceso'!A:AT,45,FALSE)</f>
        <v>1</v>
      </c>
      <c r="U77" s="119">
        <f>VLOOKUP(A77,'Bateria indicadores proceso'!A:AT,46,FALSE)</f>
        <v>1</v>
      </c>
      <c r="V77" s="116">
        <f t="shared" si="2"/>
        <v>0.25</v>
      </c>
      <c r="W77" s="116">
        <f t="shared" si="3"/>
        <v>0.25</v>
      </c>
      <c r="X77" s="98"/>
      <c r="Y77" s="128" t="str">
        <f>IF(VLOOKUP(A77,'Bateria indicadores proceso'!A:AT,36,FALSE)="","No registro avance",VLOOKUP(A77,'Bateria indicadores proceso'!A:AT,36,FALSE))</f>
        <v>En el marco del cumplimiento de la Política de Gobierno Digital, el Grupo de Sistemas de la Oficina de Información Pública (OIP) llevó a cabo la actualización continua de los contenidos de la sede electrónica del Ministerio del Interior. Para el II trimestre, el indicador se calculó con base en la publicación de 153 solicitudes en la sede electrónica, en relación con el total de solicitudes recibidas durante el periodo, multiplicado por cien.</v>
      </c>
      <c r="Z77" s="429" t="s">
        <v>1129</v>
      </c>
      <c r="AA77" s="129" t="str">
        <f>IF(VLOOKUP(A77,'Bateria indicadores proceso'!A:AT,37,FALSE)="","No reportó Evidencia",VLOOKUP(A77,'Bateria indicadores proceso'!A:AT,37,FALSE))</f>
        <v>https://mininteriorgovco-my.sharepoint.com/:b:/r/personal/yitcy_becerra_mininterior_gov_co/Documents/Planeaci%C3%B3n%20OIP%202026/04.%20Planeaci%C3%B3n%20Estrat%C3%A9gica/07.%20INDICADORES%20PROCESO%202026/INDICADORES%20PROCESO%202%20TRIMESTRE/GESTION%20TECNOLOGICA/Ind073/Ind073%20-%20Informe%20Publicaciones%20Sede%20Electr%C3%B3nica%20Abril%20-%20Junio.pdf?csf=1&amp;web=1&amp;e=dNtphv</v>
      </c>
      <c r="AB77" s="624" t="s">
        <v>1130</v>
      </c>
    </row>
    <row r="78" spans="1:28" s="93" customFormat="1" ht="202.5" customHeight="1">
      <c r="A78" s="92" t="s">
        <v>218</v>
      </c>
      <c r="B78" s="112" t="str">
        <f>VLOOKUP(A78,'Bateria indicadores proceso'!A:X,2,FALSE)</f>
        <v>DE APOYO</v>
      </c>
      <c r="C78" s="113" t="str">
        <f>VLOOKUP(A78,'Bateria indicadores proceso'!A:X,3,FALSE)</f>
        <v>GESTIÓN TECNOLÓGICA</v>
      </c>
      <c r="D78" s="113" t="str">
        <f>VLOOKUP(A78,'Bateria indicadores proceso'!A:X,7,FALSE)</f>
        <v>Oficina de Información Pública del Interior</v>
      </c>
      <c r="E78" s="114">
        <f>VLOOKUP(A78,'Bateria indicadores proceso'!A:X,4,FALSE)</f>
        <v>1</v>
      </c>
      <c r="F78" s="114">
        <f>VLOOKUP(A78,'Bateria indicadores proceso'!A:X,6,FALSE)</f>
        <v>0.25</v>
      </c>
      <c r="G78" s="114" t="str">
        <f>VLOOKUP(A78,'Bateria indicadores proceso'!A:X,12,FALSE)</f>
        <v>Índice de capacidad en la prestación de servicios</v>
      </c>
      <c r="H78" s="114" t="str">
        <f>VLOOKUP(A78,'Bateria indicadores proceso'!A:AB,10,FALSE)</f>
        <v>Eficiencia</v>
      </c>
      <c r="I78" s="114" t="str">
        <f>VLOOKUP(A78,'Bateria indicadores proceso'!A:AB,16,FALSE)</f>
        <v>Porcentaje</v>
      </c>
      <c r="J78" s="125">
        <f>VLOOKUP(A78,'Bateria indicadores proceso'!A:X,20,FALSE)</f>
        <v>1</v>
      </c>
      <c r="K78" s="125">
        <f>VLOOKUP(A78,'Bateria indicadores proceso'!A:X,21,FALSE)</f>
        <v>1</v>
      </c>
      <c r="L78" s="125">
        <f>VLOOKUP(A78,'Bateria indicadores proceso'!A:X,22,FALSE)</f>
        <v>1</v>
      </c>
      <c r="M78" s="125">
        <f>VLOOKUP(A78,'Bateria indicadores proceso'!A:X,23,FALSE)</f>
        <v>1</v>
      </c>
      <c r="N78" s="126">
        <f>VLOOKUP(A78,'Bateria indicadores proceso'!A:X,24,FALSE)</f>
        <v>1</v>
      </c>
      <c r="O78" s="126">
        <f>VLOOKUP(A78,'Bateria indicadores proceso'!A:AR,28,FALSE)</f>
        <v>1</v>
      </c>
      <c r="P78" s="126">
        <f>VLOOKUP(A78,'Bateria indicadores proceso'!A:AR,29,FALSE)</f>
        <v>1</v>
      </c>
      <c r="Q78" s="126">
        <f>VLOOKUP(A78,'Bateria indicadores proceso'!A:AR,30,FALSE)</f>
        <v>0</v>
      </c>
      <c r="R78" s="126">
        <f>VLOOKUP(A78,'Bateria indicadores proceso'!A:AR,31,FALSE)</f>
        <v>0</v>
      </c>
      <c r="S78" s="126">
        <f>VLOOKUP(A78,'Bateria indicadores proceso'!A:AR,32,FALSE)</f>
        <v>1</v>
      </c>
      <c r="T78" s="115">
        <f>VLOOKUP(A78,'Bateria indicadores proceso'!A:AT,45,FALSE)</f>
        <v>1</v>
      </c>
      <c r="U78" s="119">
        <f>VLOOKUP(A78,'Bateria indicadores proceso'!A:AT,46,FALSE)</f>
        <v>1</v>
      </c>
      <c r="V78" s="116">
        <f t="shared" si="2"/>
        <v>0.25</v>
      </c>
      <c r="W78" s="116">
        <f t="shared" si="3"/>
        <v>0.25</v>
      </c>
      <c r="X78" s="98"/>
      <c r="Y78" s="128" t="str">
        <f>IF(VLOOKUP(A78,'Bateria indicadores proceso'!A:AT,36,FALSE)="","No registro avance",VLOOKUP(A78,'Bateria indicadores proceso'!A:AT,36,FALSE))</f>
        <v>Durante el II trimestre de 2026 se gestionaron 1.222 solicitudes de soporte técnico, las cuales fueron atendidas y cerradas en su totalidad, alcanzando un 100 % de cumplimiento del indicador establecido.
La atención incluyó requerimientos relacionados con el soporte a usuarios, así como con la administración, operación y mantenimiento de la infraestructura tecnológica, comprendiendo servidores, bases de datos y demás componentes que soportan la prestación de los servicios tecnológicos institucionales.
En cuanto al comportamiento mensual, abril registró el mayor volumen de solicitudes con 427 requerimientos, seguido de junio con 416 y mayo con 379. Estos resultados evidencian la capacidad del Grupo de Sistemas de la Oficina de Información Pública para brindar una atención oportuna y efectiva, garantizando el cierre del 100 % de los casos registrados durante el período evaluado.</v>
      </c>
      <c r="Z78" s="429" t="s">
        <v>1129</v>
      </c>
      <c r="AA78" s="129" t="str">
        <f>IF(VLOOKUP(A78,'Bateria indicadores proceso'!A:AT,37,FALSE)="","No reportó Evidencia",VLOOKUP(A78,'Bateria indicadores proceso'!A:AT,37,FALSE))</f>
        <v>https://mininteriorgovco-my.sharepoint.com/:f:/r/personal/yitcy_becerra_mininterior_gov_co/Documents/Planeaci%C3%B3n%20OIP%202026/04.%20Planeaci%C3%B3n%20Estrat%C3%A9gica/07.%20INDICADORES%20PROCESO%202026/INDICADORES%20PROCESO%202%20TRIMESTRE/GESTION%20TECNOLOGICA/Ind074?csf=1&amp;web=1&amp;e=gZzQor</v>
      </c>
      <c r="AB78" s="624" t="s">
        <v>1130</v>
      </c>
    </row>
    <row r="79" spans="1:28" s="93" customFormat="1" ht="202.5" customHeight="1">
      <c r="A79" s="92" t="s">
        <v>219</v>
      </c>
      <c r="B79" s="112" t="str">
        <f>VLOOKUP(A79,'Bateria indicadores proceso'!A:X,2,FALSE)</f>
        <v>DE APOYO</v>
      </c>
      <c r="C79" s="113" t="str">
        <f>VLOOKUP(A79,'Bateria indicadores proceso'!A:X,3,FALSE)</f>
        <v>GESTIÓN TECNOLÓGICA</v>
      </c>
      <c r="D79" s="113" t="str">
        <f>VLOOKUP(A79,'Bateria indicadores proceso'!A:X,7,FALSE)</f>
        <v>Oficina de Información Pública del Interior</v>
      </c>
      <c r="E79" s="114">
        <f>VLOOKUP(A79,'Bateria indicadores proceso'!A:X,4,FALSE)</f>
        <v>1</v>
      </c>
      <c r="F79" s="114">
        <f>VLOOKUP(A79,'Bateria indicadores proceso'!A:X,6,FALSE)</f>
        <v>0.25</v>
      </c>
      <c r="G79" s="114" t="str">
        <f>VLOOKUP(A79,'Bateria indicadores proceso'!A:X,12,FALSE)</f>
        <v>Servicios de Conectividad y Colocación contratados en el Ministerio del Interior.</v>
      </c>
      <c r="H79" s="114" t="str">
        <f>VLOOKUP(A79,'Bateria indicadores proceso'!A:AB,10,FALSE)</f>
        <v>Eficacia</v>
      </c>
      <c r="I79" s="114" t="str">
        <f>VLOOKUP(A79,'Bateria indicadores proceso'!A:AB,16,FALSE)</f>
        <v>Porcentaje</v>
      </c>
      <c r="J79" s="125">
        <f>VLOOKUP(A79,'Bateria indicadores proceso'!A:X,20,FALSE)</f>
        <v>1</v>
      </c>
      <c r="K79" s="125">
        <f>VLOOKUP(A79,'Bateria indicadores proceso'!A:X,21,FALSE)</f>
        <v>1</v>
      </c>
      <c r="L79" s="125">
        <f>VLOOKUP(A79,'Bateria indicadores proceso'!A:X,22,FALSE)</f>
        <v>1</v>
      </c>
      <c r="M79" s="125">
        <f>VLOOKUP(A79,'Bateria indicadores proceso'!A:X,23,FALSE)</f>
        <v>1</v>
      </c>
      <c r="N79" s="126">
        <f>VLOOKUP(A79,'Bateria indicadores proceso'!A:X,24,FALSE)</f>
        <v>1</v>
      </c>
      <c r="O79" s="126">
        <f>VLOOKUP(A79,'Bateria indicadores proceso'!A:AR,28,FALSE)</f>
        <v>1</v>
      </c>
      <c r="P79" s="126">
        <f>VLOOKUP(A79,'Bateria indicadores proceso'!A:AR,29,FALSE)</f>
        <v>1</v>
      </c>
      <c r="Q79" s="126">
        <f>VLOOKUP(A79,'Bateria indicadores proceso'!A:AR,30,FALSE)</f>
        <v>0</v>
      </c>
      <c r="R79" s="126">
        <f>VLOOKUP(A79,'Bateria indicadores proceso'!A:AR,31,FALSE)</f>
        <v>0</v>
      </c>
      <c r="S79" s="126">
        <f>VLOOKUP(A79,'Bateria indicadores proceso'!A:AR,32,FALSE)</f>
        <v>1</v>
      </c>
      <c r="T79" s="115">
        <f>VLOOKUP(A79,'Bateria indicadores proceso'!A:AT,45,FALSE)</f>
        <v>1</v>
      </c>
      <c r="U79" s="119">
        <f>VLOOKUP(A79,'Bateria indicadores proceso'!A:AT,46,FALSE)</f>
        <v>1</v>
      </c>
      <c r="V79" s="116">
        <f t="shared" si="2"/>
        <v>0.25</v>
      </c>
      <c r="W79" s="116">
        <f t="shared" si="3"/>
        <v>0.25</v>
      </c>
      <c r="X79" s="98"/>
      <c r="Y79" s="128" t="str">
        <f>IF(VLOOKUP(A79,'Bateria indicadores proceso'!A:AT,36,FALSE)="","No registro avance",VLOOKUP(A79,'Bateria indicadores proceso'!A:AT,36,FALSE))</f>
        <v>Dado que se garantizó la disponibilidad del servicio de conectividad y soporte mediante contratos vigentes, se asegura la atención de la totalidad de los requerimientos recibidos durante el periodo, lo que permite inferir un cumplimiento del 100% del indicador, en la medida en que las solicitudes fueron atendidas conforme a la capacidad operativa.</v>
      </c>
      <c r="Z79" s="429" t="s">
        <v>1129</v>
      </c>
      <c r="AA79" s="129" t="str">
        <f>IF(VLOOKUP(A79,'Bateria indicadores proceso'!A:AT,37,FALSE)="","No reportó Evidencia",VLOOKUP(A79,'Bateria indicadores proceso'!A:AT,37,FALSE))</f>
        <v>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075?csf=1&amp;web=1&amp;e=HE0imH</v>
      </c>
      <c r="AB79" s="624" t="s">
        <v>1130</v>
      </c>
    </row>
    <row r="80" spans="1:28" s="93" customFormat="1" ht="202.5" customHeight="1">
      <c r="A80" s="92" t="s">
        <v>220</v>
      </c>
      <c r="B80" s="112" t="str">
        <f>VLOOKUP(A80,'Bateria indicadores proceso'!A:X,2,FALSE)</f>
        <v>DE APOYO</v>
      </c>
      <c r="C80" s="113" t="str">
        <f>VLOOKUP(A80,'Bateria indicadores proceso'!A:X,3,FALSE)</f>
        <v>GESTIÓN TECNOLÓGICA</v>
      </c>
      <c r="D80" s="113" t="str">
        <f>VLOOKUP(A80,'Bateria indicadores proceso'!A:X,7,FALSE)</f>
        <v>Oficina de Información Pública del Interior</v>
      </c>
      <c r="E80" s="114">
        <f>VLOOKUP(A80,'Bateria indicadores proceso'!A:X,4,FALSE)</f>
        <v>1</v>
      </c>
      <c r="F80" s="114">
        <f>VLOOKUP(A80,'Bateria indicadores proceso'!A:X,6,FALSE)</f>
        <v>0.25</v>
      </c>
      <c r="G80" s="114" t="str">
        <f>VLOOKUP(A80,'Bateria indicadores proceso'!A:X,12,FALSE)</f>
        <v>Cantidad de incidentes de seguridad gestionados</v>
      </c>
      <c r="H80" s="114" t="str">
        <f>VLOOKUP(A80,'Bateria indicadores proceso'!A:AB,10,FALSE)</f>
        <v>Eficacia</v>
      </c>
      <c r="I80" s="114" t="str">
        <f>VLOOKUP(A80,'Bateria indicadores proceso'!A:AB,16,FALSE)</f>
        <v>Porcentaje</v>
      </c>
      <c r="J80" s="125">
        <f>VLOOKUP(A80,'Bateria indicadores proceso'!A:X,20,FALSE)</f>
        <v>0.95</v>
      </c>
      <c r="K80" s="125">
        <f>VLOOKUP(A80,'Bateria indicadores proceso'!A:X,21,FALSE)</f>
        <v>0.95</v>
      </c>
      <c r="L80" s="125">
        <f>VLOOKUP(A80,'Bateria indicadores proceso'!A:X,22,FALSE)</f>
        <v>0.95</v>
      </c>
      <c r="M80" s="125">
        <f>VLOOKUP(A80,'Bateria indicadores proceso'!A:X,23,FALSE)</f>
        <v>0.95</v>
      </c>
      <c r="N80" s="126">
        <f>VLOOKUP(A80,'Bateria indicadores proceso'!A:X,24,FALSE)</f>
        <v>0.95</v>
      </c>
      <c r="O80" s="126">
        <f>VLOOKUP(A80,'Bateria indicadores proceso'!A:AR,28,FALSE)</f>
        <v>0.95</v>
      </c>
      <c r="P80" s="126">
        <f>VLOOKUP(A80,'Bateria indicadores proceso'!A:AR,29,FALSE)</f>
        <v>1</v>
      </c>
      <c r="Q80" s="126">
        <f>VLOOKUP(A80,'Bateria indicadores proceso'!A:AR,30,FALSE)</f>
        <v>0</v>
      </c>
      <c r="R80" s="126">
        <f>VLOOKUP(A80,'Bateria indicadores proceso'!A:AR,31,FALSE)</f>
        <v>0</v>
      </c>
      <c r="S80" s="126">
        <f>VLOOKUP(A80,'Bateria indicadores proceso'!A:AR,32,FALSE)</f>
        <v>0.95</v>
      </c>
      <c r="T80" s="115">
        <f>VLOOKUP(A80,'Bateria indicadores proceso'!A:AT,45,FALSE)</f>
        <v>1.0000100000000001</v>
      </c>
      <c r="U80" s="119">
        <f>VLOOKUP(A80,'Bateria indicadores proceso'!A:AT,46,FALSE)</f>
        <v>1</v>
      </c>
      <c r="V80" s="116">
        <f t="shared" si="2"/>
        <v>0.25000250000000002</v>
      </c>
      <c r="W80" s="116">
        <f t="shared" si="3"/>
        <v>0.25</v>
      </c>
      <c r="X80" s="98"/>
      <c r="Y80" s="128" t="str">
        <f>IF(VLOOKUP(A80,'Bateria indicadores proceso'!A:AT,36,FALSE)="","No registro avance",VLOOKUP(A80,'Bateria indicadores proceso'!A:AT,36,FALSE))</f>
        <v>Durante el primer trimestre de 2026, el Grupo de Sistemas de la OIP, mediante la herramienta antivirus Kaspersky, identificó un total de 95 amenazas de seguridad en los equipos informáticos de los usuarios finales. De estas, se logró aplicar control efectivo sobre el 95% de las amenazas detectadas, evidenciando la mitigación de la mayoría de los eventos de seguridad identificados durante el periodo evaluado.
De acuerdo con la fórmula del indicador (Número de amenazas de seguridad controladas / Número de amenazas de seguridad identificadas por la herramienta) * 100, el resultado alcanzado fue del 95%, lo que refleja un alto nivel de efectividad en la gestión de amenazas,</v>
      </c>
      <c r="Z80" s="429" t="s">
        <v>1129</v>
      </c>
      <c r="AA80" s="129" t="str">
        <f>IF(VLOOKUP(A80,'Bateria indicadores proceso'!A:AT,37,FALSE)="","No reportó Evidencia",VLOOKUP(A80,'Bateria indicadores proceso'!A:AT,37,FALSE))</f>
        <v>https://mininteriorgovco.sharepoint.com/:f:/r/sites/oficinadetecnologia/Documentos%20compartidos/General/Proyectos%20MININT/Direccionamiento%20Estrat%C3%A9gico%20OIPI/04.%20Gesti%C3%B3n%20Riesgos%20y%20Seguridad/01.%20Mejoramiento%20Continuo/06.%20Plan%20de%20Mejoramiento%20Por%20Procesos%20OIP%20GT/Indicadores%20de%20Proceso%202026.%20Gesti%C3%B3n%20Tecnolo%CC%81gica%20I%20Trimestre/Evidencia/Ind076?csf=1&amp;web=1&amp;e=17VdCX</v>
      </c>
      <c r="AB80" s="624" t="s">
        <v>1130</v>
      </c>
    </row>
    <row r="81" spans="1:30" s="93" customFormat="1" ht="202.5" customHeight="1">
      <c r="A81" s="92" t="s">
        <v>221</v>
      </c>
      <c r="B81" s="112" t="str">
        <f>VLOOKUP(A81,'Bateria indicadores proceso'!A:X,2,FALSE)</f>
        <v>DE APOYO</v>
      </c>
      <c r="C81" s="113" t="str">
        <f>VLOOKUP(A81,'Bateria indicadores proceso'!A:X,3,FALSE)</f>
        <v>GESTIÓN DOCUMENTAL Y ARCHIVO</v>
      </c>
      <c r="D81" s="113" t="str">
        <f>VLOOKUP(A81,'Bateria indicadores proceso'!A:X,7,FALSE)</f>
        <v>Subdirección Administrativa y Financiera</v>
      </c>
      <c r="E81" s="114">
        <f>VLOOKUP(A81,'Bateria indicadores proceso'!A:X,4,FALSE)</f>
        <v>1</v>
      </c>
      <c r="F81" s="114">
        <f>VLOOKUP(A81,'Bateria indicadores proceso'!A:X,6,FALSE)</f>
        <v>0.5</v>
      </c>
      <c r="G81" s="114" t="str">
        <f>VLOOKUP(A81,'Bateria indicadores proceso'!A:X,12,FALSE)</f>
        <v xml:space="preserve">Instrumentos archivísticos implementados en el Ministerio </v>
      </c>
      <c r="H81" s="114" t="str">
        <f>VLOOKUP(A81,'Bateria indicadores proceso'!A:AB,10,FALSE)</f>
        <v>Eficacia</v>
      </c>
      <c r="I81" s="114" t="str">
        <f>VLOOKUP(A81,'Bateria indicadores proceso'!A:AB,16,FALSE)</f>
        <v>Número</v>
      </c>
      <c r="J81" s="127">
        <f>VLOOKUP(A81,'Bateria indicadores proceso'!A:X,20,FALSE)</f>
        <v>2</v>
      </c>
      <c r="K81" s="127">
        <f>VLOOKUP(A81,'Bateria indicadores proceso'!A:X,21,FALSE)</f>
        <v>1</v>
      </c>
      <c r="L81" s="127">
        <f>VLOOKUP(A81,'Bateria indicadores proceso'!A:X,22,FALSE)</f>
        <v>0</v>
      </c>
      <c r="M81" s="127">
        <f>VLOOKUP(A81,'Bateria indicadores proceso'!A:X,23,FALSE)</f>
        <v>1</v>
      </c>
      <c r="N81" s="127">
        <f>VLOOKUP(A81,'Bateria indicadores proceso'!A:X,24,FALSE)</f>
        <v>4</v>
      </c>
      <c r="O81" s="127">
        <f>VLOOKUP(A81,'Bateria indicadores proceso'!A:AR,28,FALSE)</f>
        <v>2</v>
      </c>
      <c r="P81" s="127">
        <f>VLOOKUP(A81,'Bateria indicadores proceso'!A:AR,29,FALSE)</f>
        <v>1</v>
      </c>
      <c r="Q81" s="127">
        <f>VLOOKUP(A81,'Bateria indicadores proceso'!A:AR,30,FALSE)</f>
        <v>0</v>
      </c>
      <c r="R81" s="127">
        <f>VLOOKUP(A81,'Bateria indicadores proceso'!A:AR,31,FALSE)</f>
        <v>0</v>
      </c>
      <c r="S81" s="127">
        <f>VLOOKUP(A81,'Bateria indicadores proceso'!A:AR,32,FALSE)</f>
        <v>3</v>
      </c>
      <c r="T81" s="115">
        <f>VLOOKUP(A81,'Bateria indicadores proceso'!A:AT,45,FALSE)</f>
        <v>1</v>
      </c>
      <c r="U81" s="119">
        <f>VLOOKUP(A81,'Bateria indicadores proceso'!A:AT,46,FALSE)</f>
        <v>0.75</v>
      </c>
      <c r="V81" s="116">
        <f t="shared" si="2"/>
        <v>0.5</v>
      </c>
      <c r="W81" s="116">
        <f t="shared" si="3"/>
        <v>0.375</v>
      </c>
      <c r="X81" s="98"/>
      <c r="Y81" s="128" t="str">
        <f>IF(VLOOKUP(A81,'Bateria indicadores proceso'!A:AT,36,FALSE)="","No registro avance",VLOOKUP(A81,'Bateria indicadores proceso'!A:AT,36,FALSE))</f>
        <v>Durante el segundo trimestre de la vigencia 2026 se dio continuidad a la implementación de los instrumentos archivísticos institucionales mediante la aplicación del Formato Único de Inventario Documental (FUID) y el seguimiento a la implementación de las Tablas de Retención Documental (TRD). Así mismo, se realizó seguimiento al Plan Institucional de Archivos (PINAR) y al Programa de Gestión Documental (PGD), implementados durante el primer trimestre, verificando su aplicación y fortaleciendo las acciones orientadas a la adecuada gestión documental en el Ministerio del Interior.</v>
      </c>
      <c r="Z81" s="429" t="s">
        <v>1129</v>
      </c>
      <c r="AA81" s="129" t="str">
        <f>IF(VLOOKUP(A81,'Bateria indicadores proceso'!A:AT,37,FALSE)="","No reportó Evidencia",VLOOKUP(A81,'Bateria indicadores proceso'!A:AT,37,FALSE))</f>
        <v>Ind077</v>
      </c>
      <c r="AB81" s="425" t="s">
        <v>1130</v>
      </c>
    </row>
    <row r="82" spans="1:30" s="93" customFormat="1" ht="202.5" customHeight="1">
      <c r="A82" s="92" t="s">
        <v>222</v>
      </c>
      <c r="B82" s="112" t="str">
        <f>VLOOKUP(A82,'Bateria indicadores proceso'!A:X,2,FALSE)</f>
        <v>DE APOYO</v>
      </c>
      <c r="C82" s="113" t="str">
        <f>VLOOKUP(A82,'Bateria indicadores proceso'!A:X,3,FALSE)</f>
        <v>GESTIÓN DOCUMENTAL Y ARCHIVO</v>
      </c>
      <c r="D82" s="113" t="str">
        <f>VLOOKUP(A82,'Bateria indicadores proceso'!A:X,7,FALSE)</f>
        <v>Subdirección Administrativa y Financiera</v>
      </c>
      <c r="E82" s="114">
        <f>VLOOKUP(A82,'Bateria indicadores proceso'!A:X,4,FALSE)</f>
        <v>1</v>
      </c>
      <c r="F82" s="114">
        <f>VLOOKUP(A82,'Bateria indicadores proceso'!A:X,6,FALSE)</f>
        <v>0.5</v>
      </c>
      <c r="G82" s="114" t="str">
        <f>VLOOKUP(A82,'Bateria indicadores proceso'!A:X,12,FALSE)</f>
        <v xml:space="preserve">Documentos transferidos del archivo de gestión al archivo central </v>
      </c>
      <c r="H82" s="114" t="str">
        <f>VLOOKUP(A82,'Bateria indicadores proceso'!A:AB,10,FALSE)</f>
        <v>Efectividad</v>
      </c>
      <c r="I82" s="114" t="str">
        <f>VLOOKUP(A82,'Bateria indicadores proceso'!A:AB,16,FALSE)</f>
        <v>Porcentaje</v>
      </c>
      <c r="J82" s="125">
        <f>VLOOKUP(A82,'Bateria indicadores proceso'!A:X,20,FALSE)</f>
        <v>0</v>
      </c>
      <c r="K82" s="125">
        <f>VLOOKUP(A82,'Bateria indicadores proceso'!A:X,21,FALSE)</f>
        <v>0</v>
      </c>
      <c r="L82" s="125">
        <f>VLOOKUP(A82,'Bateria indicadores proceso'!A:X,22,FALSE)</f>
        <v>0</v>
      </c>
      <c r="M82" s="125">
        <f>VLOOKUP(A82,'Bateria indicadores proceso'!A:X,23,FALSE)</f>
        <v>1</v>
      </c>
      <c r="N82" s="126">
        <f>VLOOKUP(A82,'Bateria indicadores proceso'!A:X,24,FALSE)</f>
        <v>1</v>
      </c>
      <c r="O82" s="126">
        <f>VLOOKUP(A82,'Bateria indicadores proceso'!A:AR,28,FALSE)</f>
        <v>0</v>
      </c>
      <c r="P82" s="126">
        <f>VLOOKUP(A82,'Bateria indicadores proceso'!A:AR,29,FALSE)</f>
        <v>0</v>
      </c>
      <c r="Q82" s="126">
        <f>VLOOKUP(A82,'Bateria indicadores proceso'!A:AR,30,FALSE)</f>
        <v>0</v>
      </c>
      <c r="R82" s="126">
        <f>VLOOKUP(A82,'Bateria indicadores proceso'!A:AR,31,FALSE)</f>
        <v>0</v>
      </c>
      <c r="S82" s="126">
        <f>VLOOKUP(A82,'Bateria indicadores proceso'!A:AR,32,FALSE)</f>
        <v>0</v>
      </c>
      <c r="T82" s="115" t="str">
        <f>VLOOKUP(A82,'Bateria indicadores proceso'!A:AT,45,FALSE)</f>
        <v>No aplica, no hay meta</v>
      </c>
      <c r="U82" s="119">
        <f>VLOOKUP(A82,'Bateria indicadores proceso'!A:AT,46,FALSE)</f>
        <v>0</v>
      </c>
      <c r="V82" s="116">
        <f t="shared" si="2"/>
        <v>0.5</v>
      </c>
      <c r="W82" s="116">
        <f t="shared" si="3"/>
        <v>0</v>
      </c>
      <c r="X82" s="98"/>
      <c r="Y82" s="128" t="str">
        <f>IF(VLOOKUP(A82,'Bateria indicadores proceso'!A:AT,36,FALSE)="","No registro avance",VLOOKUP(A82,'Bateria indicadores proceso'!A:AT,36,FALSE))</f>
        <v>Actividad programada para el cuarto trimestre de 2026</v>
      </c>
      <c r="Z82" s="428" t="s">
        <v>1131</v>
      </c>
      <c r="AA82" s="129" t="str">
        <f>IF(VLOOKUP(A82,'Bateria indicadores proceso'!A:AT,37,FALSE)="","No reportó Evidencia",VLOOKUP(A82,'Bateria indicadores proceso'!A:AT,37,FALSE))</f>
        <v>N/A</v>
      </c>
      <c r="AB82" s="425" t="s">
        <v>1133</v>
      </c>
    </row>
    <row r="83" spans="1:30" s="4" customFormat="1" ht="202.5" customHeight="1">
      <c r="A83" s="92" t="s">
        <v>223</v>
      </c>
      <c r="B83" s="112" t="str">
        <f>VLOOKUP(A83,'Bateria indicadores proceso'!A:X,2,FALSE)</f>
        <v>DE APOYO</v>
      </c>
      <c r="C83" s="113" t="str">
        <f>VLOOKUP(A83,'Bateria indicadores proceso'!A:X,3,FALSE)</f>
        <v>GESTIÓN DE ASUNTOS DISCIPLINARIOS</v>
      </c>
      <c r="D83" s="113" t="str">
        <f>VLOOKUP(A83,'Bateria indicadores proceso'!A:X,7,FALSE)</f>
        <v>Oficina de Control Disciplinario Interno</v>
      </c>
      <c r="E83" s="114">
        <f>VLOOKUP(A83,'Bateria indicadores proceso'!A:X,4,FALSE)</f>
        <v>1</v>
      </c>
      <c r="F83" s="114">
        <f>VLOOKUP(A83,'Bateria indicadores proceso'!A:X,6,FALSE)</f>
        <v>0.6</v>
      </c>
      <c r="G83" s="114" t="str">
        <f>VLOOKUP(A83,'Bateria indicadores proceso'!A:X,12,FALSE)</f>
        <v>Quejas, Informes o Expedientes Disciplinarios tramitados</v>
      </c>
      <c r="H83" s="114" t="str">
        <f>VLOOKUP(A83,'Bateria indicadores proceso'!A:AB,10,FALSE)</f>
        <v>Eficiencia</v>
      </c>
      <c r="I83" s="114" t="str">
        <f>VLOOKUP(A83,'Bateria indicadores proceso'!A:AB,16,FALSE)</f>
        <v>Porcentaje</v>
      </c>
      <c r="J83" s="125">
        <f>VLOOKUP(A83,'Bateria indicadores proceso'!A:X,20,FALSE)</f>
        <v>1</v>
      </c>
      <c r="K83" s="125">
        <f>VLOOKUP(A83,'Bateria indicadores proceso'!A:X,21,FALSE)</f>
        <v>1</v>
      </c>
      <c r="L83" s="125">
        <f>VLOOKUP(A83,'Bateria indicadores proceso'!A:X,22,FALSE)</f>
        <v>1</v>
      </c>
      <c r="M83" s="125">
        <f>VLOOKUP(A83,'Bateria indicadores proceso'!A:X,23,FALSE)</f>
        <v>1</v>
      </c>
      <c r="N83" s="126">
        <f>VLOOKUP(A83,'Bateria indicadores proceso'!A:X,24,FALSE)</f>
        <v>1</v>
      </c>
      <c r="O83" s="126">
        <f>VLOOKUP(A83,'Bateria indicadores proceso'!A:AR,28,FALSE)</f>
        <v>1</v>
      </c>
      <c r="P83" s="126">
        <f>VLOOKUP(A83,'Bateria indicadores proceso'!A:AR,29,FALSE)</f>
        <v>1</v>
      </c>
      <c r="Q83" s="126">
        <f>VLOOKUP(A83,'Bateria indicadores proceso'!A:AR,30,FALSE)</f>
        <v>0</v>
      </c>
      <c r="R83" s="126">
        <f>VLOOKUP(A83,'Bateria indicadores proceso'!A:AR,31,FALSE)</f>
        <v>0</v>
      </c>
      <c r="S83" s="126">
        <f>VLOOKUP(A83,'Bateria indicadores proceso'!A:AR,32,FALSE)</f>
        <v>1</v>
      </c>
      <c r="T83" s="115">
        <f>VLOOKUP(A83,'Bateria indicadores proceso'!A:AT,45,FALSE)</f>
        <v>1</v>
      </c>
      <c r="U83" s="119">
        <f>VLOOKUP(A83,'Bateria indicadores proceso'!A:AT,46,FALSE)</f>
        <v>1</v>
      </c>
      <c r="V83" s="116">
        <f t="shared" si="2"/>
        <v>0.6</v>
      </c>
      <c r="W83" s="116">
        <f t="shared" si="3"/>
        <v>0.6</v>
      </c>
      <c r="X83" s="98"/>
      <c r="Y83" s="128" t="str">
        <f>IF(VLOOKUP(A83,'Bateria indicadores proceso'!A:AT,36,FALSE)="","No registro avance",VLOOKUP(A83,'Bateria indicadores proceso'!A:AT,36,FALSE))</f>
        <v>Durante el II Trimestre de 2026 se tramitaron 82 procesos y/o actuaciones disciplinarias de 82 procesos y/o actuaciones disciplinarias recibidos, para un cumplimiento del 100%. En el mes de abril se tramitaron 25 procesos y/o actuaciones disciplinarias de 25 procesos  recibidos; en el mes de mayo se tramitaron 30 procesos y/o actuaciones disciplinarias de 30 procesos  recibidos; y en el mes de junio se tramitaron 27 procesos y/o actuaciones disciplinarias de 27 procesos  recibidos.</v>
      </c>
      <c r="Z83" s="429" t="s">
        <v>1129</v>
      </c>
      <c r="AA83" s="129" t="str">
        <f>IF(VLOOKUP(A83,'Bateria indicadores proceso'!A:AT,37,FALSE)="","No reportó Evidencia",VLOOKUP(A83,'Bateria indicadores proceso'!A:AT,37,FALSE))</f>
        <v xml:space="preserve">Carpetas físicas ubicadas en la Oficina de Control Disciplinario Interno, lo anterior porque esta información es de reverva, pues contiene información confidencial. https://mininteriorgovco.sharepoint.com/:f:/r/sites/EvidenciasOAP/Documentos%20compartidos/Evidencias%20Indicadores%20de%20Proceso%202026/13.%20Gesti%C3%B3n%20de%20Asuntos%20Disciplinarios/II%20Trimestre/Ind.%20079?csf=1&amp;web=1&amp;e=nFVYRl </v>
      </c>
      <c r="AB83" s="425" t="s">
        <v>1136</v>
      </c>
    </row>
    <row r="84" spans="1:30" s="4" customFormat="1" ht="202.5" customHeight="1">
      <c r="A84" s="92" t="s">
        <v>224</v>
      </c>
      <c r="B84" s="112" t="str">
        <f>VLOOKUP(A84,'Bateria indicadores proceso'!A:X,2,FALSE)</f>
        <v>DE APOYO</v>
      </c>
      <c r="C84" s="113" t="str">
        <f>VLOOKUP(A84,'Bateria indicadores proceso'!A:X,3,FALSE)</f>
        <v>GESTIÓN DE ASUNTOS DISCIPLINARIOS</v>
      </c>
      <c r="D84" s="113" t="str">
        <f>VLOOKUP(A84,'Bateria indicadores proceso'!A:X,7,FALSE)</f>
        <v>Oficina de Control Disciplinario Interno</v>
      </c>
      <c r="E84" s="114">
        <f>VLOOKUP(A84,'Bateria indicadores proceso'!A:X,4,FALSE)</f>
        <v>1</v>
      </c>
      <c r="F84" s="114">
        <f>VLOOKUP(A84,'Bateria indicadores proceso'!A:X,6,FALSE)</f>
        <v>0.3</v>
      </c>
      <c r="G84" s="114" t="str">
        <f>VLOOKUP(A84,'Bateria indicadores proceso'!A:X,12,FALSE)</f>
        <v>Capacitaciones presenciales o virtuales realizadas</v>
      </c>
      <c r="H84" s="114" t="str">
        <f>VLOOKUP(A84,'Bateria indicadores proceso'!A:AB,10,FALSE)</f>
        <v>Eficacia</v>
      </c>
      <c r="I84" s="114" t="str">
        <f>VLOOKUP(A84,'Bateria indicadores proceso'!A:AB,16,FALSE)</f>
        <v>Número</v>
      </c>
      <c r="J84" s="127">
        <f>VLOOKUP(A84,'Bateria indicadores proceso'!A:X,20,FALSE)</f>
        <v>1</v>
      </c>
      <c r="K84" s="127">
        <f>VLOOKUP(A84,'Bateria indicadores proceso'!A:X,21,FALSE)</f>
        <v>1</v>
      </c>
      <c r="L84" s="127">
        <f>VLOOKUP(A84,'Bateria indicadores proceso'!A:X,22,FALSE)</f>
        <v>1</v>
      </c>
      <c r="M84" s="127">
        <f>VLOOKUP(A84,'Bateria indicadores proceso'!A:X,23,FALSE)</f>
        <v>1</v>
      </c>
      <c r="N84" s="127">
        <f>VLOOKUP(A84,'Bateria indicadores proceso'!A:X,24,FALSE)</f>
        <v>4</v>
      </c>
      <c r="O84" s="127">
        <f>VLOOKUP(A84,'Bateria indicadores proceso'!A:AR,28,FALSE)</f>
        <v>1</v>
      </c>
      <c r="P84" s="127">
        <f>VLOOKUP(A84,'Bateria indicadores proceso'!A:AR,29,FALSE)</f>
        <v>1</v>
      </c>
      <c r="Q84" s="127">
        <f>VLOOKUP(A84,'Bateria indicadores proceso'!A:AR,30,FALSE)</f>
        <v>0</v>
      </c>
      <c r="R84" s="127">
        <f>VLOOKUP(A84,'Bateria indicadores proceso'!A:AR,31,FALSE)</f>
        <v>0</v>
      </c>
      <c r="S84" s="127">
        <f>VLOOKUP(A84,'Bateria indicadores proceso'!A:AR,32,FALSE)</f>
        <v>2</v>
      </c>
      <c r="T84" s="115">
        <f>VLOOKUP(A84,'Bateria indicadores proceso'!A:AT,45,FALSE)</f>
        <v>1</v>
      </c>
      <c r="U84" s="119">
        <f>VLOOKUP(A84,'Bateria indicadores proceso'!A:AT,46,FALSE)</f>
        <v>0.5</v>
      </c>
      <c r="V84" s="116">
        <f t="shared" si="2"/>
        <v>0.3</v>
      </c>
      <c r="W84" s="116">
        <f t="shared" si="3"/>
        <v>0.15</v>
      </c>
      <c r="X84" s="98"/>
      <c r="Y84" s="128" t="str">
        <f>IF(VLOOKUP(A84,'Bateria indicadores proceso'!A:AT,36,FALSE)="","No registro avance",VLOOKUP(A84,'Bateria indicadores proceso'!A:AT,36,FALSE))</f>
        <v>Durante el II trimestre de la vigencia 2026, se realizó una capacitación programada sobre Generalidades del  Derecho Disciplinario. Gestion realizada al personal de la Subdireccion de Gestion Humana el 18 de junio de 2026.</v>
      </c>
      <c r="Z84" s="429" t="s">
        <v>1129</v>
      </c>
      <c r="AA84" s="129" t="str">
        <f>IF(VLOOKUP(A84,'Bateria indicadores proceso'!A:AT,37,FALSE)="","No reportó Evidencia",VLOOKUP(A84,'Bateria indicadores proceso'!A:AT,37,FALSE))</f>
        <v>https://mininteriorgovco.sharepoint.com/:f:/s/EvidenciasOAP/IgDVcl9yra6IS42HKWhdlxuRAS-xWd-h1YDI-lapnDXOyAs?e=GlXeDr</v>
      </c>
      <c r="AB84" s="425" t="s">
        <v>1136</v>
      </c>
    </row>
    <row r="85" spans="1:30" s="93" customFormat="1" ht="202.5" customHeight="1">
      <c r="A85" s="92" t="s">
        <v>1052</v>
      </c>
      <c r="B85" s="112" t="str">
        <f>VLOOKUP(A85,'Bateria indicadores proceso'!A:X,2,FALSE)</f>
        <v>DE APOYO</v>
      </c>
      <c r="C85" s="113" t="str">
        <f>VLOOKUP(A85,'Bateria indicadores proceso'!A:X,3,FALSE)</f>
        <v>GESTIÓN DE ASUNTOS DISCIPLINARIOS</v>
      </c>
      <c r="D85" s="113" t="str">
        <f>VLOOKUP(A85,'Bateria indicadores proceso'!A:X,7,FALSE)</f>
        <v>Oficina de Control Disciplinario Interno</v>
      </c>
      <c r="E85" s="114">
        <f>VLOOKUP(A85,'Bateria indicadores proceso'!A:X,4,FALSE)</f>
        <v>1</v>
      </c>
      <c r="F85" s="114">
        <f>VLOOKUP(A85,'Bateria indicadores proceso'!A:X,6,FALSE)</f>
        <v>0.1</v>
      </c>
      <c r="G85" s="114" t="str">
        <f>VLOOKUP(A85,'Bateria indicadores proceso'!A:X,12,FALSE)</f>
        <v>Material publicitario diseñado y enviado</v>
      </c>
      <c r="H85" s="114" t="str">
        <f>VLOOKUP(A85,'Bateria indicadores proceso'!A:AB,10,FALSE)</f>
        <v>Eficiencia</v>
      </c>
      <c r="I85" s="114" t="str">
        <f>VLOOKUP(A85,'Bateria indicadores proceso'!A:AB,16,FALSE)</f>
        <v>Número</v>
      </c>
      <c r="J85" s="127">
        <f>VLOOKUP(A85,'Bateria indicadores proceso'!A:X,20,FALSE)</f>
        <v>4</v>
      </c>
      <c r="K85" s="127">
        <f>VLOOKUP(A85,'Bateria indicadores proceso'!A:X,21,FALSE)</f>
        <v>4</v>
      </c>
      <c r="L85" s="127">
        <f>VLOOKUP(A85,'Bateria indicadores proceso'!A:X,22,FALSE)</f>
        <v>4</v>
      </c>
      <c r="M85" s="127">
        <f>VLOOKUP(A85,'Bateria indicadores proceso'!A:X,23,FALSE)</f>
        <v>4</v>
      </c>
      <c r="N85" s="127">
        <f>VLOOKUP(A85,'Bateria indicadores proceso'!A:X,24,FALSE)</f>
        <v>16</v>
      </c>
      <c r="O85" s="127">
        <f>VLOOKUP(A85,'Bateria indicadores proceso'!A:AR,28,FALSE)</f>
        <v>4</v>
      </c>
      <c r="P85" s="127">
        <f>VLOOKUP(A85,'Bateria indicadores proceso'!A:AR,29,FALSE)</f>
        <v>4</v>
      </c>
      <c r="Q85" s="127">
        <f>VLOOKUP(A85,'Bateria indicadores proceso'!A:AR,30,FALSE)</f>
        <v>0</v>
      </c>
      <c r="R85" s="127">
        <f>VLOOKUP(A85,'Bateria indicadores proceso'!A:AR,31,FALSE)</f>
        <v>0</v>
      </c>
      <c r="S85" s="127">
        <f>VLOOKUP(A85,'Bateria indicadores proceso'!A:AR,32,FALSE)</f>
        <v>8</v>
      </c>
      <c r="T85" s="115">
        <f>VLOOKUP(A85,'Bateria indicadores proceso'!A:AT,45,FALSE)</f>
        <v>1</v>
      </c>
      <c r="U85" s="119">
        <f>VLOOKUP(A85,'Bateria indicadores proceso'!A:AT,46,FALSE)</f>
        <v>0.5</v>
      </c>
      <c r="V85" s="116">
        <f t="shared" si="2"/>
        <v>0.1</v>
      </c>
      <c r="W85" s="116">
        <f t="shared" si="3"/>
        <v>0.05</v>
      </c>
      <c r="X85" s="98"/>
      <c r="Y85" s="128" t="str">
        <f>IF(VLOOKUP(A85,'Bateria indicadores proceso'!A:AT,36,FALSE)="","No registro avance",VLOOKUP(A85,'Bateria indicadores proceso'!A:AT,36,FALSE))</f>
        <v>Durante el II trimestre de la vigencia 2026, se realizaron 4 publicaciones relacionados con prevencion de la Accion Disciplinaria, cuyo contenido corresponde: 1. ¿Tienes conocimiento cual es la finalidad de la Accion Disciplinaria? el 11 de junio de 2026; 2. ¿Sabes que conductas pueden llegar a ser catalogadas como Faltas Disciplinarias? el 16 de junio de2026; 3. ¿Solo puedes cometer una falta disciplinaria cuando realizas o ejecutas una conducta? el 19 de junio de 2026; y 4. ¿Tienes claros cuales son tus deberes como servidor publico adscrito al Ministerio del Interior? el 22 de junio de 2026.</v>
      </c>
      <c r="Z85" s="429" t="s">
        <v>1129</v>
      </c>
      <c r="AA85" s="129" t="str">
        <f>IF(VLOOKUP(A85,'Bateria indicadores proceso'!A:AT,37,FALSE)="","No reportó Evidencia",VLOOKUP(A85,'Bateria indicadores proceso'!A:AT,37,FALSE))</f>
        <v>https://mininteriorgovco.sharepoint.com/:f:/s/EvidenciasOAP/IgBcBUkEnO4CRLN1qDC8lBFJASAPRBQWgBsMwslI1qXa7qY?e=z5tUnZ</v>
      </c>
      <c r="AB85" s="425" t="s">
        <v>1136</v>
      </c>
    </row>
    <row r="86" spans="1:30" s="93" customFormat="1" ht="202.5" customHeight="1">
      <c r="A86" s="92" t="s">
        <v>1061</v>
      </c>
      <c r="B86" s="112" t="str">
        <f>VLOOKUP(A86,'Bateria indicadores proceso'!A:X,2,FALSE)</f>
        <v>EVALUACIÓN</v>
      </c>
      <c r="C86" s="113" t="str">
        <f>VLOOKUP(A86,'Bateria indicadores proceso'!A:X,3,FALSE)</f>
        <v>SEGUIMIENTO Y EVALUACIÓN A LA GESTIÓN</v>
      </c>
      <c r="D86" s="113" t="str">
        <f>VLOOKUP(A86,'Bateria indicadores proceso'!A:X,7,FALSE)</f>
        <v>Oficina de Control Interno</v>
      </c>
      <c r="E86" s="114">
        <f>VLOOKUP(A86,'Bateria indicadores proceso'!A:X,4,FALSE)</f>
        <v>1</v>
      </c>
      <c r="F86" s="114">
        <f>VLOOKUP(A86,'Bateria indicadores proceso'!A:X,6,FALSE)</f>
        <v>0.8</v>
      </c>
      <c r="G86" s="114" t="str">
        <f>VLOOKUP(A86,'Bateria indicadores proceso'!A:X,12,FALSE)</f>
        <v>Actividades Cumplidas Oportunamente del Plan Anual de Auditorías Independientes</v>
      </c>
      <c r="H86" s="114" t="str">
        <f>VLOOKUP(A86,'Bateria indicadores proceso'!A:AB,10,FALSE)</f>
        <v>Eficiencia</v>
      </c>
      <c r="I86" s="114" t="str">
        <f>VLOOKUP(A86,'Bateria indicadores proceso'!A:AB,16,FALSE)</f>
        <v>Porcentaje</v>
      </c>
      <c r="J86" s="125">
        <f>VLOOKUP(A86,'Bateria indicadores proceso'!A:X,20,FALSE)</f>
        <v>1</v>
      </c>
      <c r="K86" s="125">
        <f>VLOOKUP(A86,'Bateria indicadores proceso'!A:X,21,FALSE)</f>
        <v>1</v>
      </c>
      <c r="L86" s="125">
        <f>VLOOKUP(A86,'Bateria indicadores proceso'!A:X,22,FALSE)</f>
        <v>1</v>
      </c>
      <c r="M86" s="125">
        <f>VLOOKUP(A86,'Bateria indicadores proceso'!A:X,23,FALSE)</f>
        <v>1</v>
      </c>
      <c r="N86" s="126">
        <f>VLOOKUP(A86,'Bateria indicadores proceso'!A:X,24,FALSE)</f>
        <v>1</v>
      </c>
      <c r="O86" s="126">
        <f>VLOOKUP(A86,'Bateria indicadores proceso'!A:AR,28,FALSE)</f>
        <v>1</v>
      </c>
      <c r="P86" s="126">
        <f>VLOOKUP(A86,'Bateria indicadores proceso'!A:AR,29,FALSE)</f>
        <v>1</v>
      </c>
      <c r="Q86" s="126">
        <f>VLOOKUP(A86,'Bateria indicadores proceso'!A:AR,30,FALSE)</f>
        <v>0</v>
      </c>
      <c r="R86" s="126">
        <f>VLOOKUP(A86,'Bateria indicadores proceso'!A:AR,31,FALSE)</f>
        <v>0</v>
      </c>
      <c r="S86" s="126">
        <f>VLOOKUP(A86,'Bateria indicadores proceso'!A:AR,32,FALSE)</f>
        <v>1</v>
      </c>
      <c r="T86" s="115">
        <f>VLOOKUP(A86,'Bateria indicadores proceso'!A:AT,45,FALSE)</f>
        <v>1</v>
      </c>
      <c r="U86" s="119">
        <f>VLOOKUP(A86,'Bateria indicadores proceso'!A:AT,46,FALSE)</f>
        <v>1</v>
      </c>
      <c r="V86" s="116">
        <f t="shared" si="2"/>
        <v>0.8</v>
      </c>
      <c r="W86" s="116">
        <f t="shared" si="3"/>
        <v>0.8</v>
      </c>
      <c r="X86" s="98"/>
      <c r="Y86" s="128" t="str">
        <f>IF(VLOOKUP(A86,'Bateria indicadores proceso'!A:AT,36,FALSE)="","No registro avance",VLOOKUP(A86,'Bateria indicadores proceso'!A:AT,36,FALSE))</f>
        <v>Durante el segundo trimestre de la vigencia 2026, se ejecutó a satisfacción en el 100% de las actividades programadas, así: 2 auditorías independientes , 13 informes de ley y/o normativos, 14 informes de seguimiento y  la participación en un comité sectorial.</v>
      </c>
      <c r="Z86" s="429" t="s">
        <v>1129</v>
      </c>
      <c r="AA86" s="129" t="str">
        <f>IF(VLOOKUP(A86,'Bateria indicadores proceso'!A:AT,37,FALSE)="","No reportó Evidencia",VLOOKUP(A86,'Bateria indicadores proceso'!A:AT,37,FALSE))</f>
        <v>https://mininteriorgovco.sharepoint.com/:f:/r/sites/EvidenciasOAP/Documentos%20compartidos/Evidencias%20Indicadores%20de%20Proceso%202026/14.%20Seguimiento%20y%20Evaluaci%C3%B3n%20a%20la%20Gesti%C3%B3n/II%20Trimestre/Ind.%20082?csf=1&amp;web=1&amp;e=dc4eDz</v>
      </c>
      <c r="AB86" s="425" t="s">
        <v>1136</v>
      </c>
      <c r="AD86" s="96"/>
    </row>
    <row r="87" spans="1:30" s="93" customFormat="1" ht="202.5" customHeight="1">
      <c r="A87" s="92" t="s">
        <v>1074</v>
      </c>
      <c r="B87" s="112" t="str">
        <f>VLOOKUP(A87,'Bateria indicadores proceso'!A:X,2,FALSE)</f>
        <v>EVALUACIÓN</v>
      </c>
      <c r="C87" s="113" t="str">
        <f>VLOOKUP(A87,'Bateria indicadores proceso'!A:X,3,FALSE)</f>
        <v>SEGUIMIENTO Y EVALUACIÓN A LA GESTIÓN</v>
      </c>
      <c r="D87" s="113" t="str">
        <f>VLOOKUP(A87,'Bateria indicadores proceso'!A:X,7,FALSE)</f>
        <v>Oficina de Control Interno</v>
      </c>
      <c r="E87" s="114">
        <f>VLOOKUP(A87,'Bateria indicadores proceso'!A:X,4,FALSE)</f>
        <v>1</v>
      </c>
      <c r="F87" s="114">
        <f>VLOOKUP(A87,'Bateria indicadores proceso'!A:X,6,FALSE)</f>
        <v>0.2</v>
      </c>
      <c r="G87" s="114" t="str">
        <f>VLOOKUP(A87,'Bateria indicadores proceso'!A:X,12,FALSE)</f>
        <v>Plan Anual de Auditorías con seguimiento trimestral</v>
      </c>
      <c r="H87" s="114" t="str">
        <f>VLOOKUP(A87,'Bateria indicadores proceso'!A:AB,10,FALSE)</f>
        <v>Efectividad</v>
      </c>
      <c r="I87" s="114" t="str">
        <f>VLOOKUP(A87,'Bateria indicadores proceso'!A:AB,16,FALSE)</f>
        <v>Porcentaje</v>
      </c>
      <c r="J87" s="125">
        <f>VLOOKUP(A87,'Bateria indicadores proceso'!A:X,20,FALSE)</f>
        <v>0.05</v>
      </c>
      <c r="K87" s="125">
        <f>VLOOKUP(A87,'Bateria indicadores proceso'!A:X,21,FALSE)</f>
        <v>0.1</v>
      </c>
      <c r="L87" s="125">
        <f>VLOOKUP(A87,'Bateria indicadores proceso'!A:X,22,FALSE)</f>
        <v>0.15</v>
      </c>
      <c r="M87" s="125">
        <f>VLOOKUP(A87,'Bateria indicadores proceso'!A:X,23,FALSE)</f>
        <v>0.2</v>
      </c>
      <c r="N87" s="126">
        <f>VLOOKUP(A87,'Bateria indicadores proceso'!A:X,24,FALSE)</f>
        <v>0.2</v>
      </c>
      <c r="O87" s="126" t="str">
        <f>VLOOKUP(A87,'Bateria indicadores proceso'!A:AR,28,FALSE)</f>
        <v>53.57%</v>
      </c>
      <c r="P87" s="126">
        <f>VLOOKUP(A87,'Bateria indicadores proceso'!A:AR,29,FALSE)</f>
        <v>0.47</v>
      </c>
      <c r="Q87" s="126">
        <f>VLOOKUP(A87,'Bateria indicadores proceso'!A:AR,30,FALSE)</f>
        <v>0</v>
      </c>
      <c r="R87" s="126">
        <f>VLOOKUP(A87,'Bateria indicadores proceso'!A:AR,31,FALSE)</f>
        <v>0</v>
      </c>
      <c r="S87" s="126">
        <f>VLOOKUP(A87,'Bateria indicadores proceso'!A:AR,32,FALSE)</f>
        <v>1</v>
      </c>
      <c r="T87" s="115" t="str">
        <f>VLOOKUP(A87,'Bateria indicadores proceso'!A:AT,45,FALSE)</f>
        <v>Revisar fórmula</v>
      </c>
      <c r="U87" s="119" t="str">
        <f>VLOOKUP(A87,'Bateria indicadores proceso'!A:AT,46,FALSE)</f>
        <v>Revisar fórmula</v>
      </c>
      <c r="V87" s="116">
        <f t="shared" si="2"/>
        <v>0.2</v>
      </c>
      <c r="W87" s="116">
        <f t="shared" si="3"/>
        <v>0.2</v>
      </c>
      <c r="X87" s="98"/>
      <c r="Y87" s="128" t="str">
        <f>IF(VLOOKUP(A87,'Bateria indicadores proceso'!A:AT,36,FALSE)="","No registro avance",VLOOKUP(A87,'Bateria indicadores proceso'!A:AT,36,FALSE))</f>
        <v>Con corte al 31 de marzo de 2026, se validó la efectivicad en el cumplimiento de las acciones formuladas en el Plan de Mejoramiento, en total se cerraron sin recurrencia 15 hallazgos de un total  28 hallazgos cerrados, con una efectividade del 53.57%.  Nota: se toma como base el informe de seguimiento Plan de Mejoramiento Institucional con corte al 31 de marzo de 2026.</v>
      </c>
      <c r="Z87" s="429" t="s">
        <v>1129</v>
      </c>
      <c r="AA87" s="129" t="str">
        <f>IF(VLOOKUP(A87,'Bateria indicadores proceso'!A:AT,37,FALSE)="","No reportó Evidencia",VLOOKUP(A87,'Bateria indicadores proceso'!A:AT,37,FALSE))</f>
        <v>https://mininteriorgovco.sharepoint.com/:f:/r/sites/EvidenciasOAP/Documentos%20compartidos/Evidencias%20Indicadores%20de%20Proceso%202026/14.%20Seguimiento%20y%20Evaluaci%C3%B3n%20a%20la%20Gesti%C3%B3n/II%20Trimestre/Ind.%20083?csf=1&amp;web=1&amp;e=AlO6FZ</v>
      </c>
      <c r="AB87" s="425" t="s">
        <v>1136</v>
      </c>
    </row>
    <row r="88" spans="1:30" ht="99.95" customHeight="1">
      <c r="J88" s="519"/>
      <c r="K88" s="628"/>
      <c r="L88" s="519"/>
      <c r="M88" s="519"/>
      <c r="N88" s="628"/>
      <c r="O88" s="520"/>
      <c r="P88" s="633"/>
      <c r="Q88" s="520"/>
      <c r="R88" s="520"/>
      <c r="S88" s="633"/>
      <c r="V88" s="627"/>
      <c r="W88" s="627"/>
    </row>
    <row r="89" spans="1:30" ht="99.95" customHeight="1">
      <c r="J89" s="519"/>
      <c r="K89" s="628"/>
      <c r="L89" s="519"/>
      <c r="M89" s="519"/>
      <c r="N89" s="628"/>
      <c r="O89" s="520"/>
      <c r="P89" s="633"/>
      <c r="Q89" s="520"/>
      <c r="R89" s="520"/>
      <c r="S89" s="633"/>
      <c r="V89" s="627"/>
      <c r="W89" s="627"/>
    </row>
    <row r="90" spans="1:30" ht="99.95" customHeight="1">
      <c r="J90" s="519"/>
      <c r="K90" s="628"/>
      <c r="L90" s="519"/>
      <c r="M90" s="519"/>
      <c r="N90" s="628"/>
      <c r="O90" s="520"/>
      <c r="P90" s="633"/>
      <c r="Q90" s="520"/>
      <c r="R90" s="520"/>
      <c r="S90" s="633"/>
    </row>
    <row r="91" spans="1:30" ht="99.95" customHeight="1">
      <c r="J91" s="519"/>
      <c r="K91" s="628"/>
      <c r="L91" s="519"/>
      <c r="M91" s="519"/>
      <c r="N91" s="628"/>
      <c r="O91" s="520"/>
      <c r="P91" s="633"/>
      <c r="Q91" s="520"/>
      <c r="R91" s="520"/>
      <c r="S91" s="633"/>
    </row>
    <row r="92" spans="1:30" ht="99.95" customHeight="1">
      <c r="J92" s="519"/>
      <c r="K92" s="628"/>
      <c r="L92" s="519"/>
      <c r="M92" s="519"/>
      <c r="N92" s="628"/>
      <c r="O92" s="520"/>
      <c r="P92" s="633"/>
      <c r="Q92" s="520"/>
      <c r="R92" s="520"/>
      <c r="S92" s="633"/>
    </row>
    <row r="93" spans="1:30" ht="99.95" customHeight="1">
      <c r="J93" s="519"/>
      <c r="K93" s="628"/>
      <c r="L93" s="519"/>
      <c r="M93" s="519"/>
      <c r="N93" s="628"/>
      <c r="O93" s="520"/>
      <c r="P93" s="633"/>
      <c r="Q93" s="520"/>
      <c r="R93" s="520"/>
      <c r="S93" s="633"/>
    </row>
  </sheetData>
  <sheetProtection algorithmName="SHA-512" hashValue="MH89tURhe7tpTj4HpFtndmhWjbpOHEuXJwjA3XvUtYdq8X+wxYvu8xzqzZQwruZdV185PJPMcqD9cbA9Jz8FPA==" saltValue="1ZK3gzUCSMxpivPx1cZzEw==" spinCount="100000" sheet="1" objects="1" scenarios="1" selectLockedCells="1" selectUnlockedCells="1"/>
  <mergeCells count="1">
    <mergeCell ref="A3:Y3"/>
  </mergeCells>
  <phoneticPr fontId="21" type="noConversion"/>
  <pageMargins left="0.7" right="0.7" top="0.75" bottom="0.75" header="0" footer="0"/>
  <pageSetup orientation="portrait" r:id="rId1"/>
  <drawing r:id="rId2"/>
  <legacyDrawing r:id="rId3"/>
  <extLst>
    <ext xmlns:x14="http://schemas.microsoft.com/office/spreadsheetml/2009/9/main" uri="{05C60535-1F16-4fd2-B633-F4F36F0B64E0}">
      <x14:sparklineGroups xmlns:xm="http://schemas.microsoft.com/office/excel/2006/main">
        <x14:sparklineGroup manualMax="0" manualMin="0" displayEmptyCellsAs="gap" markers="1" xr2:uid="{00000000-0003-0000-0500-000000000000}">
          <x14:colorSeries rgb="FF376092"/>
          <x14:colorNegative rgb="FFD00000"/>
          <x14:colorAxis rgb="FF000000"/>
          <x14:colorMarkers rgb="FFD00000"/>
          <x14:colorFirst rgb="FFD00000"/>
          <x14:colorLast rgb="FFD00000"/>
          <x14:colorHigh rgb="FFD00000"/>
          <x14:colorLow rgb="FFD00000"/>
          <x14:sparklines>
            <x14:sparkline>
              <xm:f>'Informe Avance Indi de proceso'!O5:R5</xm:f>
              <xm:sqref>X5</xm:sqref>
            </x14:sparkline>
            <x14:sparkline>
              <xm:f>'Informe Avance Indi de proceso'!O6:R6</xm:f>
              <xm:sqref>X6</xm:sqref>
            </x14:sparkline>
            <x14:sparkline>
              <xm:f>'Informe Avance Indi de proceso'!O7:R7</xm:f>
              <xm:sqref>X7</xm:sqref>
            </x14:sparkline>
            <x14:sparkline>
              <xm:f>'Informe Avance Indi de proceso'!O8:R8</xm:f>
              <xm:sqref>X8</xm:sqref>
            </x14:sparkline>
            <x14:sparkline>
              <xm:f>'Informe Avance Indi de proceso'!O9:R9</xm:f>
              <xm:sqref>X9</xm:sqref>
            </x14:sparkline>
            <x14:sparkline>
              <xm:f>'Informe Avance Indi de proceso'!O10:R10</xm:f>
              <xm:sqref>X10</xm:sqref>
            </x14:sparkline>
            <x14:sparkline>
              <xm:f>'Informe Avance Indi de proceso'!O11:R11</xm:f>
              <xm:sqref>X11</xm:sqref>
            </x14:sparkline>
            <x14:sparkline>
              <xm:f>'Informe Avance Indi de proceso'!O12:R12</xm:f>
              <xm:sqref>X12</xm:sqref>
            </x14:sparkline>
            <x14:sparkline>
              <xm:f>'Informe Avance Indi de proceso'!O13:R13</xm:f>
              <xm:sqref>X13</xm:sqref>
            </x14:sparkline>
            <x14:sparkline>
              <xm:f>'Informe Avance Indi de proceso'!O14:R14</xm:f>
              <xm:sqref>X14</xm:sqref>
            </x14:sparkline>
            <x14:sparkline>
              <xm:f>'Informe Avance Indi de proceso'!O15:R15</xm:f>
              <xm:sqref>X15</xm:sqref>
            </x14:sparkline>
            <x14:sparkline>
              <xm:f>'Informe Avance Indi de proceso'!O16:R16</xm:f>
              <xm:sqref>X16</xm:sqref>
            </x14:sparkline>
            <x14:sparkline>
              <xm:f>'Informe Avance Indi de proceso'!O17:R17</xm:f>
              <xm:sqref>X17</xm:sqref>
            </x14:sparkline>
            <x14:sparkline>
              <xm:f>'Informe Avance Indi de proceso'!O18:R18</xm:f>
              <xm:sqref>X18</xm:sqref>
            </x14:sparkline>
            <x14:sparkline>
              <xm:f>'Informe Avance Indi de proceso'!O19:R19</xm:f>
              <xm:sqref>X19</xm:sqref>
            </x14:sparkline>
            <x14:sparkline>
              <xm:f>'Informe Avance Indi de proceso'!O20:R20</xm:f>
              <xm:sqref>X20</xm:sqref>
            </x14:sparkline>
            <x14:sparkline>
              <xm:f>'Informe Avance Indi de proceso'!O21:R21</xm:f>
              <xm:sqref>X21</xm:sqref>
            </x14:sparkline>
            <x14:sparkline>
              <xm:f>'Informe Avance Indi de proceso'!O22:R22</xm:f>
              <xm:sqref>X22</xm:sqref>
            </x14:sparkline>
            <x14:sparkline>
              <xm:f>'Informe Avance Indi de proceso'!O23:R23</xm:f>
              <xm:sqref>X23</xm:sqref>
            </x14:sparkline>
            <x14:sparkline>
              <xm:f>'Informe Avance Indi de proceso'!O24:R24</xm:f>
              <xm:sqref>X24</xm:sqref>
            </x14:sparkline>
            <x14:sparkline>
              <xm:f>'Informe Avance Indi de proceso'!O25:R25</xm:f>
              <xm:sqref>X25</xm:sqref>
            </x14:sparkline>
            <x14:sparkline>
              <xm:f>'Informe Avance Indi de proceso'!O26:R26</xm:f>
              <xm:sqref>X26</xm:sqref>
            </x14:sparkline>
            <x14:sparkline>
              <xm:f>'Informe Avance Indi de proceso'!O27:R27</xm:f>
              <xm:sqref>X27</xm:sqref>
            </x14:sparkline>
            <x14:sparkline>
              <xm:f>'Informe Avance Indi de proceso'!O28:R28</xm:f>
              <xm:sqref>X28</xm:sqref>
            </x14:sparkline>
            <x14:sparkline>
              <xm:f>'Informe Avance Indi de proceso'!O29:R29</xm:f>
              <xm:sqref>X29</xm:sqref>
            </x14:sparkline>
            <x14:sparkline>
              <xm:f>'Informe Avance Indi de proceso'!O30:R30</xm:f>
              <xm:sqref>X30</xm:sqref>
            </x14:sparkline>
            <x14:sparkline>
              <xm:f>'Informe Avance Indi de proceso'!O31:R31</xm:f>
              <xm:sqref>X31</xm:sqref>
            </x14:sparkline>
            <x14:sparkline>
              <xm:f>'Informe Avance Indi de proceso'!O32:R32</xm:f>
              <xm:sqref>X32</xm:sqref>
            </x14:sparkline>
            <x14:sparkline>
              <xm:f>'Informe Avance Indi de proceso'!O33:R33</xm:f>
              <xm:sqref>X33</xm:sqref>
            </x14:sparkline>
            <x14:sparkline>
              <xm:f>'Informe Avance Indi de proceso'!O34:R34</xm:f>
              <xm:sqref>X34</xm:sqref>
            </x14:sparkline>
            <x14:sparkline>
              <xm:f>'Informe Avance Indi de proceso'!O35:R35</xm:f>
              <xm:sqref>X35</xm:sqref>
            </x14:sparkline>
            <x14:sparkline>
              <xm:f>'Informe Avance Indi de proceso'!O36:R36</xm:f>
              <xm:sqref>X36</xm:sqref>
            </x14:sparkline>
            <x14:sparkline>
              <xm:f>'Informe Avance Indi de proceso'!O37:R37</xm:f>
              <xm:sqref>X37</xm:sqref>
            </x14:sparkline>
            <x14:sparkline>
              <xm:f>'Informe Avance Indi de proceso'!O38:R38</xm:f>
              <xm:sqref>X38</xm:sqref>
            </x14:sparkline>
            <x14:sparkline>
              <xm:f>'Informe Avance Indi de proceso'!O39:R39</xm:f>
              <xm:sqref>X39</xm:sqref>
            </x14:sparkline>
            <x14:sparkline>
              <xm:f>'Informe Avance Indi de proceso'!O40:R40</xm:f>
              <xm:sqref>X40</xm:sqref>
            </x14:sparkline>
            <x14:sparkline>
              <xm:f>'Informe Avance Indi de proceso'!O41:R41</xm:f>
              <xm:sqref>X41</xm:sqref>
            </x14:sparkline>
            <x14:sparkline>
              <xm:f>'Informe Avance Indi de proceso'!O42:R42</xm:f>
              <xm:sqref>X42</xm:sqref>
            </x14:sparkline>
            <x14:sparkline>
              <xm:f>'Informe Avance Indi de proceso'!O43:R43</xm:f>
              <xm:sqref>X43</xm:sqref>
            </x14:sparkline>
            <x14:sparkline>
              <xm:f>'Informe Avance Indi de proceso'!O44:R44</xm:f>
              <xm:sqref>X44</xm:sqref>
            </x14:sparkline>
            <x14:sparkline>
              <xm:f>'Informe Avance Indi de proceso'!O45:R45</xm:f>
              <xm:sqref>X45</xm:sqref>
            </x14:sparkline>
            <x14:sparkline>
              <xm:f>'Informe Avance Indi de proceso'!O46:R46</xm:f>
              <xm:sqref>X46</xm:sqref>
            </x14:sparkline>
            <x14:sparkline>
              <xm:f>'Informe Avance Indi de proceso'!O47:R47</xm:f>
              <xm:sqref>X47</xm:sqref>
            </x14:sparkline>
            <x14:sparkline>
              <xm:f>'Informe Avance Indi de proceso'!O48:R48</xm:f>
              <xm:sqref>X48</xm:sqref>
            </x14:sparkline>
            <x14:sparkline>
              <xm:f>'Informe Avance Indi de proceso'!O49:R49</xm:f>
              <xm:sqref>X49</xm:sqref>
            </x14:sparkline>
            <x14:sparkline>
              <xm:f>'Informe Avance Indi de proceso'!O50:R50</xm:f>
              <xm:sqref>X50</xm:sqref>
            </x14:sparkline>
            <x14:sparkline>
              <xm:f>'Informe Avance Indi de proceso'!O51:R51</xm:f>
              <xm:sqref>X51</xm:sqref>
            </x14:sparkline>
            <x14:sparkline>
              <xm:f>'Informe Avance Indi de proceso'!O52:R52</xm:f>
              <xm:sqref>X52</xm:sqref>
            </x14:sparkline>
            <x14:sparkline>
              <xm:f>'Informe Avance Indi de proceso'!O53:R53</xm:f>
              <xm:sqref>X53</xm:sqref>
            </x14:sparkline>
            <x14:sparkline>
              <xm:f>'Informe Avance Indi de proceso'!O54:R54</xm:f>
              <xm:sqref>X54</xm:sqref>
            </x14:sparkline>
            <x14:sparkline>
              <xm:f>'Informe Avance Indi de proceso'!O55:R55</xm:f>
              <xm:sqref>X55</xm:sqref>
            </x14:sparkline>
            <x14:sparkline>
              <xm:f>'Informe Avance Indi de proceso'!O56:R56</xm:f>
              <xm:sqref>X56</xm:sqref>
            </x14:sparkline>
            <x14:sparkline>
              <xm:f>'Informe Avance Indi de proceso'!O57:R57</xm:f>
              <xm:sqref>X57</xm:sqref>
            </x14:sparkline>
            <x14:sparkline>
              <xm:f>'Informe Avance Indi de proceso'!O58:R58</xm:f>
              <xm:sqref>X58</xm:sqref>
            </x14:sparkline>
            <x14:sparkline>
              <xm:f>'Informe Avance Indi de proceso'!O59:R59</xm:f>
              <xm:sqref>X59</xm:sqref>
            </x14:sparkline>
            <x14:sparkline>
              <xm:f>'Informe Avance Indi de proceso'!O60:R60</xm:f>
              <xm:sqref>X60</xm:sqref>
            </x14:sparkline>
            <x14:sparkline>
              <xm:f>'Informe Avance Indi de proceso'!O61:R61</xm:f>
              <xm:sqref>X61</xm:sqref>
            </x14:sparkline>
            <x14:sparkline>
              <xm:f>'Informe Avance Indi de proceso'!O62:R62</xm:f>
              <xm:sqref>X62</xm:sqref>
            </x14:sparkline>
            <x14:sparkline>
              <xm:f>'Informe Avance Indi de proceso'!O63:R63</xm:f>
              <xm:sqref>X63</xm:sqref>
            </x14:sparkline>
            <x14:sparkline>
              <xm:f>'Informe Avance Indi de proceso'!O64:R64</xm:f>
              <xm:sqref>X64</xm:sqref>
            </x14:sparkline>
            <x14:sparkline>
              <xm:f>'Informe Avance Indi de proceso'!O65:R65</xm:f>
              <xm:sqref>X65</xm:sqref>
            </x14:sparkline>
            <x14:sparkline>
              <xm:f>'Informe Avance Indi de proceso'!O66:R66</xm:f>
              <xm:sqref>X66</xm:sqref>
            </x14:sparkline>
            <x14:sparkline>
              <xm:f>'Informe Avance Indi de proceso'!O67:R67</xm:f>
              <xm:sqref>X67</xm:sqref>
            </x14:sparkline>
            <x14:sparkline>
              <xm:f>'Informe Avance Indi de proceso'!O68:R68</xm:f>
              <xm:sqref>X68</xm:sqref>
            </x14:sparkline>
            <x14:sparkline>
              <xm:f>'Informe Avance Indi de proceso'!O69:R69</xm:f>
              <xm:sqref>X69</xm:sqref>
            </x14:sparkline>
            <x14:sparkline>
              <xm:f>'Informe Avance Indi de proceso'!O70:R70</xm:f>
              <xm:sqref>X70</xm:sqref>
            </x14:sparkline>
            <x14:sparkline>
              <xm:f>'Informe Avance Indi de proceso'!O71:R71</xm:f>
              <xm:sqref>X71</xm:sqref>
            </x14:sparkline>
            <x14:sparkline>
              <xm:f>'Informe Avance Indi de proceso'!O72:R72</xm:f>
              <xm:sqref>X72</xm:sqref>
            </x14:sparkline>
            <x14:sparkline>
              <xm:f>'Informe Avance Indi de proceso'!O73:R73</xm:f>
              <xm:sqref>X73</xm:sqref>
            </x14:sparkline>
            <x14:sparkline>
              <xm:f>'Informe Avance Indi de proceso'!O74:R74</xm:f>
              <xm:sqref>X74</xm:sqref>
            </x14:sparkline>
            <x14:sparkline>
              <xm:f>'Informe Avance Indi de proceso'!O75:R75</xm:f>
              <xm:sqref>X75</xm:sqref>
            </x14:sparkline>
            <x14:sparkline>
              <xm:f>'Informe Avance Indi de proceso'!O76:R76</xm:f>
              <xm:sqref>X76</xm:sqref>
            </x14:sparkline>
            <x14:sparkline>
              <xm:f>'Informe Avance Indi de proceso'!O77:R77</xm:f>
              <xm:sqref>X77</xm:sqref>
            </x14:sparkline>
            <x14:sparkline>
              <xm:f>'Informe Avance Indi de proceso'!O78:R78</xm:f>
              <xm:sqref>X78</xm:sqref>
            </x14:sparkline>
            <x14:sparkline>
              <xm:f>'Informe Avance Indi de proceso'!O79:R79</xm:f>
              <xm:sqref>X79</xm:sqref>
            </x14:sparkline>
            <x14:sparkline>
              <xm:f>'Informe Avance Indi de proceso'!O80:R80</xm:f>
              <xm:sqref>X80</xm:sqref>
            </x14:sparkline>
            <x14:sparkline>
              <xm:f>'Informe Avance Indi de proceso'!O81:R81</xm:f>
              <xm:sqref>X81</xm:sqref>
            </x14:sparkline>
            <x14:sparkline>
              <xm:f>'Informe Avance Indi de proceso'!O82:R82</xm:f>
              <xm:sqref>X82</xm:sqref>
            </x14:sparkline>
            <x14:sparkline>
              <xm:f>'Informe Avance Indi de proceso'!O83:R83</xm:f>
              <xm:sqref>X83</xm:sqref>
            </x14:sparkline>
            <x14:sparkline>
              <xm:f>'Informe Avance Indi de proceso'!O84:R84</xm:f>
              <xm:sqref>X84</xm:sqref>
            </x14:sparkline>
            <x14:sparkline>
              <xm:f>'Informe Avance Indi de proceso'!O85:R85</xm:f>
              <xm:sqref>X85</xm:sqref>
            </x14:sparkline>
            <x14:sparkline>
              <xm:f>'Informe Avance Indi de proceso'!O86:R86</xm:f>
              <xm:sqref>X86</xm:sqref>
            </x14:sparkline>
            <x14:sparkline>
              <xm:f>'Informe Avance Indi de proceso'!O87:R87</xm:f>
              <xm:sqref>X87</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5:F41"/>
  <sheetViews>
    <sheetView showGridLines="0" zoomScale="90" zoomScaleNormal="90" workbookViewId="0">
      <selection activeCell="E39" sqref="E39"/>
    </sheetView>
  </sheetViews>
  <sheetFormatPr baseColWidth="10" defaultColWidth="11.42578125" defaultRowHeight="15"/>
  <cols>
    <col min="1" max="1" width="75.140625" customWidth="1"/>
    <col min="2" max="2" width="35.85546875" customWidth="1"/>
    <col min="3" max="3" width="39.42578125" customWidth="1"/>
    <col min="4" max="4" width="40.42578125" customWidth="1"/>
    <col min="5" max="5" width="48.140625" customWidth="1"/>
    <col min="6" max="6" width="16.42578125" customWidth="1"/>
  </cols>
  <sheetData>
    <row r="5" spans="1:6" ht="38.25" customHeight="1"/>
    <row r="6" spans="1:6" ht="15" customHeight="1"/>
    <row r="8" spans="1:6" ht="30" customHeight="1">
      <c r="A8" s="604" t="s">
        <v>267</v>
      </c>
      <c r="B8" s="605"/>
      <c r="C8" s="605"/>
      <c r="D8" s="605"/>
      <c r="E8" s="605"/>
    </row>
    <row r="9" spans="1:6">
      <c r="A9" s="5"/>
      <c r="B9" s="6"/>
    </row>
    <row r="10" spans="1:6" ht="15.75">
      <c r="A10" s="610" t="s">
        <v>268</v>
      </c>
      <c r="B10" s="611"/>
    </row>
    <row r="11" spans="1:6" ht="36.950000000000003" customHeight="1">
      <c r="A11" s="610" t="s">
        <v>269</v>
      </c>
      <c r="B11" s="611"/>
    </row>
    <row r="12" spans="1:6" ht="15.75">
      <c r="A12" s="7" t="s">
        <v>270</v>
      </c>
      <c r="B12" s="9"/>
    </row>
    <row r="13" spans="1:6" ht="16.5" thickBot="1">
      <c r="A13" s="8"/>
      <c r="B13" s="8"/>
    </row>
    <row r="14" spans="1:6" ht="33" customHeight="1" thickBot="1">
      <c r="A14" s="612" t="s">
        <v>271</v>
      </c>
      <c r="B14" s="613"/>
      <c r="D14" s="607" t="s">
        <v>272</v>
      </c>
      <c r="E14" s="608"/>
      <c r="F14" s="79" t="s">
        <v>273</v>
      </c>
    </row>
    <row r="15" spans="1:6" ht="38.1" customHeight="1" thickBot="1">
      <c r="A15" s="606" t="s">
        <v>274</v>
      </c>
      <c r="B15" s="606"/>
      <c r="D15" s="80" t="s">
        <v>125</v>
      </c>
      <c r="E15" s="81" t="s">
        <v>130</v>
      </c>
      <c r="F15" s="81" t="s">
        <v>120</v>
      </c>
    </row>
    <row r="16" spans="1:6" ht="50.25" customHeight="1" thickBot="1">
      <c r="A16" s="606" t="s">
        <v>275</v>
      </c>
      <c r="B16" s="606"/>
      <c r="D16" s="82" t="s">
        <v>126</v>
      </c>
      <c r="E16" s="81" t="s">
        <v>276</v>
      </c>
      <c r="F16" s="81" t="s">
        <v>121</v>
      </c>
    </row>
    <row r="17" spans="1:6" ht="54" customHeight="1" thickBot="1">
      <c r="A17" s="606" t="s">
        <v>277</v>
      </c>
      <c r="B17" s="606"/>
      <c r="D17" s="83" t="s">
        <v>127</v>
      </c>
      <c r="E17" s="81" t="s">
        <v>278</v>
      </c>
      <c r="F17" s="81" t="s">
        <v>122</v>
      </c>
    </row>
    <row r="18" spans="1:6" ht="38.1" customHeight="1" thickBot="1">
      <c r="A18" s="606" t="s">
        <v>279</v>
      </c>
      <c r="B18" s="606"/>
      <c r="D18" s="84" t="s">
        <v>128</v>
      </c>
      <c r="E18" s="81" t="s">
        <v>280</v>
      </c>
      <c r="F18" s="81" t="s">
        <v>123</v>
      </c>
    </row>
    <row r="19" spans="1:6" ht="38.1" customHeight="1" thickBot="1">
      <c r="A19" s="10"/>
      <c r="B19" s="10"/>
      <c r="D19" s="85" t="s">
        <v>129</v>
      </c>
      <c r="E19" s="81" t="s">
        <v>134</v>
      </c>
      <c r="F19" s="81" t="s">
        <v>124</v>
      </c>
    </row>
    <row r="20" spans="1:6" ht="15.75">
      <c r="A20" s="88"/>
      <c r="B20" s="8"/>
    </row>
    <row r="22" spans="1:6" ht="15" customHeight="1">
      <c r="A22" s="614" t="s">
        <v>281</v>
      </c>
      <c r="B22" s="87" t="s">
        <v>282</v>
      </c>
    </row>
    <row r="23" spans="1:6">
      <c r="A23" s="615"/>
      <c r="B23" s="86" t="s">
        <v>283</v>
      </c>
    </row>
    <row r="24" spans="1:6">
      <c r="A24" s="89" t="s">
        <v>17</v>
      </c>
      <c r="B24" s="13">
        <f>+IFERROR(IF(SUMIF('Informe Avance Indi de proceso'!C:C, A24,'Informe Avance Indi de proceso'!V:V)&gt;1,1.00001,SUMIF('Informe Avance Indi de proceso'!C:C,A24,'Informe Avance Indi de proceso'!V:V)),"No aplica")</f>
        <v>1.0000100000000001</v>
      </c>
    </row>
    <row r="25" spans="1:6">
      <c r="A25" s="89" t="s">
        <v>10</v>
      </c>
      <c r="B25" s="13">
        <f>+IFERROR(IF(SUMIF('Informe Avance Indi de proceso'!C:C, A25,'Informe Avance Indi de proceso'!V:V)&gt;1,1.00001,SUMIF('Informe Avance Indi de proceso'!C:C,A25,'Informe Avance Indi de proceso'!V:V)),"No aplica")</f>
        <v>1</v>
      </c>
    </row>
    <row r="26" spans="1:6">
      <c r="A26" s="89" t="s">
        <v>14</v>
      </c>
      <c r="B26" s="13">
        <f>+IFERROR(IF(SUMIF('Informe Avance Indi de proceso'!C:C, A26,'Informe Avance Indi de proceso'!V:V)&gt;1,1.00001,SUMIF('Informe Avance Indi de proceso'!C:C,A26,'Informe Avance Indi de proceso'!V:V)),"No aplica")</f>
        <v>0.98000700000000018</v>
      </c>
    </row>
    <row r="27" spans="1:6">
      <c r="A27" s="89" t="s">
        <v>51</v>
      </c>
      <c r="B27" s="13">
        <f>+IFERROR(IF(SUMIF('Informe Avance Indi de proceso'!C:C, A27,'Informe Avance Indi de proceso'!V:V)&gt;1,1.00001,SUMIF('Informe Avance Indi de proceso'!C:C,A27,'Informe Avance Indi de proceso'!V:V)),"No aplica")</f>
        <v>0.92950219999999995</v>
      </c>
    </row>
    <row r="28" spans="1:6">
      <c r="A28" s="89" t="s">
        <v>28</v>
      </c>
      <c r="B28" s="13">
        <f>+IFERROR(IF(SUMIF('Informe Avance Indi de proceso'!C:C, A28,'Informe Avance Indi de proceso'!V:V)&gt;1,1.00001,SUMIF('Informe Avance Indi de proceso'!C:C,A28,'Informe Avance Indi de proceso'!V:V)),"No aplica")</f>
        <v>0.9051935698996656</v>
      </c>
      <c r="D28" s="11"/>
      <c r="E28" s="11"/>
    </row>
    <row r="29" spans="1:6">
      <c r="A29" s="89" t="s">
        <v>61</v>
      </c>
      <c r="B29" s="13">
        <f>+IFERROR(IF(SUMIF('Informe Avance Indi de proceso'!C:C, A29,'Informe Avance Indi de proceso'!V:V)&gt;1,1.00001,SUMIF('Informe Avance Indi de proceso'!C:C,A29,'Informe Avance Indi de proceso'!V:V)),"No aplica")</f>
        <v>1.0000100000000001</v>
      </c>
    </row>
    <row r="30" spans="1:6">
      <c r="A30" s="89" t="s">
        <v>74</v>
      </c>
      <c r="B30" s="13">
        <f>+IFERROR(IF(SUMIF('Informe Avance Indi de proceso'!C:C, A30,'Informe Avance Indi de proceso'!V:V)&gt;1,1.00001,SUMIF('Informe Avance Indi de proceso'!C:C,A30,'Informe Avance Indi de proceso'!V:V)),"No aplica")</f>
        <v>1</v>
      </c>
    </row>
    <row r="31" spans="1:6">
      <c r="A31" s="89" t="s">
        <v>71</v>
      </c>
      <c r="B31" s="13">
        <f>+IFERROR(IF(SUMIF('Informe Avance Indi de proceso'!C:C, A31,'Informe Avance Indi de proceso'!V:V)&gt;1,1.00001,SUMIF('Informe Avance Indi de proceso'!C:C,A31,'Informe Avance Indi de proceso'!V:V)),"No aplica")</f>
        <v>1</v>
      </c>
    </row>
    <row r="32" spans="1:6">
      <c r="A32" s="89" t="s">
        <v>67</v>
      </c>
      <c r="B32" s="13">
        <f>+IFERROR(IF(SUMIF('Informe Avance Indi de proceso'!C:C, A32,'Informe Avance Indi de proceso'!V:V)&gt;1,1.00001,SUMIF('Informe Avance Indi de proceso'!C:C,A32,'Informe Avance Indi de proceso'!V:V)),"No aplica")</f>
        <v>1</v>
      </c>
    </row>
    <row r="33" spans="1:2">
      <c r="A33" s="89" t="s">
        <v>77</v>
      </c>
      <c r="B33" s="13">
        <f>+IFERROR(IF(SUMIF('Informe Avance Indi de proceso'!C:C, A33,'Informe Avance Indi de proceso'!V:V)&gt;1,1.00001,SUMIF('Informe Avance Indi de proceso'!C:C,A33,'Informe Avance Indi de proceso'!V:V)),"No aplica")</f>
        <v>1</v>
      </c>
    </row>
    <row r="34" spans="1:2">
      <c r="A34" s="89" t="s">
        <v>82</v>
      </c>
      <c r="B34" s="13">
        <f>+IFERROR(IF(SUMIF('Informe Avance Indi de proceso'!C:C, A34,'Informe Avance Indi de proceso'!V:V)&gt;1,1.00001,SUMIF('Informe Avance Indi de proceso'!C:C,A34,'Informe Avance Indi de proceso'!V:V)),"No aplica")</f>
        <v>1.0000100000000001</v>
      </c>
    </row>
    <row r="35" spans="1:2">
      <c r="A35" s="89" t="s">
        <v>80</v>
      </c>
      <c r="B35" s="13">
        <f>+IFERROR(IF(SUMIF('Informe Avance Indi de proceso'!C:C, A35,'Informe Avance Indi de proceso'!V:V)&gt;1,1.00001,SUMIF('Informe Avance Indi de proceso'!C:C,A35,'Informe Avance Indi de proceso'!V:V)),"No aplica")</f>
        <v>1.0000100000000001</v>
      </c>
    </row>
    <row r="36" spans="1:2">
      <c r="A36" s="89" t="s">
        <v>64</v>
      </c>
      <c r="B36" s="13">
        <f>+IFERROR(IF(SUMIF('Informe Avance Indi de proceso'!C:C, A36,'Informe Avance Indi de proceso'!V:V)&gt;1,1.00001,SUMIF('Informe Avance Indi de proceso'!C:C,A36,'Informe Avance Indi de proceso'!V:V)),"No aplica")</f>
        <v>0.99999999999999989</v>
      </c>
    </row>
    <row r="37" spans="1:2">
      <c r="A37" s="89" t="s">
        <v>85</v>
      </c>
      <c r="B37" s="13">
        <f>+IFERROR(IF(SUMIF('Informe Avance Indi de proceso'!C:C, A37,'Informe Avance Indi de proceso'!V:V)&gt;1,1.00001,SUMIF('Informe Avance Indi de proceso'!C:C,A37,'Informe Avance Indi de proceso'!V:V)),"No aplica")</f>
        <v>1</v>
      </c>
    </row>
    <row r="38" spans="1:2" ht="18.75">
      <c r="A38" s="90" t="s">
        <v>284</v>
      </c>
      <c r="B38" s="13">
        <f t="shared" ref="B38" si="0">+AVERAGE(B24:B37)</f>
        <v>0.98676734070711891</v>
      </c>
    </row>
    <row r="41" spans="1:2" ht="15.95" customHeight="1">
      <c r="A41" s="609" t="s">
        <v>285</v>
      </c>
      <c r="B41" s="609"/>
    </row>
  </sheetData>
  <sheetProtection algorithmName="SHA-512" hashValue="5LIme+TJ+ZjmP/Ib6EHbBaMMi3FzaXC/FUs5Vm5nvegCud3/IhAqKUivE0byqMkOQ8ik/7HW5WHWwZC64wKG/A==" saltValue="Y/GVkB5uAcuBL+D3lJR6wA==" spinCount="100000" sheet="1" objects="1" scenarios="1" selectLockedCells="1" selectUnlockedCells="1"/>
  <mergeCells count="11">
    <mergeCell ref="A8:E8"/>
    <mergeCell ref="A16:B16"/>
    <mergeCell ref="D14:E14"/>
    <mergeCell ref="A15:B15"/>
    <mergeCell ref="A41:B41"/>
    <mergeCell ref="A18:B18"/>
    <mergeCell ref="A10:B10"/>
    <mergeCell ref="A11:B11"/>
    <mergeCell ref="A17:B17"/>
    <mergeCell ref="A14:B14"/>
    <mergeCell ref="A22:A23"/>
  </mergeCells>
  <conditionalFormatting sqref="B24:B38">
    <cfRule type="cellIs" dxfId="4" priority="1" operator="lessThan">
      <formula>1</formula>
    </cfRule>
    <cfRule type="cellIs" dxfId="3" priority="2" operator="equal">
      <formula>0.8</formula>
    </cfRule>
    <cfRule type="cellIs" dxfId="2" priority="3" operator="greaterThanOrEqual">
      <formula>1</formula>
    </cfRule>
    <cfRule type="cellIs" dxfId="1" priority="4" operator="between">
      <formula>80</formula>
      <formula>99</formula>
    </cfRule>
    <cfRule type="cellIs" dxfId="0" priority="7" operator="lessThan">
      <formula>0.01</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5372EF-D3AB-4850-9377-0B4D6EB05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2cbba-6b9a-45ef-a1a8-539097f1fd66"/>
    <ds:schemaRef ds:uri="8d11d237-f108-4ce5-9fb0-89f4a21e2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17891E-8E54-4151-93C7-0060E5C2A3FC}">
  <ds:schemaRefs>
    <ds:schemaRef ds:uri="http://schemas.microsoft.com/sharepoint/v3/contenttype/forms"/>
  </ds:schemaRefs>
</ds:datastoreItem>
</file>

<file path=customXml/itemProps3.xml><?xml version="1.0" encoding="utf-8"?>
<ds:datastoreItem xmlns:ds="http://schemas.openxmlformats.org/officeDocument/2006/customXml" ds:itemID="{0462CB26-DCCA-4E0B-98A8-BC8BBB5F9662}">
  <ds:schemaRefs>
    <ds:schemaRef ds:uri="http://schemas.microsoft.com/office/2006/metadata/properties"/>
    <ds:schemaRef ds:uri="http://schemas.microsoft.com/office/infopath/2007/PartnerControls"/>
    <ds:schemaRef ds:uri="8d11d237-f108-4ce5-9fb0-89f4a21e2c20"/>
    <ds:schemaRef ds:uri="6542cbba-6b9a-45ef-a1a8-539097f1fd66"/>
  </ds:schemaRefs>
</ds:datastoreItem>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Distribución</vt:lpstr>
      <vt:lpstr>Fichas Técnicas</vt:lpstr>
      <vt:lpstr>Hoja1</vt:lpstr>
      <vt:lpstr>Bateria indicadores proceso</vt:lpstr>
      <vt:lpstr>Sheet1</vt:lpstr>
      <vt:lpstr>Hoja2</vt:lpstr>
      <vt:lpstr>Informe Avance Indi de proceso</vt:lpstr>
      <vt:lpstr>Tablero de Control</vt:lpstr>
      <vt:lpstr>'Bateria indicadores proceso'!Área_de_impresión</vt:lpstr>
      <vt:lpstr>'Bateria indicadores proceso'!Títulos_a_imprimir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Avellaneda Chaves</dc:creator>
  <cp:keywords/>
  <dc:description/>
  <cp:lastModifiedBy>Beatriz Ferreira Villegas</cp:lastModifiedBy>
  <cp:revision/>
  <dcterms:created xsi:type="dcterms:W3CDTF">2021-04-19T20:56:45Z</dcterms:created>
  <dcterms:modified xsi:type="dcterms:W3CDTF">2026-08-14T20:34:44Z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